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2026\DOCUMENTOS DE APOYO\CONTRATOS PERSONA JURIDICA 2026\14. Seguros\Seleccion Abreviada Menor Cuantia\anexos\"/>
    </mc:Choice>
  </mc:AlternateContent>
  <bookViews>
    <workbookView xWindow="0" yWindow="0" windowWidth="28800" windowHeight="12180" tabRatio="761"/>
  </bookViews>
  <sheets>
    <sheet name="ESTUDIO DE MERCADO" sheetId="3" r:id="rId1"/>
    <sheet name="ESTUDIO DE MERCADO INDIVIDUAL" sheetId="6" r:id="rId2"/>
    <sheet name="TASAS PROMEDIO" sheetId="1" r:id="rId3"/>
    <sheet name="DRONES" sheetId="4" r:id="rId4"/>
    <sheet name="RELACION AUTOMOVILES" sheetId="8" r:id="rId5"/>
    <sheet name="RELACION SOAT" sheetId="9" r:id="rId6"/>
    <sheet name="SINIESTRALIDAD AUTOS" sheetId="10" r:id="rId7"/>
    <sheet name="IND SINIESTRALIDAD AUTOS -RCSP " sheetId="11" r:id="rId8"/>
    <sheet name="SINIESTRALIDAD DRONES" sheetId="2" r:id="rId9"/>
    <sheet name="INDICE DE SINIESTALIDAD DRONES" sheetId="5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xlnm._FilterDatabase" localSheetId="6" hidden="1">'SINIESTRALIDAD AUTOS'!$A$5:$Y$5</definedName>
    <definedName name="_Toc140149825_1" localSheetId="3">[1]JURIDICA!#REF!</definedName>
    <definedName name="_Toc140149825_1" localSheetId="1">[2]JURIDICA!#REF!</definedName>
    <definedName name="_Toc140149825_1" localSheetId="4">[3]JURIDICA!#REF!</definedName>
    <definedName name="_Toc140149825_1" localSheetId="5">[3]JURIDICA!#REF!</definedName>
    <definedName name="_Toc140149825_1">[2]JURIDICA!#REF!</definedName>
    <definedName name="_Toc140149825_59">#REF!</definedName>
    <definedName name="_Toc142149825_60">#REF!</definedName>
    <definedName name="A">[4]JURIDICA!#REF!</definedName>
    <definedName name="ADMINISTRATIVA">#REF!</definedName>
    <definedName name="ADMINISTRATIVA.">#REF!</definedName>
    <definedName name="AMOR" localSheetId="3">[1]JURIDICA!#REF!</definedName>
    <definedName name="AMOR" localSheetId="1">[2]JURIDICA!#REF!</definedName>
    <definedName name="AMOR" localSheetId="4">[3]JURIDICA!#REF!</definedName>
    <definedName name="AMOR" localSheetId="5">[3]JURIDICA!#REF!</definedName>
    <definedName name="AMOR">[2]JURIDICA!#REF!</definedName>
    <definedName name="ANÁLISIS">#REF!</definedName>
    <definedName name="ANIMAL">#REF!</definedName>
    <definedName name="_xlnm.Print_Area" localSheetId="0">'ESTUDIO DE MERCADO'!$B$2:$K$13</definedName>
    <definedName name="_xlnm.Print_Area" localSheetId="1">'ESTUDIO DE MERCADO INDIVIDUAL'!$B$2:$K$14</definedName>
    <definedName name="_xlnm.Print_Area" localSheetId="7">'IND SINIESTRALIDAD AUTOS -RCSP '!$A$1:$F$19</definedName>
    <definedName name="B">#REF!</definedName>
    <definedName name="bg">#REF!</definedName>
    <definedName name="check">[5]Listas!$R$2:$R$3</definedName>
    <definedName name="CiudadesEntrega">[5]Listas!$S$2:$S$1122</definedName>
    <definedName name="cvehiculo">[6]!Tabla3[CLASE DE VEHICULO]</definedName>
    <definedName name="DeduFran">[5]Listas!$H$2:$H$4</definedName>
    <definedName name="ESTADO">[7]!Tabla1[Columna2]</definedName>
    <definedName name="ESTADO_VEHICULO">[8]Hoja4!$K$2:$K$4</definedName>
    <definedName name="estadof" localSheetId="3">[9]Hoja4!$B$2:$B$15</definedName>
    <definedName name="estadof" localSheetId="1">[10]Hoja4!$B$2:$B$15</definedName>
    <definedName name="estadof" localSheetId="4">[11]Hoja4!$B$2:$B$15</definedName>
    <definedName name="estadof" localSheetId="5">[11]Hoja4!$B$2:$B$15</definedName>
    <definedName name="estadof">[10]Hoja4!$B$2:$B$15</definedName>
    <definedName name="FFFFFFF">#REF!</definedName>
    <definedName name="g" localSheetId="3">[1]JURIDICA!#REF!</definedName>
    <definedName name="g" localSheetId="1">[2]JURIDICA!#REF!</definedName>
    <definedName name="g">[2]JURIDICA!#REF!</definedName>
    <definedName name="GENERAL" localSheetId="3">[1]JURIDICA!#REF!</definedName>
    <definedName name="GENERAL" localSheetId="1">[2]JURIDICA!#REF!</definedName>
    <definedName name="GENERAL">[2]JURIDICA!#REF!</definedName>
    <definedName name="GG" localSheetId="3">[1]JURIDICA!#REF!</definedName>
    <definedName name="GG" localSheetId="1">[2]JURIDICA!#REF!</definedName>
    <definedName name="GG" localSheetId="4">[3]JURIDICA!#REF!</definedName>
    <definedName name="GG" localSheetId="5">[3]JURIDICA!#REF!</definedName>
    <definedName name="GG">[2]JURIDICA!#REF!</definedName>
    <definedName name="GGGGGG">#REF!</definedName>
    <definedName name="Grupo" localSheetId="3">[5]Listas!$B$2:$B$3</definedName>
    <definedName name="Grupo">[12]Listas!$B$2:$B$3</definedName>
    <definedName name="opcion2" localSheetId="3">'[13]CUADRO RESUMEN'!$L$21</definedName>
    <definedName name="opcion2" localSheetId="1">'[14]CUADRO RESUMEN'!$L$21</definedName>
    <definedName name="opcion2" localSheetId="4">'[15]CUADRO RESUMEN'!$L$21</definedName>
    <definedName name="opcion2" localSheetId="5">'[15]CUADRO RESUMEN'!$L$21</definedName>
    <definedName name="opcion2">'[14]CUADRO RESUMEN'!$L$21</definedName>
    <definedName name="opcion3" localSheetId="3">'[13]CUADRO RESUMEN'!$L$22</definedName>
    <definedName name="opcion3" localSheetId="1">'[14]CUADRO RESUMEN'!$L$22</definedName>
    <definedName name="opcion3" localSheetId="4">'[15]CUADRO RESUMEN'!$L$22</definedName>
    <definedName name="opcion3" localSheetId="5">'[15]CUADRO RESUMEN'!$L$22</definedName>
    <definedName name="opcion3">'[14]CUADRO RESUMEN'!$L$22</definedName>
    <definedName name="opcion4" localSheetId="3">'[13]CUADRO RESUMEN'!$L$23</definedName>
    <definedName name="opcion4" localSheetId="1">'[14]CUADRO RESUMEN'!$L$23</definedName>
    <definedName name="opcion4" localSheetId="4">'[15]CUADRO RESUMEN'!$L$23</definedName>
    <definedName name="opcion4" localSheetId="5">'[15]CUADRO RESUMEN'!$L$23</definedName>
    <definedName name="opcion4">'[14]CUADRO RESUMEN'!$L$23</definedName>
    <definedName name="opcion5" localSheetId="3">'[13]CUADRO RESUMEN'!$L$24</definedName>
    <definedName name="opcion5" localSheetId="1">'[14]CUADRO RESUMEN'!$L$24</definedName>
    <definedName name="opcion5" localSheetId="4">'[15]CUADRO RESUMEN'!$L$24</definedName>
    <definedName name="opcion5" localSheetId="5">'[15]CUADRO RESUMEN'!$L$24</definedName>
    <definedName name="opcion5">'[14]CUADRO RESUMEN'!$L$24</definedName>
    <definedName name="opcion6" localSheetId="3">'[13]CUADRO RESUMEN'!$L$25</definedName>
    <definedName name="opcion6" localSheetId="1">'[14]CUADRO RESUMEN'!$L$25</definedName>
    <definedName name="opcion6" localSheetId="4">'[15]CUADRO RESUMEN'!$L$25</definedName>
    <definedName name="opcion6" localSheetId="5">'[15]CUADRO RESUMEN'!$L$25</definedName>
    <definedName name="opcion6">'[14]CUADRO RESUMEN'!$L$25</definedName>
    <definedName name="Proveedor">[5]Listas!$T$2:$T$3</definedName>
    <definedName name="RamoAmparo" localSheetId="3">[9]Hoja4!$A$2:$A$57</definedName>
    <definedName name="RamoAmparo" localSheetId="1">[10]Hoja4!$A$2:$A$57</definedName>
    <definedName name="RamoAmparo" localSheetId="4">[11]Hoja4!$A$2:$A$57</definedName>
    <definedName name="RamoAmparo" localSheetId="5">[11]Hoja4!$A$2:$A$57</definedName>
    <definedName name="RamoAmparo">[10]Hoja4!$A$2:$A$57</definedName>
    <definedName name="SECC">#REF!</definedName>
    <definedName name="Servicio" localSheetId="3">[5]Listas!$G$2:$G$17</definedName>
    <definedName name="Servicio">[12]Listas!$G$2:$G$17</definedName>
    <definedName name="SUB">#REF!</definedName>
    <definedName name="SUBGEREN">#REF!</definedName>
    <definedName name="SUBGERENCIA">[8]Hoja4!$B$2:$B$7</definedName>
    <definedName name="tadquisicion" localSheetId="3">[5]Listas!$A$2:$A$8</definedName>
    <definedName name="tadquisicion">[12]Listas!$A$2:$A$8</definedName>
    <definedName name="TIPO_DE_VEHICULOS">[16]Listas!$A$18:$A$31</definedName>
    <definedName name="TipodeVehiculo" localSheetId="3">[5]Listas!$C$2:$C$10</definedName>
    <definedName name="TipodeVehiculo">[12]Listas!$C$2:$C$10</definedName>
    <definedName name="VEGETAL">#REF!</definedName>
    <definedName name="Vencido">[16]Listas!$N$2:$N$3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C15" i="11"/>
  <c r="X45" i="10"/>
  <c r="D9" i="11"/>
  <c r="E9" i="11" s="1"/>
  <c r="D10" i="11"/>
  <c r="E10" i="11" s="1"/>
  <c r="D8" i="11"/>
  <c r="E8" i="11" s="1"/>
  <c r="C14" i="11" l="1"/>
  <c r="C16" i="11" s="1"/>
  <c r="G34" i="3"/>
  <c r="G35" i="3" s="1"/>
  <c r="D35" i="9"/>
  <c r="R28" i="9"/>
  <c r="I12" i="1"/>
  <c r="J11" i="1"/>
  <c r="F7" i="4"/>
  <c r="C13" i="4"/>
  <c r="J35" i="3" l="1"/>
  <c r="K10" i="3" s="1"/>
  <c r="J34" i="3"/>
  <c r="F9" i="3"/>
  <c r="D9" i="3"/>
  <c r="C28" i="3"/>
  <c r="C22" i="3"/>
  <c r="D41" i="8"/>
  <c r="S28" i="8"/>
  <c r="S27" i="8"/>
  <c r="S26" i="8"/>
  <c r="S25" i="8"/>
  <c r="S24" i="8"/>
  <c r="S23" i="8"/>
  <c r="S22" i="8"/>
  <c r="S21" i="8"/>
  <c r="S20" i="8"/>
  <c r="S19" i="8"/>
  <c r="S18" i="8"/>
  <c r="S17" i="8"/>
  <c r="S16" i="8"/>
  <c r="S15" i="8"/>
  <c r="S14" i="8"/>
  <c r="S13" i="8"/>
  <c r="S12" i="8"/>
  <c r="S11" i="8"/>
  <c r="S10" i="8"/>
  <c r="S9" i="8"/>
  <c r="S8" i="8"/>
  <c r="S7" i="8"/>
  <c r="H24" i="1"/>
  <c r="H19" i="1"/>
  <c r="I20" i="1" s="1"/>
  <c r="J19" i="1" s="1"/>
  <c r="D22" i="3" s="1"/>
  <c r="F22" i="3" s="1"/>
  <c r="I22" i="3" l="1"/>
  <c r="G22" i="3"/>
  <c r="S29" i="8"/>
  <c r="I25" i="1"/>
  <c r="J24" i="1" s="1"/>
  <c r="D28" i="3" s="1"/>
  <c r="F28" i="3" s="1"/>
  <c r="I28" i="3" s="1"/>
  <c r="G7" i="4"/>
  <c r="G28" i="3" l="1"/>
  <c r="H28" i="3" s="1"/>
  <c r="H29" i="3" s="1"/>
  <c r="H22" i="3"/>
  <c r="H23" i="3" s="1"/>
  <c r="I23" i="3"/>
  <c r="J28" i="3"/>
  <c r="I29" i="3"/>
  <c r="H8" i="1"/>
  <c r="J8" i="1" s="1"/>
  <c r="D42" i="6" s="1"/>
  <c r="H11" i="1"/>
  <c r="D25" i="6" s="1"/>
  <c r="E16" i="5"/>
  <c r="J22" i="3" l="1"/>
  <c r="K29" i="3"/>
  <c r="K9" i="3" s="1"/>
  <c r="J29" i="3"/>
  <c r="D30" i="6"/>
  <c r="D36" i="6"/>
  <c r="D18" i="6"/>
  <c r="D24" i="6"/>
  <c r="D31" i="6"/>
  <c r="D37" i="6"/>
  <c r="D43" i="6"/>
  <c r="D16" i="3"/>
  <c r="D19" i="6"/>
  <c r="C43" i="6"/>
  <c r="C37" i="6"/>
  <c r="C31" i="6"/>
  <c r="C25" i="6"/>
  <c r="C19" i="6"/>
  <c r="B40" i="6"/>
  <c r="B34" i="6"/>
  <c r="B28" i="6"/>
  <c r="B22" i="6"/>
  <c r="B16" i="6"/>
  <c r="J23" i="3" l="1"/>
  <c r="K23" i="3"/>
  <c r="K8" i="3" s="1"/>
  <c r="G16" i="5"/>
  <c r="E11" i="5"/>
  <c r="E10" i="5"/>
  <c r="E12" i="5" s="1"/>
  <c r="E8" i="5"/>
  <c r="E7" i="5"/>
  <c r="E9" i="5" s="1"/>
  <c r="F7" i="5" s="1"/>
  <c r="H7" i="5" s="1"/>
  <c r="C36" i="6" l="1"/>
  <c r="C30" i="6"/>
  <c r="C24" i="6"/>
  <c r="C18" i="6"/>
  <c r="C42" i="6"/>
  <c r="C15" i="3"/>
  <c r="D15" i="3"/>
  <c r="AE6" i="2"/>
  <c r="AF6" i="2" s="1"/>
  <c r="F15" i="3" l="1"/>
  <c r="F43" i="6"/>
  <c r="G43" i="6" s="1"/>
  <c r="H43" i="6" s="1"/>
  <c r="F37" i="6"/>
  <c r="G37" i="6" s="1"/>
  <c r="H37" i="6" s="1"/>
  <c r="F31" i="6"/>
  <c r="G31" i="6" s="1"/>
  <c r="H31" i="6" s="1"/>
  <c r="F25" i="6"/>
  <c r="G25" i="6" s="1"/>
  <c r="H25" i="6" s="1"/>
  <c r="F19" i="6"/>
  <c r="G19" i="6" s="1"/>
  <c r="H19" i="6" s="1"/>
  <c r="C16" i="3"/>
  <c r="F16" i="3" s="1"/>
  <c r="G16" i="3" l="1"/>
  <c r="H16" i="3" s="1"/>
  <c r="I16" i="3"/>
  <c r="I15" i="3"/>
  <c r="G15" i="3"/>
  <c r="H15" i="3" s="1"/>
  <c r="F42" i="6"/>
  <c r="G42" i="6" s="1"/>
  <c r="H42" i="6" s="1"/>
  <c r="H44" i="6" s="1"/>
  <c r="F36" i="6"/>
  <c r="G36" i="6" s="1"/>
  <c r="H36" i="6" s="1"/>
  <c r="H38" i="6" s="1"/>
  <c r="F30" i="6"/>
  <c r="G30" i="6" s="1"/>
  <c r="H30" i="6" s="1"/>
  <c r="H32" i="6" s="1"/>
  <c r="F24" i="6"/>
  <c r="G24" i="6" s="1"/>
  <c r="H24" i="6" s="1"/>
  <c r="H26" i="6" s="1"/>
  <c r="F18" i="6"/>
  <c r="G18" i="6" s="1"/>
  <c r="H18" i="6" s="1"/>
  <c r="H20" i="6" s="1"/>
  <c r="I17" i="3" l="1"/>
  <c r="H9" i="6"/>
  <c r="J15" i="3"/>
  <c r="J16" i="3" l="1"/>
  <c r="K17" i="3" s="1"/>
  <c r="H17" i="3"/>
  <c r="K7" i="3" l="1"/>
  <c r="K11" i="3" s="1"/>
  <c r="J17" i="3"/>
</calcChain>
</file>

<file path=xl/sharedStrings.xml><?xml version="1.0" encoding="utf-8"?>
<sst xmlns="http://schemas.openxmlformats.org/spreadsheetml/2006/main" count="1520" uniqueCount="493">
  <si>
    <t>DETERMINACIÓN TASAS PROMEDIOS</t>
  </si>
  <si>
    <t>RAMO</t>
  </si>
  <si>
    <t>ENTIDAD</t>
  </si>
  <si>
    <t>PROCESO DE CONTRATACION</t>
  </si>
  <si>
    <t>LIMITE ASEGURADO</t>
  </si>
  <si>
    <t>TASAS</t>
  </si>
  <si>
    <t>AJUSTE POR SINIESTRALIDAD</t>
  </si>
  <si>
    <t xml:space="preserve"> </t>
  </si>
  <si>
    <t>%</t>
  </si>
  <si>
    <t>GOBERNACION DE CUNDINAMARCA</t>
  </si>
  <si>
    <t xml:space="preserve">SGCC-MC-SE-911-2025 </t>
  </si>
  <si>
    <t>SERVICIO GEOLOGICO COLOMBIANO</t>
  </si>
  <si>
    <t>TIPO DE CONTRATACION</t>
  </si>
  <si>
    <t>ESTUDIO DE MERCADO</t>
  </si>
  <si>
    <t>VIGENCIAS PROYECTADAS</t>
  </si>
  <si>
    <t>VIGENCIA DESDE 00:00 HORAS</t>
  </si>
  <si>
    <t>VIGENCIA HASTA 00:00 HORAS</t>
  </si>
  <si>
    <t>DIAS DE COBERTURA PROYECTADOS</t>
  </si>
  <si>
    <t>GRUPO 1</t>
  </si>
  <si>
    <t>PRIMA ANUAL</t>
  </si>
  <si>
    <t>VALOR ASEGURADO</t>
  </si>
  <si>
    <t>TASA ANUAL ESTUDIO MERCADO</t>
  </si>
  <si>
    <t>PRIMA NETA ANUAL</t>
  </si>
  <si>
    <t>IVA 19%</t>
  </si>
  <si>
    <t>TOTAL PRIMA ANUAL</t>
  </si>
  <si>
    <t>AUTOMOVILES</t>
  </si>
  <si>
    <t>TOTAL GRUPO 1</t>
  </si>
  <si>
    <t>AERONAVES NO TRIPULADAS - RCE</t>
  </si>
  <si>
    <t>AERONAVES NO TRIPULADAS - DRONES</t>
  </si>
  <si>
    <t>CÓDIGO DE COMERCIO</t>
  </si>
  <si>
    <t>TOTAL</t>
  </si>
  <si>
    <t>TOTAL VALOR ASEGURADO</t>
  </si>
  <si>
    <t>GRAMO ORO</t>
  </si>
  <si>
    <t>VALOR CASCO</t>
  </si>
  <si>
    <t>DESCRIPCION</t>
  </si>
  <si>
    <t>VALOR ASEGURADO RC</t>
  </si>
  <si>
    <t>CONTRATACION SEGURO DE AERONAVES NO TRIPULADAS - DRONES</t>
  </si>
  <si>
    <t>SERVICIO GEOLÓGICO COLOMBIANO</t>
  </si>
  <si>
    <t>CONCEPTO ESTIMACION</t>
  </si>
  <si>
    <t>RAMO COMERCIAL</t>
  </si>
  <si>
    <t>RAMO TECNICO</t>
  </si>
  <si>
    <t>ASEGURADO</t>
  </si>
  <si>
    <t>NRO DOC ASEGURADO</t>
  </si>
  <si>
    <t>COD INTERMEDIARIO</t>
  </si>
  <si>
    <t>TIPO COASEGURO</t>
  </si>
  <si>
    <t>COD PTO VTA</t>
  </si>
  <si>
    <t>NOMBRE PTO VTA</t>
  </si>
  <si>
    <t>SINIESTRO</t>
  </si>
  <si>
    <t>AÑO</t>
  </si>
  <si>
    <t>POLIZA</t>
  </si>
  <si>
    <t>ENDOSO</t>
  </si>
  <si>
    <t>COMPAÑÍA ASEGURADORA</t>
  </si>
  <si>
    <t>ITEM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</si>
  <si>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</si>
  <si>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</si>
  <si>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</si>
  <si>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</si>
  <si>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</si>
  <si>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</si>
  <si>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</si>
  <si>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</si>
  <si>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</si>
  <si>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</si>
  <si>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</si>
  <si>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</si>
  <si>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</si>
  <si>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</si>
  <si>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</si>
  <si>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DEDUCIBLE</t>
  </si>
  <si>
    <t>VALOR ESTIMADO</t>
  </si>
  <si>
    <t>PAGO TOTAL</t>
  </si>
  <si>
    <t xml:space="preserve">FECHA DE PAGO </t>
  </si>
  <si>
    <t>DAÑOS CASCO</t>
  </si>
  <si>
    <t>VEHICULO AEREO</t>
  </si>
  <si>
    <t>7002 W-REGIONAL ESTATAL</t>
  </si>
  <si>
    <t>STRO 104569//125393</t>
  </si>
  <si>
    <t>AVPL-82596186-1</t>
  </si>
  <si>
    <t>ZURICH COLOMBIA</t>
  </si>
  <si>
    <t>REGIONAL ESTATAL</t>
  </si>
  <si>
    <t>KM 3 VI TABIO CAJICA</t>
  </si>
  <si>
    <t>CUNDINAMARCA</t>
  </si>
  <si>
    <t>CAJICA</t>
  </si>
  <si>
    <t>BOGOTA</t>
  </si>
  <si>
    <t>CHOQUE / CAIDA</t>
  </si>
  <si>
    <t>DRON Quantum System Trinity F90+//2022, Serial 1656DTYR10MBD01187B</t>
  </si>
  <si>
    <t>PERDIDA TOTAL POR DANOS</t>
  </si>
  <si>
    <t>CASCO</t>
  </si>
  <si>
    <t>Pesos</t>
  </si>
  <si>
    <t>PAGADO</t>
  </si>
  <si>
    <t>Por definir</t>
  </si>
  <si>
    <t>DRONE-QUANTUM F90+ TRINITY</t>
  </si>
  <si>
    <t>DRONE DJI M300 RTK</t>
  </si>
  <si>
    <t>DRONE DJI MAVIC AIR 2</t>
  </si>
  <si>
    <t>DRON DJI M300RTK</t>
  </si>
  <si>
    <t>UAECD-SAMC-006-2025</t>
  </si>
  <si>
    <t>LP-89-2025</t>
  </si>
  <si>
    <t>SANTIAGO DE CALI DISTRITO ESPECIAL 
22 DRONES</t>
  </si>
  <si>
    <t>4181.010.26.1.364.-2026</t>
  </si>
  <si>
    <t xml:space="preserve">SAMC-08-2025-SC </t>
  </si>
  <si>
    <t>UAE CUERPO OFICIAL DE BOMBEROS DE BOGOTA
13 DRONES</t>
  </si>
  <si>
    <t>UAECOB-SAMC-001-2025</t>
  </si>
  <si>
    <t>RCE</t>
  </si>
  <si>
    <t>PRIMA EN USD</t>
  </si>
  <si>
    <t>TRM AL 08/03/2023: $4,744.95</t>
  </si>
  <si>
    <t>TOTAL PRIMA  PAGADA</t>
  </si>
  <si>
    <t>SINIESTROS INCURRIDOS</t>
  </si>
  <si>
    <t>INDICE SINIESTRALIDAD</t>
  </si>
  <si>
    <t xml:space="preserve">VIGENCIA 08MAR2023 A 07MAR2024 </t>
  </si>
  <si>
    <t xml:space="preserve">PRIMA EN PESOS </t>
  </si>
  <si>
    <t>VIGENCIA 26/07/2025  A 18/04/2026</t>
  </si>
  <si>
    <t>DRON 1</t>
  </si>
  <si>
    <t>DRON 2</t>
  </si>
  <si>
    <t>TOTAL DRON 1</t>
  </si>
  <si>
    <t>TOTAL DRON 2</t>
  </si>
  <si>
    <t>PROMEDIO TASA MERCADO</t>
  </si>
  <si>
    <t>TASA PROMEDIO PARA ESTUDIO</t>
  </si>
  <si>
    <t xml:space="preserve">TOTAL </t>
  </si>
  <si>
    <t xml:space="preserve">INFORME DE SINIESTRALIDAD ZURICH </t>
  </si>
  <si>
    <t>https://www.banrep.gov.co/es/banco/otros-servicios/compra-venta-metales-preciosos</t>
  </si>
  <si>
    <t>VALOR ASEGURADO RCE POR DRON</t>
  </si>
  <si>
    <t>SGMC-MC-010-2025</t>
  </si>
  <si>
    <t>IGAC SEDE CENTRAL</t>
  </si>
  <si>
    <t>UNIDAD DE BUSQUEDA DE PERSONAS DESAPARECIDAS -UBPD - 12 DRONES - OFERTA 1</t>
  </si>
  <si>
    <t>UBPD-SAMC-001-2025</t>
  </si>
  <si>
    <t>AGENCIA NACIONAL DEL ESPECTRO - CASCO DRONES</t>
  </si>
  <si>
    <t>UNIDAD PARA LA ATENCIÓN Y LA REPARACIÓN INTEGRAL A LAS VÍCTIMAS – FONDO PARA LA REPARACIÓN DE LAS VICTIMAS (FRV)</t>
  </si>
  <si>
    <t>UARIV-FRV-IP-2025-008</t>
  </si>
  <si>
    <t>UAE CATASTRO DISTRITAL - CASCO DRONES (SURA)</t>
  </si>
  <si>
    <t>IGAC SEDE CENTRAL - 14 DRONES - OFERTA 1 CASCO DRONES</t>
  </si>
  <si>
    <t>PRIMA NETA PROYECTADA</t>
  </si>
  <si>
    <t>TOTAL PROYECCIÓN</t>
  </si>
  <si>
    <t>PRIMA PERIODO PROYECTADO</t>
  </si>
  <si>
    <t>VALOR GR. ORO 04SEP26</t>
  </si>
  <si>
    <t xml:space="preserve">AUTOMOVILES </t>
  </si>
  <si>
    <t>SGC-SAMC-001-2025</t>
  </si>
  <si>
    <t>ALCALDIA MAYOR DE CARTAGENA DE INDIAS OFERTA 1</t>
  </si>
  <si>
    <t>LP-DAAL-2025</t>
  </si>
  <si>
    <t>AUDITORIA GENERAL DE LA REPUBLICA (OFERTA 1)</t>
  </si>
  <si>
    <t>CSAMC-3-2025</t>
  </si>
  <si>
    <t>CORPORACIÓN SOCIAL DE CUNDINAMARCA (OFERTA 2)</t>
  </si>
  <si>
    <t>LP-CSC-002-2025</t>
  </si>
  <si>
    <t>AUDITORIA GENERAL DE LA REPUBLICA (OFERTA 2)</t>
  </si>
  <si>
    <t>RESPONSABILIDAD CIVIL SERVIDORES PUBLICOS</t>
  </si>
  <si>
    <t xml:space="preserve">UNIDAD NACIONAL DE LA GESTIÓN DEL RIESGO DE DESASTRES </t>
  </si>
  <si>
    <t>UNGRD-LP-001-2025</t>
  </si>
  <si>
    <t>AGENCIA DE DESARROLLO RURAL OFERTA 1</t>
  </si>
  <si>
    <t>SAMC-01-2026</t>
  </si>
  <si>
    <t>RCSP</t>
  </si>
  <si>
    <t>GRUPO 2</t>
  </si>
  <si>
    <t>GRUPO 3</t>
  </si>
  <si>
    <t>RELACIÓN DE VEHICULOS SEGURO DE AUTOMOVILES</t>
  </si>
  <si>
    <t>LOTE 1</t>
  </si>
  <si>
    <t>PLACA</t>
  </si>
  <si>
    <t>CLASE DE VEHICULO
(DESPLEGABLE)</t>
  </si>
  <si>
    <t>MARCA
(DESPLEGABLE)</t>
  </si>
  <si>
    <t>LINEA</t>
  </si>
  <si>
    <t>MODELO</t>
  </si>
  <si>
    <t>CILINDRAJE</t>
  </si>
  <si>
    <t>TONELADAS</t>
  </si>
  <si>
    <t>PASAJ.</t>
  </si>
  <si>
    <t>No. MOTOR</t>
  </si>
  <si>
    <t>No. CHASIS</t>
  </si>
  <si>
    <t>VIN</t>
  </si>
  <si>
    <t>TIPO DE COMBUSTIBLE (DESPLEGABLE)</t>
  </si>
  <si>
    <t>CARROCERIA TIPO
(DESPLEGABLE)</t>
  </si>
  <si>
    <t>SERVICIO
(DESPLEGABLE)</t>
  </si>
  <si>
    <t>CODIGO FASECOLDA</t>
  </si>
  <si>
    <t>ACCESORIOS</t>
  </si>
  <si>
    <t>TOTAL VALOR ASEGURADO 2026</t>
  </si>
  <si>
    <t>LIT010</t>
  </si>
  <si>
    <t>camperos o camionetas</t>
  </si>
  <si>
    <t>TOYOTA</t>
  </si>
  <si>
    <t>HILUX</t>
  </si>
  <si>
    <t>1GRH354904</t>
  </si>
  <si>
    <t>8AJBU3CD8P0091461</t>
  </si>
  <si>
    <t>GASOLINA</t>
  </si>
  <si>
    <t>DOBLE CABINA</t>
  </si>
  <si>
    <t>OFICIAL</t>
  </si>
  <si>
    <t>09021087</t>
  </si>
  <si>
    <t>LIT011</t>
  </si>
  <si>
    <t>1GRH350791</t>
  </si>
  <si>
    <t>8AJBU3CD9P0091386</t>
  </si>
  <si>
    <t>LIT012</t>
  </si>
  <si>
    <t>1GRH360524</t>
  </si>
  <si>
    <t>8AJBU3CD8P0091539</t>
  </si>
  <si>
    <t>LIT033</t>
  </si>
  <si>
    <t>1GRH358258</t>
  </si>
  <si>
    <t>8AJBU3CD1P0091611</t>
  </si>
  <si>
    <t>LIT143</t>
  </si>
  <si>
    <t>2TRB058565</t>
  </si>
  <si>
    <t>8AJKX3CD5P2014719</t>
  </si>
  <si>
    <t>09042068</t>
  </si>
  <si>
    <t>LIT144</t>
  </si>
  <si>
    <t>2TRB078816</t>
  </si>
  <si>
    <t>8AJKX3CD5P2014770</t>
  </si>
  <si>
    <t>LIT145</t>
  </si>
  <si>
    <t>2TRB087575</t>
  </si>
  <si>
    <t>8AJKX3CD8P2014844</t>
  </si>
  <si>
    <t>LIT146</t>
  </si>
  <si>
    <t>2TRB088046</t>
  </si>
  <si>
    <t>8AJKX3CD3P2014850</t>
  </si>
  <si>
    <t>LIT147</t>
  </si>
  <si>
    <t>2TRB077999</t>
  </si>
  <si>
    <t>8AJKX3CD3P2014847</t>
  </si>
  <si>
    <t>LIT148</t>
  </si>
  <si>
    <t>2TRB080785</t>
  </si>
  <si>
    <t>8AJKX3CD4P2014887</t>
  </si>
  <si>
    <t>LIT149</t>
  </si>
  <si>
    <t>2TRB097331</t>
  </si>
  <si>
    <t>8AJKX3CD3P2014976</t>
  </si>
  <si>
    <t>OLN127</t>
  </si>
  <si>
    <t>Tractocamión</t>
  </si>
  <si>
    <t xml:space="preserve">CHASIS CAB FRR 700P </t>
  </si>
  <si>
    <t>4HK1617690</t>
  </si>
  <si>
    <t>9GDFRR907JB016710</t>
  </si>
  <si>
    <t>01604084</t>
  </si>
  <si>
    <t>OBI989</t>
  </si>
  <si>
    <t>NISSAN</t>
  </si>
  <si>
    <t>NAVARRA</t>
  </si>
  <si>
    <t>YD25482704T</t>
  </si>
  <si>
    <t>MNTVCUD40Z0603851</t>
  </si>
  <si>
    <t>DIESEL</t>
  </si>
  <si>
    <t>06421041</t>
  </si>
  <si>
    <t>ODT102</t>
  </si>
  <si>
    <t>PATHFINDER</t>
  </si>
  <si>
    <t>VQ35476093Y</t>
  </si>
  <si>
    <t>5N1AR2MM7EC620493</t>
  </si>
  <si>
    <t>WAGON</t>
  </si>
  <si>
    <t>06408110</t>
  </si>
  <si>
    <t>NPK607</t>
  </si>
  <si>
    <t>VAN </t>
  </si>
  <si>
    <t>FOTON</t>
  </si>
  <si>
    <t>TOANO</t>
  </si>
  <si>
    <t>LVCB2NBC8SS240281</t>
  </si>
  <si>
    <t>CERRADA</t>
  </si>
  <si>
    <t>18906002</t>
  </si>
  <si>
    <t>LIT153</t>
  </si>
  <si>
    <t xml:space="preserve"> YARIS CROSS XLS HEV</t>
  </si>
  <si>
    <t>M15ABL51019</t>
  </si>
  <si>
    <t>JTDKBABBXRA284980</t>
  </si>
  <si>
    <t>GASO ELEC</t>
  </si>
  <si>
    <t>09006182</t>
  </si>
  <si>
    <t>LIT154</t>
  </si>
  <si>
    <t>M15ABM09341</t>
  </si>
  <si>
    <t>JTDKBABB8RA315773</t>
  </si>
  <si>
    <t>LIT155</t>
  </si>
  <si>
    <t>M15ABL40854</t>
  </si>
  <si>
    <t>JTDKBABB9RA279365</t>
  </si>
  <si>
    <t>LIT156</t>
  </si>
  <si>
    <t>M15ABL74477</t>
  </si>
  <si>
    <t>JTDKBABB6RA300334</t>
  </si>
  <si>
    <t>LIT157</t>
  </si>
  <si>
    <t>M15ABL43805</t>
  </si>
  <si>
    <t>JTDKBABB0RA281277</t>
  </si>
  <si>
    <t>LIT158</t>
  </si>
  <si>
    <t>M15ABL82198</t>
  </si>
  <si>
    <t>JTDKBABB8RA301551</t>
  </si>
  <si>
    <t>LIT159</t>
  </si>
  <si>
    <t>M15ABL86695</t>
  </si>
  <si>
    <t>JTDKBABB7RA303582</t>
  </si>
  <si>
    <t>Valor actualizado según pagina fasecolda https://www.fasecolda.com/guia-de-valores/ a 11 agosto 2026</t>
  </si>
  <si>
    <t>INCREMENTO DEL SALARIO MÍNIMO</t>
  </si>
  <si>
    <t>VALOR ESTABLECIDO</t>
  </si>
  <si>
    <t>% INCREMENTO</t>
  </si>
  <si>
    <t>SMMLV 2022</t>
  </si>
  <si>
    <t>SMMLV 2023</t>
  </si>
  <si>
    <t>SMMLV 2024</t>
  </si>
  <si>
    <t>SMMLV 2025</t>
  </si>
  <si>
    <t>SMMLV 2026</t>
  </si>
  <si>
    <t>PROMEDIO DE INCREMENTO SMMLV</t>
  </si>
  <si>
    <t>https://uba.banrep.gov.co/htmlcommons/SeriesHistoricas/precios-inflacion.html</t>
  </si>
  <si>
    <t>INFLACIÓN EN 2026</t>
  </si>
  <si>
    <t>TOTAL GRUPO 2</t>
  </si>
  <si>
    <t>TOTAL GRUPO 3</t>
  </si>
  <si>
    <t>PRESUPUESTO PROYECTADO DRONES</t>
  </si>
  <si>
    <t>PRESUPUESTO PROYECTADO RCSP</t>
  </si>
  <si>
    <t>PRESUPUESTO PROYECTADO AUTOS</t>
  </si>
  <si>
    <t>TOTAL CONTRATACION</t>
  </si>
  <si>
    <t>PRESUPUESTO DISPONIBLE POR LA ENTIDAD</t>
  </si>
  <si>
    <t>GRUPO 3 - RCSP</t>
  </si>
  <si>
    <t>GRUPO 2 - AUTOS</t>
  </si>
  <si>
    <t>GRUPO 1 - DRONES</t>
  </si>
  <si>
    <t>PROCESO DE CONTRATACIÓN DRONES - AUTOS - SOAT - RC SERVIDORES PUBLICOS 2026-2027</t>
  </si>
  <si>
    <t>GRUPO 4</t>
  </si>
  <si>
    <t>SEGURO OBLIGATORIO DE ACCIDENTES DE TRANSITO - SOAT 22 PLACAS</t>
  </si>
  <si>
    <t>SEGÚN LEY</t>
  </si>
  <si>
    <t>TOTAL GRUPO 4</t>
  </si>
  <si>
    <t>RELACIÓN DE VEHICULOS SEGURO OBLIGATORIO DE ACCIDENTES DE TRANSITO SOAT</t>
  </si>
  <si>
    <t>FECHA VENCIMIENTO SOAT ACTUAL a las 24 hrs
DD / MM / AAAA</t>
  </si>
  <si>
    <t>TARIFA</t>
  </si>
  <si>
    <t>VALOR SOAT TARIFA 2026</t>
  </si>
  <si>
    <t>320</t>
  </si>
  <si>
    <t>231</t>
  </si>
  <si>
    <t>222</t>
  </si>
  <si>
    <t>232</t>
  </si>
  <si>
    <t>211</t>
  </si>
  <si>
    <t>INCREMENTO SOAT 2023</t>
  </si>
  <si>
    <t>INCREMENTO SOAT 2024</t>
  </si>
  <si>
    <t>https://www.superfinanciera.gov.co/publicaciones/10114901/superfinanciera-actualizo-las-tarifas-maximas-del-soat/</t>
  </si>
  <si>
    <t>INCREMENTO SOAT 2025</t>
  </si>
  <si>
    <t>https://www.superfinanciera.gov.co/publicaciones/10115445/tarifas-maximas-del-soat-para-2025-presentan-una-reduccion-del-868-para-gran-parte-del-parque-automotor/</t>
  </si>
  <si>
    <t>INCREMENTO SOAT 2026</t>
  </si>
  <si>
    <t>https://www.superfinanciera.gov.co/publicaciones/10115953/superfinanciera-divulga-las-tarifas-maximas-del-soat-para-2026/</t>
  </si>
  <si>
    <t>PROMEDIO INCREMENTO</t>
  </si>
  <si>
    <t>SEGÚN VENCIMIENTO</t>
  </si>
  <si>
    <t>UN AÑO</t>
  </si>
  <si>
    <t>PRESUPUESTO PROYECTADO SOAT</t>
  </si>
  <si>
    <t xml:space="preserve">PRESUPUESTO TOTAL ANUAL PROYECTADO PARA CONTRATACION </t>
  </si>
  <si>
    <t>LA PREVISORA S.A. COMPAÑIA DE SEGUROS</t>
  </si>
  <si>
    <t>SINIESTROS POR ASEGURADO POR FECHA DE OCURRENCIA</t>
  </si>
  <si>
    <t xml:space="preserve"> Desde: 01/01/2021 Hasta: 29/07/2026</t>
  </si>
  <si>
    <t>NOMBRE INTERMEDIARIO</t>
  </si>
  <si>
    <t>AVISO</t>
  </si>
  <si>
    <t>RESERVA</t>
  </si>
  <si>
    <t>RESERVA COASEGURADORAS</t>
  </si>
  <si>
    <t>INCURRIDOS</t>
  </si>
  <si>
    <t>OBSERVACIONES</t>
  </si>
  <si>
    <t>INDEMNIZACIONES</t>
  </si>
  <si>
    <t>SERVICIO GEOLOGICO COLOMBIANO ,</t>
  </si>
  <si>
    <t>8999992948</t>
  </si>
  <si>
    <t>JARGU S.A CORREDORES DE SEGUROS ,</t>
  </si>
  <si>
    <t>POPAYAN</t>
  </si>
  <si>
    <t>11/05/2024</t>
  </si>
  <si>
    <t>22/05/2025</t>
  </si>
  <si>
    <t>25/06/2024 07:10:00</t>
  </si>
  <si>
    <t>25/06/2024</t>
  </si>
  <si>
    <t>CHOQUE SIMPLE</t>
  </si>
  <si>
    <t>LIT148 - HILUX [8] [2 FL] 2.7L MT 2700CC 7AB 4X4 EURO IV TOYOTA 2023</t>
  </si>
  <si>
    <t>PERDIDA MENOR POR DANOS</t>
  </si>
  <si>
    <t>TOTALMENTE PAGADO</t>
  </si>
  <si>
    <t>DECLARACIÓN: EN CALIDAD DE CONDUCTOR SE ENCONTRABA EN LA VÍA ANTES MENCIONADA, EN UN PARE IBA SALIEN</t>
  </si>
  <si>
    <t>16/05/2025</t>
  </si>
  <si>
    <t>16/05/2026</t>
  </si>
  <si>
    <t>03/09/2025 07:40:00</t>
  </si>
  <si>
    <t>09/09/2025</t>
  </si>
  <si>
    <t>LIT155 - YARIS CROSS XLS HYBRID TP 1500CC 8AB 4X2 CT TC TOYOTA 2024</t>
  </si>
  <si>
    <t>DECLARACIÓN PMD: EN EL LUGAR Y HORAS ANTES MENCIONADA HABÍA MUCHA CONJESTIÓN VEHÍCULAR, Y LAS MOTOS</t>
  </si>
  <si>
    <t>DELIMA MARSH S.A. LOS CORREDORES DE SEGUROS ,</t>
  </si>
  <si>
    <t>30/11/2021</t>
  </si>
  <si>
    <t>30/11/2022</t>
  </si>
  <si>
    <t>30/11/2021 05:40:00</t>
  </si>
  <si>
    <t>ODS806 - CRUZE PLATINUM [LT] AT 1800CC 4P CT CHEVROLET 2014</t>
  </si>
  <si>
    <t>EN LA DIRECCIÓN ANTE MENCIONADA INDICA, QUE BAJABA POR LA CL 11 C MANIFIESTA QUE IBA HACER UN CRUCE</t>
  </si>
  <si>
    <t>03/06/2024 10:40:00</t>
  </si>
  <si>
    <t>04/06/2024</t>
  </si>
  <si>
    <t>LIT033 - HILUX [8] [2 FL] 4.0L TP 4000CC 4X4 7AB TC R17 TOYOTA 2023</t>
  </si>
  <si>
    <t>EN CALIDAD DEL ASEGURADO INDICA QUE DENTRO DE LAS INSTALACIONES DEL SERVICIO GEOLOGICO COLOMBIANO EV</t>
  </si>
  <si>
    <t>MANIZALES</t>
  </si>
  <si>
    <t>30/11/2026</t>
  </si>
  <si>
    <t>19/06/2026 10:25:00</t>
  </si>
  <si>
    <t>19/06/2026</t>
  </si>
  <si>
    <t>LIT145 - HILUX [8] [2 FL] 2.7L MT 2700CC 7AB 4X4 EURO IV TOYOTA 2023</t>
  </si>
  <si>
    <t>LIQUIDADO POR PAGAR</t>
  </si>
  <si>
    <t>Declaración de los hechos: Se encontraba el carro asegurado en la dirección antes mencionada; estaba</t>
  </si>
  <si>
    <t>CAJAMARCA</t>
  </si>
  <si>
    <t>25/02/2026 08:40:00</t>
  </si>
  <si>
    <t>25/02/2026</t>
  </si>
  <si>
    <t>LIT010 - HILUX [8] [2 FL] 4.0L TP 4000CC 4X4 7AB TC R17 TOYOTA 2023</t>
  </si>
  <si>
    <t>Venía subiendo manejando el vehículo asegurado y la carretera se encontraba muy lisa y me arrojó al</t>
  </si>
  <si>
    <t>SANTAFE DE BOGOTA DC</t>
  </si>
  <si>
    <t>05/12/2025 05:00:00</t>
  </si>
  <si>
    <t>22/12/2025</t>
  </si>
  <si>
    <t>LIT143 - HILUX [8] [2 FL] 2.7L MT 2700CC 7AB 4X4 EURO IV TOYOTA 2023</t>
  </si>
  <si>
    <t>PERDIDA MENOR POR HURTO</t>
  </si>
  <si>
    <t>DEPURACION DE RESERVA</t>
  </si>
  <si>
    <t>PMD Declaracion de los hechos: Se comunica el señor Daniel Felipe Segura Hernandez en calidad de</t>
  </si>
  <si>
    <t>RESPONSABILIDAD CIVIL EXTRAC.</t>
  </si>
  <si>
    <t>06/02/2026 01:30:00</t>
  </si>
  <si>
    <t>06/02/2026</t>
  </si>
  <si>
    <t>LIT144 - HILUX [8] [2 FL] 2.7L MT 2700CC 7AB 4X4 EURO IV TOYOTA 2023</t>
  </si>
  <si>
    <t>PARQUEE EL VEHÍCULO EN LA DIRECCIÓN MENCIONADA PARA COMPRAR UNOS MATERIALES PARA EL SERVICIO GEOLOGI</t>
  </si>
  <si>
    <t>20/02/2026 11:00:00</t>
  </si>
  <si>
    <t>23/02/2026</t>
  </si>
  <si>
    <t>LIT157 - YARIS CROSS XLS HYBRID TP 1500CC 8AB 4X2 CT TC TOYOTA 2024</t>
  </si>
  <si>
    <t>RESERVA INICIAL</t>
  </si>
  <si>
    <t>Declaración: Me dirigía de norte a sur por la carrera 5, iba hacia la 7, baje por la calle 42 gire h</t>
  </si>
  <si>
    <t>11/03/2026 01:50:00</t>
  </si>
  <si>
    <t>11/03/2026</t>
  </si>
  <si>
    <t>LIT156 - YARIS CROSS XLS HYBRID TP 1500CC 8AB 4X2 CT TC TOYOTA 2024</t>
  </si>
  <si>
    <t>El vehículo asegurado venía generando el retorno en la calle 53 cuando un vehículo tipo furgón cambi</t>
  </si>
  <si>
    <t>VILLAMARIA</t>
  </si>
  <si>
    <t>15/01/2026 09:34:00</t>
  </si>
  <si>
    <t>16/01/2026</t>
  </si>
  <si>
    <t>Declaración: en calidad de conductor del vehículo asegurado informa que se encontraba en la direcció</t>
  </si>
  <si>
    <t>28/10/2025 09:50:00</t>
  </si>
  <si>
    <t>28/10/2025</t>
  </si>
  <si>
    <t>DECLARACIÓN PMD: YO IBA EN LA DIRECCIÓN ANTES MENCIONA, IBA A 30 KM/H, IBA A GIRAR A MI DERECHA CUAN</t>
  </si>
  <si>
    <t>04/12/2021 09:50:00</t>
  </si>
  <si>
    <t>04/12/2021</t>
  </si>
  <si>
    <t>OCK791 - NAVARA HIGH LUJO MT 2500CC 4X4 T NISSAN 2013</t>
  </si>
  <si>
    <t>DEL ASEGURADO: IBA POR LA VÍA RURAL Y UN VEHÍCULO DE TIPO CAMIÓN  QUE VENIA ADELANTE HIZO QUE BRINCA</t>
  </si>
  <si>
    <t>SAN ALBERTO</t>
  </si>
  <si>
    <t>17/08/2022 11:00:00</t>
  </si>
  <si>
    <t>22/08/2022</t>
  </si>
  <si>
    <t>OCK334 - NAVARA HIGH LUJO MT 2500CC 4X4 T NISSAN 2013</t>
  </si>
  <si>
    <t>DECLARACION: ME DESPLAZABA POR LA RUTA DEL SOL Y SE ATRAVESARON DOS NOVILLOS EN LA VÍA, IMPACTE UNO</t>
  </si>
  <si>
    <t>SINIESTRO DESISTIDO</t>
  </si>
  <si>
    <t>PMHDeclaracion de los hechos: Se comunica el señor Daniel Felipe Segura Hernandez en calidad de</t>
  </si>
  <si>
    <t>VILLAVICENCIO</t>
  </si>
  <si>
    <t>06/02/2026 11:00:00</t>
  </si>
  <si>
    <t>13/02/2026</t>
  </si>
  <si>
    <t>SE ENCONTRABA TRANSPORTANDOSE POR UNA VIA VEREDAL EN EL CERRO EL TIGRE, EN UNA CURVA TYUVO QUE RETRO</t>
  </si>
  <si>
    <t>28/06/2022 05:30:00</t>
  </si>
  <si>
    <t>29/06/2022</t>
  </si>
  <si>
    <t>ODS809 - CRUZE PLATINUM [LT] AT 1800CC 4P CT CHEVROLET 2014</t>
  </si>
  <si>
    <t>IBA POR LA CL 63 Y COJO LA OREJA POR LA KR  30 HACIA EL NORTE, VENIA UNA MOTO LA CUAL ME ENVISTE POR</t>
  </si>
  <si>
    <t>22/07/2022 08:15:00</t>
  </si>
  <si>
    <t>22/07/2022</t>
  </si>
  <si>
    <t>ODS808 - CRUZE PLATINUM [LT] AT 1800CC 4P CT CHEVROLET 2014</t>
  </si>
  <si>
    <t>DECLARACIÓN:  En la dirección antes mencionada, indica que se dirigía por la calle 26 asía el orient</t>
  </si>
  <si>
    <t>DAGUA</t>
  </si>
  <si>
    <t>13/08/2024 11:00:00</t>
  </si>
  <si>
    <t>20/08/2024</t>
  </si>
  <si>
    <t>CONDUCTOR INDICA QUE SE ENCONTRABA EN LA DIRECCIÓN ANTES MENCIONADA POR LA VÍA TERCIARIA TROCHA CUAN</t>
  </si>
  <si>
    <t>29/11/2024 10:00:00</t>
  </si>
  <si>
    <t>29/11/2024</t>
  </si>
  <si>
    <t>SE COMUNICA EL SEÑOR CARLOS ALBERTO CASTILLO EN CALIDAD DE CONDUCTOR  CC  17349229 QUIEN MANIFIESTA</t>
  </si>
  <si>
    <t>24/10/2025 09:40:00</t>
  </si>
  <si>
    <t>24/10/2025</t>
  </si>
  <si>
    <t>OLN127 - FRR 700P FORWARD [1 MT 5200CC TD 4X CHEVROLET 2018</t>
  </si>
  <si>
    <t>DECLRACION RC YO ESTABA  ESTACIONADO DEJANDO UN PASAJERO, Y EL CAMIÓN HACIENDO LA MANIOBRA DE</t>
  </si>
  <si>
    <t>28/07/2025 04:50:00</t>
  </si>
  <si>
    <t>28/07/2025</t>
  </si>
  <si>
    <t>Declaración: El conductor se dirigia de sur a norte, por el carril derecho cuando de repente sintio</t>
  </si>
  <si>
    <t>29/05/2026 05:30:00</t>
  </si>
  <si>
    <t>29/05/2026</t>
  </si>
  <si>
    <t>CONDUCTOR: YO IBA ENFRENTE DEL ÉXITO DE KENNEDY IBA ANDANDO POR CARRIL IZQUIERDO SENTIDO SUR NORTE Y</t>
  </si>
  <si>
    <t>30/11/2021 12:40:00</t>
  </si>
  <si>
    <t>01/12/2021</t>
  </si>
  <si>
    <t>OBF786 - CRUZE PLATINUM [LT] AT 1800CC 4P CT CHEVROLET 2014</t>
  </si>
  <si>
    <t>DECLARACION: ESTABA CONDUCIENDO EN SENTIDO ORIENTE A OCCIDENTE, BAJABA POR LA CALLE 13 A LA ALTURA D</t>
  </si>
  <si>
    <t>31/05/2022 03:00:00</t>
  </si>
  <si>
    <t>31/05/2022</t>
  </si>
  <si>
    <t>OBH792 - LOGAN ENTRY [FAMILIER MT 1400CC AA RENAULT 2010</t>
  </si>
  <si>
    <t>IBA POR LA DIRECCIÓN MENCIONADA A TOMAR LA 30, PARO PARA DAR PASO A UNA MOTOCICLETA, EL VEHÍCULO DE</t>
  </si>
  <si>
    <t>10/08/2022 06:00:00</t>
  </si>
  <si>
    <t>10/08/2022</t>
  </si>
  <si>
    <t>OJX210 - SENTRA B17 EXCLUSIVE TP 1800CC CT TC NISSAN 2015</t>
  </si>
  <si>
    <t>DECLARACIÓN :SE ENCONTRABA EN LA DIRECCIÓN ANTERIORMENTE MENCIONADA, ME DIRIGÍA ENTRE CHÍA HACIA BO</t>
  </si>
  <si>
    <t>21/09/2022 04:30:00</t>
  </si>
  <si>
    <t>27/09/2022</t>
  </si>
  <si>
    <t>ODT102 - PATHFINDER [4] [R52] EXCLUSIVE TP 3500CC 6AB A NISSAN 2014</t>
  </si>
  <si>
    <t>DECLARACIÓN: ESTABA LLOVIENDO MUY FUERTE DEBIDO ESO ME IMPACTE  CON EL MURO DE LA INGRESANDO AL SOTA</t>
  </si>
  <si>
    <t>LIBORINA</t>
  </si>
  <si>
    <t>07/11/2025 06:30:00</t>
  </si>
  <si>
    <t>07/11/2025</t>
  </si>
  <si>
    <t>LIT146 - HILUX [8] [2 FL] 2.7L MT 2700CC 7AB 4X4 EURO IV TOYOTA 2023</t>
  </si>
  <si>
    <t>DECLARACION DE LOS HECHOS El Sr. Einer Alexander Rueda Florez conductor del vehiculo de placas LIT</t>
  </si>
  <si>
    <t>03/07/2024 07:45:00</t>
  </si>
  <si>
    <t>03/07/2024</t>
  </si>
  <si>
    <t>CONDUCTOR SOBRE LA VIA EN MENCION TENJO A BOGOTA Y A LA ALTURA DEL PARQUE INDUSTRIAL SOKO EN UN TRAN</t>
  </si>
  <si>
    <t>POLIZA Y RAMO</t>
  </si>
  <si>
    <t xml:space="preserve">PRIMA NETA </t>
  </si>
  <si>
    <t>Póliza 8001485212 RC Servidores Publicos</t>
  </si>
  <si>
    <t>Póliza 1012037 Automoviles</t>
  </si>
  <si>
    <t>Póliza 1012038 Automoviles</t>
  </si>
  <si>
    <t>INDICE DE SINIESTRALIDAD SEGURO DE AUTOMOVILES Y RESPONSABILIDAD CIVIL SERVIDORES PUBLICOS</t>
  </si>
  <si>
    <t>RESPONSABILIDAD CIVIL</t>
  </si>
  <si>
    <t>16/05/2024</t>
  </si>
  <si>
    <t>20/11/2024 10:00:00</t>
  </si>
  <si>
    <t>11/08/2025</t>
  </si>
  <si>
    <t>ACTOS INCORRECTOS</t>
  </si>
  <si>
    <t>DG 53  NO. 34  - 53</t>
  </si>
  <si>
    <t>COSTOS Y GASTOS DE  DEFENSA</t>
  </si>
  <si>
    <t>CASO ONBASE 320658Investigado: Maria Alejandra QuinteroCargo: Secretaria generalProceso discip</t>
  </si>
  <si>
    <t>29/11/2024 12:00:00</t>
  </si>
  <si>
    <t>12/05/2025</t>
  </si>
  <si>
    <t>Caso Onbase: 316188Investigado: Victoria Eugenio Diaz AcostaCargo: Directora Gestión de Informac</t>
  </si>
  <si>
    <t>18/10/2024 12:00:00</t>
  </si>
  <si>
    <t>Caso Onbase: 316163Investigado: Victoria Eugenio Diaz AcostaCargo: DirectoraProceso: Disciplin</t>
  </si>
  <si>
    <t>19/02/2025 12:00:00</t>
  </si>
  <si>
    <t>PAGADO PARCIALMENTE</t>
  </si>
  <si>
    <t>CASO ONBASE: 320642Proceso Disciplinario No IUS E-2024-030647 - IUC-D-2024-3484012Ente de Contro</t>
  </si>
  <si>
    <t>20/06/2024 12:00:00</t>
  </si>
  <si>
    <t>CASO ONBASE: 320678Referencia: Proceso Disciplinario No IUS E-2023-321479 / IUC-D-2023-311479Ent</t>
  </si>
  <si>
    <t>22/10/2024 10:00:00</t>
  </si>
  <si>
    <t>03/07/2025</t>
  </si>
  <si>
    <t>CASO ONBASE 318715Investigado: Rubiela Gonzalez Gonzalez Cargo: Secretaria generalProceso de r</t>
  </si>
  <si>
    <t>25/07/2024 10:00:00</t>
  </si>
  <si>
    <t>10/07/2025</t>
  </si>
  <si>
    <t>CASO ONBASE 319011Investigado: Maria Alejandra QuinteroCargo: Secretaria generalProceso discip</t>
  </si>
  <si>
    <t>01/01/2021</t>
  </si>
  <si>
    <t>01/01/2022</t>
  </si>
  <si>
    <t>24/06/2021 10:00:00</t>
  </si>
  <si>
    <t>18/08/2021</t>
  </si>
  <si>
    <t>DG 53 34 53</t>
  </si>
  <si>
    <t>CASO 244222Investigado: Mario BallesterosProceso penal No 110016000010120190041500Hechos: Inte</t>
  </si>
  <si>
    <t xml:space="preserve">INDICE DE SINIESTRALIDAD SEGUROS DE DRONES </t>
  </si>
  <si>
    <t xml:space="preserve">TIPO DE PROCESO: SELECCIÓN ABREVIADA MENOR CUANTIA </t>
  </si>
  <si>
    <t>TOTAL PRIMA AUTOS</t>
  </si>
  <si>
    <t>TOTAL SINIESTROS DOS POLIZAS</t>
  </si>
  <si>
    <t>INDICE SINIESTRALIDAD AUTOS</t>
  </si>
  <si>
    <t>TOTAL VALOR ASEGURADO POR 5 DRONES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</si>
</sst>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[$$-240A]\ #,##0;\-[$$-240A]\ #,##0"/>
    <numFmt numFmtId="168" formatCode="d/mm/yyyy;@"/>
    <numFmt numFmtId="169" formatCode="_-* #,##0_-;\-* #,##0_-;_-* &quot;-&quot;??_-;_-@_-"/>
    <numFmt numFmtId="170" formatCode="_-* #,##0.000_-;\-* #,##0.000_-;_-* &quot;-&quot;_-;_-@_-"/>
    <numFmt numFmtId="171" formatCode="[$$-240A]\ #,##0"/>
    <numFmt numFmtId="172" formatCode="_(* #,##0_);_(* \(#,##0\);_(* &quot;-&quot;??_);_(@_)"/>
    <numFmt numFmtId="173" formatCode="[$$-240A]\ #,##0.00;\-[$$-240A]\ #,##0.00;[$$-240A]\ #,##0.00;@"/>
    <numFmt numFmtId="174" formatCode="_-[$$-240A]\ * #,##0_-;\-[$$-240A]\ * #,##0_-;_-[$$-240A]\ * &quot;-&quot;??_-;_-@_-"/>
    <numFmt numFmtId="175" formatCode="_-&quot;$&quot;\ * #,##0_-;\-&quot;$&quot;\ * #,##0_-;_-&quot;$&quot;\ * &quot;-&quot;??_-;_-@_-"/>
    <numFmt numFmtId="176" formatCode="dd/mm/yyyy;@"/>
  </numFmts>
  <fonts count="6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20"/>
      <color rgb="FF0070C0"/>
      <name val="Arial Narrow"/>
      <family val="2"/>
    </font>
    <font>
      <b/>
      <sz val="16"/>
      <color rgb="FFFF0000"/>
      <name val="Arial Narrow"/>
      <family val="2"/>
    </font>
    <font>
      <b/>
      <sz val="20"/>
      <color rgb="FF7030A0"/>
      <name val="Arial Narrow"/>
      <family val="2"/>
    </font>
    <font>
      <b/>
      <sz val="10"/>
      <name val="Arial Narrow"/>
      <family val="2"/>
    </font>
    <font>
      <sz val="11"/>
      <color indexed="8"/>
      <name val="Calibri"/>
      <family val="2"/>
    </font>
    <font>
      <sz val="10"/>
      <name val="Arial Narrow"/>
      <family val="2"/>
    </font>
    <font>
      <sz val="12"/>
      <color theme="1"/>
      <name val="Calibri"/>
      <family val="2"/>
      <scheme val="minor"/>
    </font>
    <font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theme="0"/>
      <name val="Arial Narrow"/>
      <family val="2"/>
    </font>
    <font>
      <sz val="10"/>
      <color theme="0"/>
      <name val="Arial Narrow"/>
      <family val="2"/>
    </font>
    <font>
      <b/>
      <sz val="9"/>
      <color theme="1"/>
      <name val="Arial Narrow"/>
      <family val="2"/>
    </font>
    <font>
      <b/>
      <sz val="12"/>
      <color theme="0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4"/>
      <color theme="1"/>
      <name val="Arial Narrow"/>
      <family val="2"/>
    </font>
    <font>
      <sz val="9"/>
      <name val="Arial Narrow"/>
      <family val="2"/>
    </font>
    <font>
      <b/>
      <sz val="9"/>
      <color rgb="FF0033CC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u/>
      <sz val="12"/>
      <color theme="10"/>
      <name val="Calibri"/>
      <family val="2"/>
      <scheme val="minor"/>
    </font>
    <font>
      <sz val="12"/>
      <color theme="1"/>
      <name val="Arial Narrow"/>
      <family val="2"/>
    </font>
    <font>
      <sz val="8.25"/>
      <color rgb="FF000080"/>
      <name val="Arial Narrow"/>
      <family val="2"/>
    </font>
    <font>
      <sz val="8.25"/>
      <color rgb="FF000000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b/>
      <sz val="14"/>
      <color rgb="FF0070C0"/>
      <name val="Arial Narrow"/>
      <family val="2"/>
    </font>
    <font>
      <b/>
      <sz val="14"/>
      <color theme="3"/>
      <name val="Arial Narrow"/>
      <family val="2"/>
    </font>
    <font>
      <b/>
      <sz val="11"/>
      <name val="Arial Narrow"/>
      <family val="2"/>
    </font>
    <font>
      <b/>
      <sz val="11"/>
      <color rgb="FF003399"/>
      <name val="Arial Narrow"/>
      <family val="2"/>
    </font>
    <font>
      <sz val="8"/>
      <name val="Calibri"/>
      <family val="2"/>
      <scheme val="minor"/>
    </font>
    <font>
      <sz val="9"/>
      <color rgb="FFFF0000"/>
      <name val="Arial Narrow"/>
      <family val="2"/>
    </font>
    <font>
      <b/>
      <sz val="16"/>
      <color rgb="FF0070C0"/>
      <name val="Arial Narrow"/>
      <family val="2"/>
    </font>
    <font>
      <b/>
      <sz val="11"/>
      <color rgb="FFC00000"/>
      <name val="Arial Narrow"/>
      <family val="2"/>
    </font>
    <font>
      <sz val="8.25"/>
      <color rgb="FF000080"/>
      <name val="MS Sans Serif"/>
      <family val="2"/>
    </font>
    <font>
      <sz val="8.25"/>
      <color rgb="FF000000"/>
      <name val="MS Sans Serif"/>
      <family val="2"/>
    </font>
    <font>
      <b/>
      <sz val="14"/>
      <color rgb="FF000080"/>
      <name val="Arial Narrow"/>
      <family val="2"/>
    </font>
    <font>
      <sz val="14"/>
      <color theme="1"/>
      <name val="Arial Narrow"/>
      <family val="2"/>
    </font>
    <font>
      <b/>
      <sz val="14"/>
      <color rgb="FF002060"/>
      <name val="Arial Narrow"/>
      <family val="2"/>
    </font>
    <font>
      <sz val="11"/>
      <color rgb="FF000000"/>
      <name val="Arial Narrow"/>
      <family val="2"/>
    </font>
    <font>
      <b/>
      <sz val="12"/>
      <color rgb="FF002060"/>
      <name val="Arial Narrow"/>
      <family val="2"/>
    </font>
    <font>
      <b/>
      <sz val="12"/>
      <color rgb="FF0070C0"/>
      <name val="Arial Narrow"/>
      <family val="2"/>
    </font>
    <font>
      <b/>
      <sz val="9"/>
      <color theme="1"/>
      <name val="Arial Nova Light"/>
      <family val="2"/>
    </font>
    <font>
      <b/>
      <sz val="9"/>
      <color rgb="FF0070C0"/>
      <name val="Arial Nova Light"/>
      <family val="2"/>
    </font>
    <font>
      <sz val="9"/>
      <name val="Arial Nova Light"/>
      <family val="2"/>
    </font>
    <font>
      <sz val="9"/>
      <color theme="1"/>
      <name val="Arial Nova Light"/>
      <family val="2"/>
    </font>
    <font>
      <b/>
      <sz val="9"/>
      <name val="Arial Nova Light"/>
      <family val="2"/>
    </font>
    <font>
      <b/>
      <sz val="9"/>
      <color theme="0"/>
      <name val="Arial Nova Light"/>
      <family val="2"/>
    </font>
  </fonts>
  <fills count="2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89999084444715716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7" fillId="0" borderId="0"/>
    <xf numFmtId="165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25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27" fillId="0" borderId="0"/>
    <xf numFmtId="41" fontId="6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41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7" fillId="0" borderId="0"/>
    <xf numFmtId="44" fontId="2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32">
    <xf numFmtId="0" fontId="0" fillId="0" borderId="0" xfId="0"/>
    <xf numFmtId="0" fontId="9" fillId="0" borderId="0" xfId="3" applyFont="1"/>
    <xf numFmtId="0" fontId="7" fillId="0" borderId="0" xfId="3"/>
    <xf numFmtId="0" fontId="12" fillId="0" borderId="0" xfId="3" applyFont="1" applyAlignment="1">
      <alignment horizontal="center" vertical="center"/>
    </xf>
    <xf numFmtId="0" fontId="1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1" fontId="9" fillId="0" borderId="0" xfId="6" applyFont="1" applyAlignment="1">
      <alignment vertical="center"/>
    </xf>
    <xf numFmtId="41" fontId="22" fillId="0" borderId="0" xfId="6" applyFont="1" applyAlignment="1">
      <alignment vertical="center"/>
    </xf>
    <xf numFmtId="164" fontId="15" fillId="0" borderId="0" xfId="1" applyFont="1" applyAlignment="1">
      <alignment vertical="center"/>
    </xf>
    <xf numFmtId="1" fontId="9" fillId="0" borderId="0" xfId="0" applyNumberFormat="1" applyFont="1" applyAlignment="1">
      <alignment vertical="center"/>
    </xf>
    <xf numFmtId="0" fontId="18" fillId="4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168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69" fontId="18" fillId="7" borderId="1" xfId="7" applyNumberFormat="1" applyFont="1" applyFill="1" applyBorder="1" applyAlignment="1">
      <alignment vertical="center" wrapText="1"/>
    </xf>
    <xf numFmtId="0" fontId="24" fillId="10" borderId="1" xfId="0" applyFont="1" applyFill="1" applyBorder="1" applyAlignment="1">
      <alignment vertical="center"/>
    </xf>
    <xf numFmtId="41" fontId="23" fillId="12" borderId="1" xfId="6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67" fontId="18" fillId="5" borderId="0" xfId="6" applyNumberFormat="1" applyFont="1" applyFill="1" applyBorder="1" applyAlignment="1">
      <alignment vertical="center"/>
    </xf>
    <xf numFmtId="169" fontId="18" fillId="0" borderId="0" xfId="7" applyNumberFormat="1" applyFont="1" applyAlignment="1">
      <alignment horizontal="center" vertical="center"/>
    </xf>
    <xf numFmtId="170" fontId="9" fillId="0" borderId="0" xfId="6" applyNumberFormat="1" applyFont="1" applyAlignment="1">
      <alignment vertical="center"/>
    </xf>
    <xf numFmtId="0" fontId="6" fillId="0" borderId="0" xfId="8"/>
    <xf numFmtId="0" fontId="6" fillId="0" borderId="0" xfId="8" applyAlignment="1">
      <alignment wrapText="1"/>
    </xf>
    <xf numFmtId="0" fontId="8" fillId="0" borderId="0" xfId="8" applyFont="1" applyAlignment="1">
      <alignment wrapText="1"/>
    </xf>
    <xf numFmtId="172" fontId="26" fillId="0" borderId="0" xfId="8" applyNumberFormat="1" applyFont="1"/>
    <xf numFmtId="173" fontId="26" fillId="0" borderId="1" xfId="8" applyNumberFormat="1" applyFont="1" applyBorder="1"/>
    <xf numFmtId="0" fontId="26" fillId="0" borderId="1" xfId="8" applyFont="1" applyBorder="1" applyAlignment="1">
      <alignment wrapText="1"/>
    </xf>
    <xf numFmtId="174" fontId="15" fillId="0" borderId="1" xfId="12" applyNumberFormat="1" applyFont="1" applyBorder="1" applyAlignment="1">
      <alignment vertical="top"/>
    </xf>
    <xf numFmtId="0" fontId="15" fillId="5" borderId="1" xfId="13" quotePrefix="1" applyFont="1" applyFill="1" applyBorder="1" applyAlignment="1">
      <alignment vertical="top" wrapText="1"/>
    </xf>
    <xf numFmtId="174" fontId="28" fillId="0" borderId="1" xfId="12" applyNumberFormat="1" applyFont="1" applyBorder="1" applyAlignment="1">
      <alignment vertical="top"/>
    </xf>
    <xf numFmtId="0" fontId="18" fillId="0" borderId="1" xfId="8" applyFont="1" applyBorder="1" applyAlignment="1">
      <alignment horizontal="center" vertical="center" wrapText="1"/>
    </xf>
    <xf numFmtId="0" fontId="24" fillId="10" borderId="3" xfId="0" applyFont="1" applyFill="1" applyBorder="1" applyAlignment="1">
      <alignment vertical="center"/>
    </xf>
    <xf numFmtId="0" fontId="24" fillId="10" borderId="11" xfId="0" applyFont="1" applyFill="1" applyBorder="1" applyAlignment="1">
      <alignment vertical="center"/>
    </xf>
    <xf numFmtId="0" fontId="24" fillId="10" borderId="8" xfId="0" applyFont="1" applyFill="1" applyBorder="1" applyAlignment="1">
      <alignment vertical="center"/>
    </xf>
    <xf numFmtId="167" fontId="24" fillId="10" borderId="11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7" fontId="9" fillId="0" borderId="0" xfId="1" applyNumberFormat="1" applyFont="1" applyFill="1" applyBorder="1" applyAlignment="1">
      <alignment horizontal="center" vertical="center"/>
    </xf>
    <xf numFmtId="4" fontId="31" fillId="0" borderId="1" xfId="3" applyNumberFormat="1" applyFont="1" applyBorder="1" applyAlignment="1">
      <alignment horizontal="center" vertical="center" wrapText="1"/>
    </xf>
    <xf numFmtId="0" fontId="32" fillId="0" borderId="0" xfId="15" applyFont="1"/>
    <xf numFmtId="0" fontId="32" fillId="0" borderId="0" xfId="15" applyFont="1" applyAlignment="1">
      <alignment horizontal="center" vertical="center"/>
    </xf>
    <xf numFmtId="0" fontId="26" fillId="0" borderId="1" xfId="15" applyFont="1" applyBorder="1" applyAlignment="1">
      <alignment horizontal="center" vertical="center" wrapText="1"/>
    </xf>
    <xf numFmtId="0" fontId="32" fillId="0" borderId="1" xfId="15" applyFont="1" applyBorder="1"/>
    <xf numFmtId="175" fontId="32" fillId="0" borderId="1" xfId="16" applyNumberFormat="1" applyFont="1" applyBorder="1"/>
    <xf numFmtId="0" fontId="26" fillId="16" borderId="1" xfId="15" applyFont="1" applyFill="1" applyBorder="1"/>
    <xf numFmtId="175" fontId="26" fillId="16" borderId="1" xfId="16" applyNumberFormat="1" applyFont="1" applyFill="1" applyBorder="1"/>
    <xf numFmtId="0" fontId="26" fillId="0" borderId="0" xfId="15" applyFont="1" applyAlignment="1">
      <alignment horizontal="center" vertical="center"/>
    </xf>
    <xf numFmtId="0" fontId="26" fillId="0" borderId="0" xfId="15" applyFont="1"/>
    <xf numFmtId="175" fontId="26" fillId="0" borderId="0" xfId="16" applyNumberFormat="1" applyFont="1" applyFill="1" applyBorder="1"/>
    <xf numFmtId="175" fontId="26" fillId="0" borderId="0" xfId="16" applyNumberFormat="1" applyFont="1" applyBorder="1" applyAlignment="1">
      <alignment horizontal="center" vertical="center"/>
    </xf>
    <xf numFmtId="175" fontId="32" fillId="0" borderId="0" xfId="16" applyNumberFormat="1" applyFont="1" applyBorder="1" applyAlignment="1">
      <alignment horizontal="center" vertical="center"/>
    </xf>
    <xf numFmtId="9" fontId="33" fillId="0" borderId="0" xfId="17" applyFont="1" applyBorder="1" applyAlignment="1">
      <alignment horizontal="center" vertical="center"/>
    </xf>
    <xf numFmtId="175" fontId="26" fillId="0" borderId="0" xfId="16" applyNumberFormat="1" applyFont="1" applyFill="1" applyBorder="1" applyAlignment="1">
      <alignment horizontal="center" vertical="center"/>
    </xf>
    <xf numFmtId="175" fontId="32" fillId="0" borderId="0" xfId="16" applyNumberFormat="1" applyFont="1" applyFill="1" applyBorder="1" applyAlignment="1">
      <alignment horizontal="center" vertical="center"/>
    </xf>
    <xf numFmtId="9" fontId="33" fillId="0" borderId="0" xfId="17" applyFont="1" applyFill="1" applyBorder="1" applyAlignment="1">
      <alignment horizontal="center" vertical="center"/>
    </xf>
    <xf numFmtId="0" fontId="26" fillId="0" borderId="1" xfId="15" applyFont="1" applyBorder="1" applyAlignment="1">
      <alignment horizontal="center" wrapText="1"/>
    </xf>
    <xf numFmtId="0" fontId="30" fillId="0" borderId="1" xfId="3" applyFont="1" applyBorder="1" applyAlignment="1">
      <alignment horizontal="center" vertical="center" wrapText="1"/>
    </xf>
    <xf numFmtId="0" fontId="19" fillId="17" borderId="1" xfId="3" applyFont="1" applyFill="1" applyBorder="1" applyAlignment="1">
      <alignment horizontal="center" vertical="center" wrapText="1"/>
    </xf>
    <xf numFmtId="167" fontId="18" fillId="8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1" fontId="9" fillId="5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171" fontId="9" fillId="5" borderId="1" xfId="6" applyNumberFormat="1" applyFont="1" applyFill="1" applyBorder="1" applyAlignment="1">
      <alignment horizontal="center" vertical="center"/>
    </xf>
    <xf numFmtId="166" fontId="9" fillId="5" borderId="1" xfId="1" applyNumberFormat="1" applyFont="1" applyFill="1" applyBorder="1" applyAlignment="1">
      <alignment horizontal="center" vertical="center"/>
    </xf>
    <xf numFmtId="167" fontId="9" fillId="5" borderId="1" xfId="6" applyNumberFormat="1" applyFont="1" applyFill="1" applyBorder="1" applyAlignment="1">
      <alignment horizontal="center" vertical="center"/>
    </xf>
    <xf numFmtId="171" fontId="9" fillId="5" borderId="2" xfId="6" applyNumberFormat="1" applyFont="1" applyFill="1" applyBorder="1" applyAlignment="1">
      <alignment horizontal="center" vertical="center"/>
    </xf>
    <xf numFmtId="166" fontId="9" fillId="5" borderId="2" xfId="1" applyNumberFormat="1" applyFont="1" applyFill="1" applyBorder="1" applyAlignment="1">
      <alignment horizontal="center" vertical="center"/>
    </xf>
    <xf numFmtId="167" fontId="9" fillId="5" borderId="2" xfId="6" applyNumberFormat="1" applyFont="1" applyFill="1" applyBorder="1" applyAlignment="1">
      <alignment horizontal="center" vertical="center"/>
    </xf>
    <xf numFmtId="0" fontId="34" fillId="0" borderId="0" xfId="18"/>
    <xf numFmtId="0" fontId="35" fillId="0" borderId="0" xfId="0" applyFont="1"/>
    <xf numFmtId="41" fontId="35" fillId="0" borderId="0" xfId="14" applyFont="1"/>
    <xf numFmtId="0" fontId="36" fillId="0" borderId="9" xfId="0" applyFont="1" applyBorder="1" applyAlignment="1">
      <alignment horizontal="center" wrapText="1"/>
    </xf>
    <xf numFmtId="0" fontId="36" fillId="0" borderId="4" xfId="0" applyFont="1" applyBorder="1" applyAlignment="1">
      <alignment horizontal="center" wrapText="1"/>
    </xf>
    <xf numFmtId="41" fontId="36" fillId="0" borderId="4" xfId="14" applyFont="1" applyBorder="1" applyAlignment="1">
      <alignment horizontal="center" wrapText="1"/>
    </xf>
    <xf numFmtId="0" fontId="35" fillId="0" borderId="0" xfId="0" applyFont="1" applyAlignment="1">
      <alignment wrapText="1"/>
    </xf>
    <xf numFmtId="0" fontId="37" fillId="0" borderId="10" xfId="0" applyFont="1" applyBorder="1"/>
    <xf numFmtId="0" fontId="37" fillId="0" borderId="1" xfId="0" applyFont="1" applyBorder="1"/>
    <xf numFmtId="14" fontId="37" fillId="0" borderId="1" xfId="0" applyNumberFormat="1" applyFont="1" applyBorder="1"/>
    <xf numFmtId="49" fontId="37" fillId="0" borderId="1" xfId="0" applyNumberFormat="1" applyFont="1" applyBorder="1"/>
    <xf numFmtId="41" fontId="37" fillId="0" borderId="1" xfId="14" applyFont="1" applyBorder="1"/>
    <xf numFmtId="14" fontId="37" fillId="0" borderId="1" xfId="14" applyNumberFormat="1" applyFont="1" applyBorder="1"/>
    <xf numFmtId="43" fontId="4" fillId="0" borderId="0" xfId="8" applyNumberFormat="1" applyFont="1"/>
    <xf numFmtId="0" fontId="19" fillId="0" borderId="0" xfId="3" applyFont="1"/>
    <xf numFmtId="4" fontId="19" fillId="17" borderId="1" xfId="3" applyNumberFormat="1" applyFont="1" applyFill="1" applyBorder="1" applyAlignment="1">
      <alignment horizontal="center" vertical="center" wrapText="1"/>
    </xf>
    <xf numFmtId="2" fontId="19" fillId="0" borderId="0" xfId="3" applyNumberFormat="1" applyFont="1"/>
    <xf numFmtId="9" fontId="19" fillId="0" borderId="0" xfId="2" applyFont="1"/>
    <xf numFmtId="0" fontId="18" fillId="0" borderId="6" xfId="8" applyFont="1" applyBorder="1" applyAlignment="1">
      <alignment horizontal="center" vertical="center" wrapText="1"/>
    </xf>
    <xf numFmtId="0" fontId="18" fillId="0" borderId="7" xfId="8" applyFont="1" applyBorder="1" applyAlignment="1">
      <alignment horizontal="center" vertical="center" wrapText="1"/>
    </xf>
    <xf numFmtId="165" fontId="9" fillId="5" borderId="1" xfId="7" applyNumberFormat="1" applyFont="1" applyFill="1" applyBorder="1" applyAlignment="1">
      <alignment horizontal="center" vertical="center"/>
    </xf>
    <xf numFmtId="164" fontId="19" fillId="0" borderId="1" xfId="1" applyFont="1" applyBorder="1" applyAlignment="1">
      <alignment vertical="center"/>
    </xf>
    <xf numFmtId="164" fontId="23" fillId="0" borderId="1" xfId="1" applyFont="1" applyBorder="1" applyAlignment="1">
      <alignment vertical="center"/>
    </xf>
    <xf numFmtId="164" fontId="23" fillId="0" borderId="1" xfId="1" applyFont="1" applyFill="1" applyBorder="1" applyAlignment="1">
      <alignment vertical="center"/>
    </xf>
    <xf numFmtId="166" fontId="17" fillId="17" borderId="1" xfId="1" applyNumberFormat="1" applyFont="1" applyFill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30" fillId="0" borderId="5" xfId="3" applyFont="1" applyBorder="1" applyAlignment="1">
      <alignment horizontal="left" vertical="center" wrapText="1"/>
    </xf>
    <xf numFmtId="0" fontId="19" fillId="0" borderId="5" xfId="0" applyFont="1" applyBorder="1" applyAlignment="1">
      <alignment vertical="center" wrapText="1"/>
    </xf>
    <xf numFmtId="44" fontId="6" fillId="0" borderId="0" xfId="8" applyNumberFormat="1"/>
    <xf numFmtId="0" fontId="3" fillId="0" borderId="0" xfId="8" applyFont="1"/>
    <xf numFmtId="0" fontId="6" fillId="0" borderId="1" xfId="8" applyBorder="1" applyAlignment="1">
      <alignment wrapText="1"/>
    </xf>
    <xf numFmtId="0" fontId="19" fillId="0" borderId="1" xfId="0" applyFont="1" applyBorder="1" applyAlignment="1">
      <alignment vertical="center"/>
    </xf>
    <xf numFmtId="166" fontId="19" fillId="0" borderId="1" xfId="21" applyNumberFormat="1" applyFont="1" applyBorder="1" applyAlignment="1">
      <alignment vertical="center"/>
    </xf>
    <xf numFmtId="2" fontId="30" fillId="0" borderId="1" xfId="3" applyNumberFormat="1" applyFont="1" applyBorder="1" applyAlignment="1">
      <alignment horizontal="center" vertical="center" wrapText="1"/>
    </xf>
    <xf numFmtId="0" fontId="30" fillId="0" borderId="1" xfId="3" applyFont="1" applyBorder="1" applyAlignment="1">
      <alignment vertical="center" wrapText="1"/>
    </xf>
    <xf numFmtId="0" fontId="30" fillId="5" borderId="1" xfId="3" applyFont="1" applyFill="1" applyBorder="1" applyAlignment="1">
      <alignment vertical="center" wrapText="1"/>
    </xf>
    <xf numFmtId="166" fontId="30" fillId="0" borderId="1" xfId="21" applyNumberFormat="1" applyFont="1" applyBorder="1" applyAlignment="1">
      <alignment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9" fillId="19" borderId="4" xfId="13" applyFont="1" applyFill="1" applyBorder="1" applyAlignment="1">
      <alignment vertical="center" wrapText="1"/>
    </xf>
    <xf numFmtId="166" fontId="30" fillId="19" borderId="4" xfId="20" applyNumberFormat="1" applyFont="1" applyFill="1" applyBorder="1" applyAlignment="1">
      <alignment vertical="center" wrapText="1"/>
    </xf>
    <xf numFmtId="4" fontId="39" fillId="19" borderId="4" xfId="13" applyNumberFormat="1" applyFont="1" applyFill="1" applyBorder="1" applyAlignment="1">
      <alignment horizontal="center" vertical="center" wrapText="1"/>
    </xf>
    <xf numFmtId="0" fontId="30" fillId="0" borderId="19" xfId="3" applyFont="1" applyBorder="1" applyAlignment="1">
      <alignment vertical="center" wrapText="1"/>
    </xf>
    <xf numFmtId="0" fontId="30" fillId="5" borderId="19" xfId="3" applyFont="1" applyFill="1" applyBorder="1" applyAlignment="1">
      <alignment vertical="center" wrapText="1"/>
    </xf>
    <xf numFmtId="166" fontId="19" fillId="0" borderId="19" xfId="21" applyNumberFormat="1" applyFont="1" applyBorder="1" applyAlignment="1">
      <alignment vertical="center"/>
    </xf>
    <xf numFmtId="2" fontId="30" fillId="0" borderId="19" xfId="3" applyNumberFormat="1" applyFont="1" applyBorder="1" applyAlignment="1">
      <alignment horizontal="center" vertical="center" wrapText="1"/>
    </xf>
    <xf numFmtId="166" fontId="39" fillId="19" borderId="4" xfId="20" applyNumberFormat="1" applyFont="1" applyFill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19" xfId="0" applyFont="1" applyBorder="1" applyAlignment="1">
      <alignment horizontal="center" vertical="center"/>
    </xf>
    <xf numFmtId="164" fontId="19" fillId="0" borderId="19" xfId="1" applyFont="1" applyFill="1" applyBorder="1" applyAlignment="1">
      <alignment vertical="center"/>
    </xf>
    <xf numFmtId="4" fontId="31" fillId="0" borderId="19" xfId="3" applyNumberFormat="1" applyFont="1" applyBorder="1" applyAlignment="1">
      <alignment horizontal="center" vertical="center" wrapText="1"/>
    </xf>
    <xf numFmtId="0" fontId="30" fillId="20" borderId="4" xfId="3" applyFont="1" applyFill="1" applyBorder="1" applyAlignment="1">
      <alignment horizontal="center" vertical="center" wrapText="1"/>
    </xf>
    <xf numFmtId="166" fontId="30" fillId="20" borderId="4" xfId="1" applyNumberFormat="1" applyFont="1" applyFill="1" applyBorder="1" applyAlignment="1">
      <alignment vertical="center" wrapText="1"/>
    </xf>
    <xf numFmtId="4" fontId="30" fillId="20" borderId="4" xfId="3" applyNumberFormat="1" applyFont="1" applyFill="1" applyBorder="1" applyAlignment="1">
      <alignment horizontal="center" vertical="center" wrapText="1"/>
    </xf>
    <xf numFmtId="0" fontId="32" fillId="0" borderId="0" xfId="22" applyFont="1"/>
    <xf numFmtId="0" fontId="2" fillId="0" borderId="25" xfId="22" applyBorder="1"/>
    <xf numFmtId="0" fontId="2" fillId="0" borderId="28" xfId="22" applyBorder="1"/>
    <xf numFmtId="0" fontId="2" fillId="0" borderId="0" xfId="22"/>
    <xf numFmtId="0" fontId="41" fillId="5" borderId="0" xfId="23" applyFont="1" applyFill="1" applyAlignment="1">
      <alignment horizontal="center" vertical="center"/>
    </xf>
    <xf numFmtId="0" fontId="42" fillId="16" borderId="1" xfId="22" applyFont="1" applyFill="1" applyBorder="1" applyAlignment="1">
      <alignment horizontal="center" vertical="center" wrapText="1"/>
    </xf>
    <xf numFmtId="0" fontId="32" fillId="0" borderId="1" xfId="22" applyFont="1" applyBorder="1" applyAlignment="1" applyProtection="1">
      <alignment horizontal="center" vertical="center"/>
      <protection locked="0"/>
    </xf>
    <xf numFmtId="0" fontId="32" fillId="0" borderId="1" xfId="22" applyFont="1" applyBorder="1" applyAlignment="1">
      <alignment horizontal="left" vertical="center"/>
    </xf>
    <xf numFmtId="0" fontId="32" fillId="0" borderId="1" xfId="22" applyFont="1" applyBorder="1" applyAlignment="1" applyProtection="1">
      <alignment horizontal="left" vertical="center"/>
      <protection locked="0"/>
    </xf>
    <xf numFmtId="49" fontId="32" fillId="0" borderId="1" xfId="22" applyNumberFormat="1" applyFont="1" applyBorder="1" applyAlignment="1">
      <alignment horizontal="center"/>
    </xf>
    <xf numFmtId="175" fontId="32" fillId="0" borderId="1" xfId="24" applyNumberFormat="1" applyFont="1" applyBorder="1" applyAlignment="1" applyProtection="1">
      <alignment horizontal="center" vertical="center"/>
      <protection locked="0"/>
    </xf>
    <xf numFmtId="171" fontId="32" fillId="0" borderId="1" xfId="22" applyNumberFormat="1" applyFont="1" applyBorder="1" applyAlignment="1">
      <alignment horizontal="center"/>
    </xf>
    <xf numFmtId="0" fontId="32" fillId="0" borderId="1" xfId="25" applyFont="1" applyBorder="1" applyAlignment="1" applyProtection="1">
      <alignment horizontal="left" vertical="center"/>
      <protection locked="0"/>
    </xf>
    <xf numFmtId="0" fontId="32" fillId="0" borderId="0" xfId="22" applyFont="1" applyAlignment="1" applyProtection="1">
      <alignment vertical="center"/>
      <protection locked="0"/>
    </xf>
    <xf numFmtId="0" fontId="32" fillId="0" borderId="1" xfId="22" applyFont="1" applyBorder="1" applyAlignment="1">
      <alignment horizontal="center"/>
    </xf>
    <xf numFmtId="175" fontId="32" fillId="0" borderId="1" xfId="24" applyNumberFormat="1" applyFont="1" applyBorder="1"/>
    <xf numFmtId="171" fontId="32" fillId="0" borderId="5" xfId="22" applyNumberFormat="1" applyFont="1" applyBorder="1" applyAlignment="1">
      <alignment horizontal="center"/>
    </xf>
    <xf numFmtId="0" fontId="32" fillId="0" borderId="7" xfId="22" applyFont="1" applyBorder="1" applyAlignment="1" applyProtection="1">
      <alignment horizontal="center" vertical="center"/>
      <protection locked="0"/>
    </xf>
    <xf numFmtId="0" fontId="32" fillId="0" borderId="7" xfId="22" applyFont="1" applyBorder="1" applyAlignment="1">
      <alignment horizontal="left" vertical="center"/>
    </xf>
    <xf numFmtId="0" fontId="32" fillId="0" borderId="7" xfId="25" applyFont="1" applyBorder="1" applyAlignment="1" applyProtection="1">
      <alignment horizontal="left" vertical="center"/>
      <protection locked="0"/>
    </xf>
    <xf numFmtId="0" fontId="32" fillId="0" borderId="7" xfId="22" applyFont="1" applyBorder="1" applyAlignment="1" applyProtection="1">
      <alignment horizontal="left" vertical="center"/>
      <protection locked="0"/>
    </xf>
    <xf numFmtId="175" fontId="32" fillId="0" borderId="7" xfId="24" applyNumberFormat="1" applyFont="1" applyBorder="1" applyAlignment="1" applyProtection="1">
      <alignment horizontal="center" vertical="center"/>
      <protection locked="0"/>
    </xf>
    <xf numFmtId="0" fontId="25" fillId="0" borderId="0" xfId="9"/>
    <xf numFmtId="0" fontId="32" fillId="0" borderId="1" xfId="22" applyFont="1" applyBorder="1"/>
    <xf numFmtId="0" fontId="23" fillId="0" borderId="1" xfId="22" applyFont="1" applyBorder="1" applyAlignment="1">
      <alignment horizontal="center"/>
    </xf>
    <xf numFmtId="0" fontId="23" fillId="0" borderId="1" xfId="22" applyFont="1" applyBorder="1"/>
    <xf numFmtId="9" fontId="32" fillId="0" borderId="1" xfId="26" applyFont="1" applyBorder="1" applyAlignment="1">
      <alignment horizontal="center"/>
    </xf>
    <xf numFmtId="175" fontId="32" fillId="0" borderId="0" xfId="22" applyNumberFormat="1" applyFont="1"/>
    <xf numFmtId="10" fontId="32" fillId="0" borderId="1" xfId="26" applyNumberFormat="1" applyFont="1" applyBorder="1" applyAlignment="1">
      <alignment horizontal="center"/>
    </xf>
    <xf numFmtId="9" fontId="26" fillId="21" borderId="1" xfId="22" applyNumberFormat="1" applyFont="1" applyFill="1" applyBorder="1" applyAlignment="1">
      <alignment horizontal="center"/>
    </xf>
    <xf numFmtId="15" fontId="32" fillId="0" borderId="1" xfId="22" applyNumberFormat="1" applyFont="1" applyBorder="1"/>
    <xf numFmtId="15" fontId="43" fillId="0" borderId="1" xfId="22" applyNumberFormat="1" applyFont="1" applyBorder="1"/>
    <xf numFmtId="0" fontId="43" fillId="0" borderId="1" xfId="22" applyFont="1" applyBorder="1"/>
    <xf numFmtId="0" fontId="42" fillId="17" borderId="1" xfId="22" applyFont="1" applyFill="1" applyBorder="1" applyAlignment="1">
      <alignment horizontal="center" vertical="center" wrapText="1"/>
    </xf>
    <xf numFmtId="175" fontId="42" fillId="16" borderId="1" xfId="24" applyNumberFormat="1" applyFont="1" applyFill="1" applyBorder="1"/>
    <xf numFmtId="0" fontId="18" fillId="14" borderId="1" xfId="8" applyFont="1" applyFill="1" applyBorder="1" applyAlignment="1">
      <alignment horizontal="center" vertical="center" wrapText="1"/>
    </xf>
    <xf numFmtId="0" fontId="18" fillId="0" borderId="2" xfId="8" applyFont="1" applyBorder="1" applyAlignment="1">
      <alignment horizontal="center" vertical="center" wrapText="1"/>
    </xf>
    <xf numFmtId="0" fontId="6" fillId="0" borderId="0" xfId="8" applyAlignment="1">
      <alignment vertical="center" wrapText="1"/>
    </xf>
    <xf numFmtId="0" fontId="30" fillId="0" borderId="30" xfId="3" applyFont="1" applyBorder="1" applyAlignment="1">
      <alignment horizontal="left" vertical="center" wrapText="1"/>
    </xf>
    <xf numFmtId="4" fontId="31" fillId="0" borderId="7" xfId="3" applyNumberFormat="1" applyFont="1" applyBorder="1" applyAlignment="1">
      <alignment horizontal="center" vertical="center" wrapText="1"/>
    </xf>
    <xf numFmtId="0" fontId="30" fillId="20" borderId="4" xfId="3" applyFont="1" applyFill="1" applyBorder="1" applyAlignment="1">
      <alignment vertical="center" wrapText="1"/>
    </xf>
    <xf numFmtId="0" fontId="19" fillId="17" borderId="1" xfId="3" applyFont="1" applyFill="1" applyBorder="1" applyAlignment="1">
      <alignment vertical="center" wrapText="1"/>
    </xf>
    <xf numFmtId="0" fontId="19" fillId="17" borderId="19" xfId="3" applyFont="1" applyFill="1" applyBorder="1" applyAlignment="1">
      <alignment vertical="center" wrapText="1"/>
    </xf>
    <xf numFmtId="0" fontId="19" fillId="17" borderId="19" xfId="3" applyFont="1" applyFill="1" applyBorder="1" applyAlignment="1">
      <alignment horizontal="center" vertical="center" wrapText="1"/>
    </xf>
    <xf numFmtId="166" fontId="17" fillId="17" borderId="19" xfId="1" applyNumberFormat="1" applyFont="1" applyFill="1" applyBorder="1" applyAlignment="1">
      <alignment vertical="center"/>
    </xf>
    <xf numFmtId="4" fontId="19" fillId="17" borderId="19" xfId="3" applyNumberFormat="1" applyFont="1" applyFill="1" applyBorder="1" applyAlignment="1">
      <alignment horizontal="center" vertical="center" wrapText="1"/>
    </xf>
    <xf numFmtId="9" fontId="45" fillId="0" borderId="7" xfId="3" applyNumberFormat="1" applyFont="1" applyBorder="1" applyAlignment="1">
      <alignment horizontal="center" vertical="center"/>
    </xf>
    <xf numFmtId="9" fontId="45" fillId="0" borderId="4" xfId="3" applyNumberFormat="1" applyFont="1" applyBorder="1" applyAlignment="1">
      <alignment horizontal="center"/>
    </xf>
    <xf numFmtId="0" fontId="32" fillId="0" borderId="0" xfId="28" applyFont="1"/>
    <xf numFmtId="0" fontId="1" fillId="0" borderId="28" xfId="28" applyBorder="1"/>
    <xf numFmtId="0" fontId="1" fillId="0" borderId="0" xfId="28"/>
    <xf numFmtId="176" fontId="38" fillId="16" borderId="1" xfId="28" applyNumberFormat="1" applyFont="1" applyFill="1" applyBorder="1" applyAlignment="1">
      <alignment horizontal="center" vertical="center" wrapText="1"/>
    </xf>
    <xf numFmtId="0" fontId="38" fillId="16" borderId="1" xfId="28" applyFont="1" applyFill="1" applyBorder="1" applyAlignment="1">
      <alignment horizontal="center" vertical="center" wrapText="1"/>
    </xf>
    <xf numFmtId="0" fontId="19" fillId="0" borderId="0" xfId="28" applyFont="1"/>
    <xf numFmtId="176" fontId="32" fillId="0" borderId="1" xfId="28" applyNumberFormat="1" applyFont="1" applyBorder="1" applyAlignment="1" applyProtection="1">
      <alignment horizontal="center" vertical="center"/>
      <protection locked="0"/>
    </xf>
    <xf numFmtId="0" fontId="32" fillId="0" borderId="1" xfId="28" applyFont="1" applyBorder="1" applyAlignment="1" applyProtection="1">
      <alignment horizontal="center" vertical="center"/>
      <protection locked="0"/>
    </xf>
    <xf numFmtId="0" fontId="32" fillId="0" borderId="1" xfId="28" applyFont="1" applyBorder="1" applyAlignment="1">
      <alignment horizontal="left" vertical="center"/>
    </xf>
    <xf numFmtId="0" fontId="32" fillId="0" borderId="1" xfId="28" applyFont="1" applyBorder="1" applyAlignment="1" applyProtection="1">
      <alignment horizontal="left" vertical="center"/>
      <protection locked="0"/>
    </xf>
    <xf numFmtId="49" fontId="32" fillId="0" borderId="1" xfId="28" applyNumberFormat="1" applyFont="1" applyBorder="1" applyAlignment="1">
      <alignment horizontal="center"/>
    </xf>
    <xf numFmtId="175" fontId="32" fillId="0" borderId="1" xfId="29" applyNumberFormat="1" applyFont="1" applyBorder="1" applyAlignment="1" applyProtection="1">
      <alignment horizontal="center" vertical="center"/>
      <protection locked="0"/>
    </xf>
    <xf numFmtId="0" fontId="32" fillId="0" borderId="1" xfId="28" applyFont="1" applyBorder="1" applyAlignment="1" applyProtection="1">
      <alignment vertical="center"/>
      <protection locked="0"/>
    </xf>
    <xf numFmtId="0" fontId="32" fillId="0" borderId="1" xfId="28" applyFont="1" applyBorder="1" applyAlignment="1">
      <alignment horizontal="center"/>
    </xf>
    <xf numFmtId="175" fontId="32" fillId="0" borderId="1" xfId="29" applyNumberFormat="1" applyFont="1" applyBorder="1"/>
    <xf numFmtId="175" fontId="32" fillId="0" borderId="0" xfId="28" applyNumberFormat="1" applyFont="1"/>
    <xf numFmtId="10" fontId="32" fillId="0" borderId="0" xfId="30" applyNumberFormat="1" applyFont="1"/>
    <xf numFmtId="10" fontId="26" fillId="0" borderId="0" xfId="30" applyNumberFormat="1" applyFont="1"/>
    <xf numFmtId="9" fontId="32" fillId="0" borderId="0" xfId="30" applyFont="1"/>
    <xf numFmtId="15" fontId="32" fillId="0" borderId="1" xfId="28" applyNumberFormat="1" applyFont="1" applyBorder="1"/>
    <xf numFmtId="0" fontId="32" fillId="0" borderId="1" xfId="28" applyFont="1" applyBorder="1"/>
    <xf numFmtId="15" fontId="47" fillId="0" borderId="1" xfId="28" applyNumberFormat="1" applyFont="1" applyBorder="1"/>
    <xf numFmtId="0" fontId="47" fillId="0" borderId="1" xfId="28" applyFont="1" applyBorder="1"/>
    <xf numFmtId="0" fontId="48" fillId="0" borderId="0" xfId="0" applyFont="1" applyAlignment="1">
      <alignment horizontal="center"/>
    </xf>
    <xf numFmtId="42" fontId="48" fillId="0" borderId="0" xfId="31" applyFont="1" applyAlignment="1">
      <alignment horizontal="center" wrapText="1"/>
    </xf>
    <xf numFmtId="42" fontId="48" fillId="0" borderId="0" xfId="31" applyFont="1" applyAlignment="1">
      <alignment horizontal="center" vertical="center"/>
    </xf>
    <xf numFmtId="0" fontId="49" fillId="0" borderId="0" xfId="0" applyFont="1"/>
    <xf numFmtId="49" fontId="49" fillId="0" borderId="0" xfId="0" applyNumberFormat="1" applyFont="1"/>
    <xf numFmtId="166" fontId="49" fillId="0" borderId="0" xfId="0" applyNumberFormat="1" applyFont="1"/>
    <xf numFmtId="0" fontId="51" fillId="0" borderId="0" xfId="0" applyFont="1"/>
    <xf numFmtId="0" fontId="53" fillId="0" borderId="10" xfId="0" applyFont="1" applyBorder="1" applyAlignment="1">
      <alignment vertical="center"/>
    </xf>
    <xf numFmtId="171" fontId="32" fillId="0" borderId="1" xfId="27" applyNumberFormat="1" applyFont="1" applyBorder="1" applyAlignment="1">
      <alignment wrapText="1"/>
    </xf>
    <xf numFmtId="171" fontId="32" fillId="0" borderId="1" xfId="27" applyNumberFormat="1" applyFont="1" applyBorder="1"/>
    <xf numFmtId="9" fontId="32" fillId="0" borderId="13" xfId="30" applyFont="1" applyBorder="1" applyAlignment="1">
      <alignment horizontal="center"/>
    </xf>
    <xf numFmtId="171" fontId="32" fillId="0" borderId="19" xfId="27" applyNumberFormat="1" applyFont="1" applyBorder="1" applyAlignment="1">
      <alignment wrapText="1"/>
    </xf>
    <xf numFmtId="171" fontId="32" fillId="0" borderId="19" xfId="27" applyNumberFormat="1" applyFont="1" applyBorder="1"/>
    <xf numFmtId="9" fontId="32" fillId="0" borderId="20" xfId="30" applyFont="1" applyBorder="1" applyAlignment="1">
      <alignment horizontal="center"/>
    </xf>
    <xf numFmtId="164" fontId="0" fillId="0" borderId="0" xfId="1" applyFont="1"/>
    <xf numFmtId="0" fontId="53" fillId="0" borderId="18" xfId="0" applyFont="1" applyBorder="1" applyAlignment="1">
      <alignment vertical="center"/>
    </xf>
    <xf numFmtId="0" fontId="52" fillId="0" borderId="0" xfId="15" applyFont="1"/>
    <xf numFmtId="0" fontId="40" fillId="0" borderId="0" xfId="0" applyFont="1"/>
    <xf numFmtId="0" fontId="26" fillId="3" borderId="15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 wrapText="1"/>
    </xf>
    <xf numFmtId="0" fontId="26" fillId="3" borderId="16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 wrapText="1"/>
    </xf>
    <xf numFmtId="171" fontId="35" fillId="0" borderId="0" xfId="0" applyNumberFormat="1" applyFont="1"/>
    <xf numFmtId="9" fontId="35" fillId="0" borderId="0" xfId="2" applyFont="1"/>
    <xf numFmtId="41" fontId="56" fillId="12" borderId="1" xfId="6" applyFont="1" applyFill="1" applyBorder="1" applyAlignment="1">
      <alignment horizontal="center" vertical="center" wrapText="1"/>
    </xf>
    <xf numFmtId="41" fontId="56" fillId="12" borderId="3" xfId="6" applyFont="1" applyFill="1" applyBorder="1" applyAlignment="1">
      <alignment horizontal="center" vertical="center" wrapText="1"/>
    </xf>
    <xf numFmtId="41" fontId="56" fillId="12" borderId="9" xfId="19" applyFont="1" applyFill="1" applyBorder="1" applyAlignment="1">
      <alignment horizontal="center" vertical="center" wrapText="1"/>
    </xf>
    <xf numFmtId="41" fontId="56" fillId="12" borderId="4" xfId="19" applyFont="1" applyFill="1" applyBorder="1" applyAlignment="1">
      <alignment horizontal="center" vertical="center" wrapText="1"/>
    </xf>
    <xf numFmtId="41" fontId="56" fillId="12" borderId="12" xfId="19" applyFont="1" applyFill="1" applyBorder="1" applyAlignment="1">
      <alignment horizontal="center" vertical="center" wrapText="1"/>
    </xf>
    <xf numFmtId="172" fontId="56" fillId="0" borderId="0" xfId="27" applyNumberFormat="1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8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59" fillId="0" borderId="0" xfId="0" applyFont="1" applyAlignment="1">
      <alignment horizontal="center" vertical="center"/>
    </xf>
    <xf numFmtId="41" fontId="59" fillId="0" borderId="0" xfId="6" applyFont="1" applyAlignment="1">
      <alignment vertical="center"/>
    </xf>
    <xf numFmtId="41" fontId="58" fillId="0" borderId="0" xfId="6" applyFont="1" applyAlignment="1">
      <alignment vertical="center"/>
    </xf>
    <xf numFmtId="41" fontId="60" fillId="13" borderId="1" xfId="6" applyFont="1" applyFill="1" applyBorder="1" applyAlignment="1">
      <alignment vertical="center"/>
    </xf>
    <xf numFmtId="166" fontId="60" fillId="13" borderId="1" xfId="1" applyNumberFormat="1" applyFont="1" applyFill="1" applyBorder="1" applyAlignment="1">
      <alignment vertical="center"/>
    </xf>
    <xf numFmtId="0" fontId="56" fillId="0" borderId="3" xfId="0" applyFont="1" applyBorder="1" applyAlignment="1">
      <alignment vertical="center"/>
    </xf>
    <xf numFmtId="0" fontId="56" fillId="6" borderId="1" xfId="0" applyFont="1" applyFill="1" applyBorder="1" applyAlignment="1">
      <alignment horizontal="center" vertical="center"/>
    </xf>
    <xf numFmtId="0" fontId="61" fillId="10" borderId="1" xfId="0" applyFont="1" applyFill="1" applyBorder="1" applyAlignment="1">
      <alignment horizontal="center" vertical="center"/>
    </xf>
    <xf numFmtId="0" fontId="61" fillId="20" borderId="1" xfId="0" applyFont="1" applyFill="1" applyBorder="1" applyAlignment="1">
      <alignment horizontal="center" vertical="center"/>
    </xf>
    <xf numFmtId="0" fontId="56" fillId="6" borderId="1" xfId="0" applyFont="1" applyFill="1" applyBorder="1" applyAlignment="1">
      <alignment vertical="center"/>
    </xf>
    <xf numFmtId="166" fontId="56" fillId="6" borderId="1" xfId="1" applyNumberFormat="1" applyFont="1" applyFill="1" applyBorder="1" applyAlignment="1">
      <alignment horizontal="center" vertical="center"/>
    </xf>
    <xf numFmtId="164" fontId="58" fillId="0" borderId="0" xfId="1" applyFont="1" applyAlignment="1">
      <alignment vertical="center"/>
    </xf>
    <xf numFmtId="0" fontId="59" fillId="0" borderId="3" xfId="0" applyFont="1" applyBorder="1" applyAlignment="1">
      <alignment vertical="center"/>
    </xf>
    <xf numFmtId="168" fontId="59" fillId="0" borderId="1" xfId="0" applyNumberFormat="1" applyFont="1" applyBorder="1" applyAlignment="1">
      <alignment horizontal="center" vertical="center"/>
    </xf>
    <xf numFmtId="14" fontId="59" fillId="0" borderId="1" xfId="6" applyNumberFormat="1" applyFont="1" applyBorder="1" applyAlignment="1">
      <alignment vertical="center"/>
    </xf>
    <xf numFmtId="0" fontId="56" fillId="14" borderId="1" xfId="0" applyFont="1" applyFill="1" applyBorder="1" applyAlignment="1">
      <alignment vertical="center"/>
    </xf>
    <xf numFmtId="166" fontId="56" fillId="14" borderId="1" xfId="1" applyNumberFormat="1" applyFont="1" applyFill="1" applyBorder="1" applyAlignment="1">
      <alignment horizontal="center" vertical="center"/>
    </xf>
    <xf numFmtId="166" fontId="58" fillId="0" borderId="0" xfId="0" applyNumberFormat="1" applyFont="1" applyAlignment="1">
      <alignment vertical="center"/>
    </xf>
    <xf numFmtId="0" fontId="61" fillId="10" borderId="1" xfId="0" applyFont="1" applyFill="1" applyBorder="1" applyAlignment="1">
      <alignment vertical="center"/>
    </xf>
    <xf numFmtId="166" fontId="61" fillId="10" borderId="1" xfId="1" applyNumberFormat="1" applyFont="1" applyFill="1" applyBorder="1" applyAlignment="1">
      <alignment horizontal="center" vertical="center"/>
    </xf>
    <xf numFmtId="0" fontId="56" fillId="0" borderId="3" xfId="0" applyFont="1" applyBorder="1" applyAlignment="1">
      <alignment horizontal="center" vertical="center"/>
    </xf>
    <xf numFmtId="169" fontId="56" fillId="6" borderId="1" xfId="7" applyNumberFormat="1" applyFont="1" applyFill="1" applyBorder="1" applyAlignment="1">
      <alignment vertical="center" wrapText="1"/>
    </xf>
    <xf numFmtId="41" fontId="61" fillId="10" borderId="1" xfId="6" applyFont="1" applyFill="1" applyBorder="1" applyAlignment="1">
      <alignment vertical="center"/>
    </xf>
    <xf numFmtId="41" fontId="61" fillId="20" borderId="1" xfId="6" applyFont="1" applyFill="1" applyBorder="1" applyAlignment="1">
      <alignment vertical="center"/>
    </xf>
    <xf numFmtId="166" fontId="61" fillId="20" borderId="1" xfId="1" applyNumberFormat="1" applyFont="1" applyFill="1" applyBorder="1" applyAlignment="1">
      <alignment vertical="center"/>
    </xf>
    <xf numFmtId="165" fontId="59" fillId="0" borderId="0" xfId="0" applyNumberFormat="1" applyFont="1" applyAlignment="1">
      <alignment vertical="center"/>
    </xf>
    <xf numFmtId="41" fontId="56" fillId="0" borderId="1" xfId="6" applyFont="1" applyBorder="1" applyAlignment="1">
      <alignment vertical="center"/>
    </xf>
    <xf numFmtId="166" fontId="56" fillId="0" borderId="1" xfId="1" applyNumberFormat="1" applyFont="1" applyBorder="1" applyAlignment="1">
      <alignment horizontal="center" vertical="center"/>
    </xf>
    <xf numFmtId="43" fontId="56" fillId="0" borderId="0" xfId="0" applyNumberFormat="1" applyFont="1" applyAlignment="1">
      <alignment horizontal="center" vertical="center"/>
    </xf>
    <xf numFmtId="169" fontId="56" fillId="0" borderId="0" xfId="7" applyNumberFormat="1" applyFont="1" applyAlignment="1">
      <alignment horizontal="center" vertical="center"/>
    </xf>
    <xf numFmtId="167" fontId="56" fillId="5" borderId="0" xfId="6" applyNumberFormat="1" applyFont="1" applyFill="1" applyBorder="1" applyAlignment="1">
      <alignment vertical="center"/>
    </xf>
    <xf numFmtId="1" fontId="59" fillId="0" borderId="0" xfId="0" applyNumberFormat="1" applyFont="1" applyAlignment="1">
      <alignment vertical="center"/>
    </xf>
    <xf numFmtId="172" fontId="59" fillId="0" borderId="0" xfId="27" applyNumberFormat="1" applyFont="1" applyAlignment="1">
      <alignment vertical="center"/>
    </xf>
    <xf numFmtId="0" fontId="59" fillId="0" borderId="1" xfId="0" applyFont="1" applyBorder="1" applyAlignment="1">
      <alignment horizontal="left" vertical="center"/>
    </xf>
    <xf numFmtId="171" fontId="59" fillId="5" borderId="1" xfId="0" applyNumberFormat="1" applyFont="1" applyFill="1" applyBorder="1" applyAlignment="1">
      <alignment horizontal="center" vertical="center"/>
    </xf>
    <xf numFmtId="165" fontId="59" fillId="5" borderId="1" xfId="7" applyNumberFormat="1" applyFont="1" applyFill="1" applyBorder="1" applyAlignment="1">
      <alignment horizontal="center" vertical="center"/>
    </xf>
    <xf numFmtId="0" fontId="56" fillId="5" borderId="1" xfId="0" applyFont="1" applyFill="1" applyBorder="1" applyAlignment="1">
      <alignment horizontal="center" vertical="center"/>
    </xf>
    <xf numFmtId="171" fontId="59" fillId="5" borderId="1" xfId="6" applyNumberFormat="1" applyFont="1" applyFill="1" applyBorder="1" applyAlignment="1">
      <alignment horizontal="center" vertical="center"/>
    </xf>
    <xf numFmtId="166" fontId="59" fillId="5" borderId="1" xfId="1" applyNumberFormat="1" applyFont="1" applyFill="1" applyBorder="1" applyAlignment="1">
      <alignment horizontal="center" vertical="center"/>
    </xf>
    <xf numFmtId="167" fontId="59" fillId="5" borderId="1" xfId="6" applyNumberFormat="1" applyFont="1" applyFill="1" applyBorder="1" applyAlignment="1">
      <alignment horizontal="center" vertical="center"/>
    </xf>
    <xf numFmtId="174" fontId="59" fillId="5" borderId="5" xfId="19" applyNumberFormat="1" applyFont="1" applyFill="1" applyBorder="1" applyAlignment="1">
      <alignment horizontal="center" vertical="center"/>
    </xf>
    <xf numFmtId="167" fontId="59" fillId="0" borderId="13" xfId="0" applyNumberFormat="1" applyFont="1" applyBorder="1" applyAlignment="1">
      <alignment horizontal="center" vertical="center"/>
    </xf>
    <xf numFmtId="0" fontId="56" fillId="6" borderId="29" xfId="0" applyFont="1" applyFill="1" applyBorder="1" applyAlignment="1">
      <alignment vertical="center"/>
    </xf>
    <xf numFmtId="0" fontId="61" fillId="6" borderId="8" xfId="0" applyFont="1" applyFill="1" applyBorder="1" applyAlignment="1">
      <alignment vertical="center"/>
    </xf>
    <xf numFmtId="167" fontId="56" fillId="6" borderId="8" xfId="0" applyNumberFormat="1" applyFont="1" applyFill="1" applyBorder="1" applyAlignment="1">
      <alignment vertical="center"/>
    </xf>
    <xf numFmtId="174" fontId="58" fillId="18" borderId="18" xfId="0" applyNumberFormat="1" applyFont="1" applyFill="1" applyBorder="1" applyAlignment="1">
      <alignment vertical="center"/>
    </xf>
    <xf numFmtId="167" fontId="59" fillId="18" borderId="19" xfId="0" applyNumberFormat="1" applyFont="1" applyFill="1" applyBorder="1" applyAlignment="1">
      <alignment vertical="center"/>
    </xf>
    <xf numFmtId="167" fontId="59" fillId="18" borderId="20" xfId="0" applyNumberFormat="1" applyFont="1" applyFill="1" applyBorder="1" applyAlignment="1">
      <alignment vertical="center"/>
    </xf>
    <xf numFmtId="170" fontId="59" fillId="0" borderId="0" xfId="6" applyNumberFormat="1" applyFont="1" applyAlignment="1">
      <alignment vertical="center"/>
    </xf>
    <xf numFmtId="167" fontId="59" fillId="5" borderId="3" xfId="6" applyNumberFormat="1" applyFont="1" applyFill="1" applyBorder="1" applyAlignment="1">
      <alignment horizontal="center" vertical="center"/>
    </xf>
    <xf numFmtId="174" fontId="59" fillId="5" borderId="10" xfId="19" applyNumberFormat="1" applyFont="1" applyFill="1" applyBorder="1" applyAlignment="1">
      <alignment horizontal="center" vertical="center"/>
    </xf>
    <xf numFmtId="0" fontId="56" fillId="14" borderId="3" xfId="0" applyFont="1" applyFill="1" applyBorder="1" applyAlignment="1">
      <alignment vertical="center"/>
    </xf>
    <xf numFmtId="0" fontId="56" fillId="14" borderId="11" xfId="0" applyFont="1" applyFill="1" applyBorder="1" applyAlignment="1">
      <alignment vertical="center"/>
    </xf>
    <xf numFmtId="0" fontId="56" fillId="14" borderId="8" xfId="0" applyFont="1" applyFill="1" applyBorder="1" applyAlignment="1">
      <alignment vertical="center"/>
    </xf>
    <xf numFmtId="167" fontId="56" fillId="14" borderId="11" xfId="0" applyNumberFormat="1" applyFont="1" applyFill="1" applyBorder="1" applyAlignment="1">
      <alignment vertical="center"/>
    </xf>
    <xf numFmtId="0" fontId="61" fillId="10" borderId="3" xfId="0" applyFont="1" applyFill="1" applyBorder="1" applyAlignment="1">
      <alignment vertical="center"/>
    </xf>
    <xf numFmtId="0" fontId="61" fillId="10" borderId="11" xfId="0" applyFont="1" applyFill="1" applyBorder="1" applyAlignment="1">
      <alignment vertical="center"/>
    </xf>
    <xf numFmtId="0" fontId="61" fillId="10" borderId="8" xfId="0" applyFont="1" applyFill="1" applyBorder="1" applyAlignment="1">
      <alignment vertical="center"/>
    </xf>
    <xf numFmtId="167" fontId="61" fillId="10" borderId="11" xfId="0" applyNumberFormat="1" applyFont="1" applyFill="1" applyBorder="1" applyAlignment="1">
      <alignment vertical="center"/>
    </xf>
    <xf numFmtId="0" fontId="61" fillId="20" borderId="1" xfId="0" applyFont="1" applyFill="1" applyBorder="1" applyAlignment="1">
      <alignment vertical="center"/>
    </xf>
    <xf numFmtId="0" fontId="59" fillId="0" borderId="1" xfId="0" applyFont="1" applyBorder="1" applyAlignment="1">
      <alignment horizontal="left" vertical="center" wrapText="1"/>
    </xf>
    <xf numFmtId="41" fontId="59" fillId="0" borderId="3" xfId="6" applyFont="1" applyBorder="1" applyAlignment="1">
      <alignment vertical="center"/>
    </xf>
    <xf numFmtId="171" fontId="59" fillId="5" borderId="11" xfId="6" applyNumberFormat="1" applyFont="1" applyFill="1" applyBorder="1" applyAlignment="1">
      <alignment vertical="center"/>
    </xf>
    <xf numFmtId="171" fontId="59" fillId="5" borderId="5" xfId="6" applyNumberFormat="1" applyFont="1" applyFill="1" applyBorder="1" applyAlignment="1">
      <alignment vertical="center"/>
    </xf>
    <xf numFmtId="171" fontId="59" fillId="5" borderId="36" xfId="6" applyNumberFormat="1" applyFont="1" applyFill="1" applyBorder="1" applyAlignment="1">
      <alignment vertical="center"/>
    </xf>
    <xf numFmtId="171" fontId="59" fillId="5" borderId="37" xfId="6" applyNumberFormat="1" applyFont="1" applyFill="1" applyBorder="1" applyAlignment="1">
      <alignment vertical="center"/>
    </xf>
    <xf numFmtId="0" fontId="61" fillId="20" borderId="3" xfId="0" applyFont="1" applyFill="1" applyBorder="1" applyAlignment="1">
      <alignment vertical="center"/>
    </xf>
    <xf numFmtId="0" fontId="61" fillId="20" borderId="11" xfId="0" applyFont="1" applyFill="1" applyBorder="1" applyAlignment="1">
      <alignment vertical="center"/>
    </xf>
    <xf numFmtId="0" fontId="61" fillId="20" borderId="8" xfId="0" applyFont="1" applyFill="1" applyBorder="1" applyAlignment="1">
      <alignment vertical="center"/>
    </xf>
    <xf numFmtId="171" fontId="60" fillId="20" borderId="8" xfId="0" applyNumberFormat="1" applyFont="1" applyFill="1" applyBorder="1" applyAlignment="1">
      <alignment vertical="center"/>
    </xf>
    <xf numFmtId="167" fontId="61" fillId="20" borderId="8" xfId="0" applyNumberFormat="1" applyFont="1" applyFill="1" applyBorder="1" applyAlignment="1">
      <alignment vertical="center"/>
    </xf>
    <xf numFmtId="174" fontId="58" fillId="18" borderId="38" xfId="0" applyNumberFormat="1" applyFont="1" applyFill="1" applyBorder="1" applyAlignment="1">
      <alignment vertical="center"/>
    </xf>
    <xf numFmtId="174" fontId="60" fillId="18" borderId="39" xfId="0" applyNumberFormat="1" applyFont="1" applyFill="1" applyBorder="1" applyAlignment="1">
      <alignment vertical="center"/>
    </xf>
    <xf numFmtId="174" fontId="58" fillId="18" borderId="40" xfId="0" applyNumberFormat="1" applyFont="1" applyFill="1" applyBorder="1" applyAlignment="1">
      <alignment vertical="center"/>
    </xf>
    <xf numFmtId="14" fontId="59" fillId="0" borderId="3" xfId="6" applyNumberFormat="1" applyFont="1" applyBorder="1" applyAlignment="1">
      <alignment horizontal="center" vertical="center"/>
    </xf>
    <xf numFmtId="14" fontId="59" fillId="0" borderId="5" xfId="6" applyNumberFormat="1" applyFont="1" applyBorder="1" applyAlignment="1">
      <alignment horizontal="center" vertical="center"/>
    </xf>
    <xf numFmtId="41" fontId="59" fillId="14" borderId="3" xfId="6" applyFont="1" applyFill="1" applyBorder="1" applyAlignment="1">
      <alignment vertical="center"/>
    </xf>
    <xf numFmtId="41" fontId="59" fillId="14" borderId="5" xfId="6" applyFont="1" applyFill="1" applyBorder="1" applyAlignment="1">
      <alignment vertical="center"/>
    </xf>
    <xf numFmtId="41" fontId="56" fillId="11" borderId="1" xfId="6" applyFont="1" applyFill="1" applyBorder="1" applyAlignment="1">
      <alignment horizontal="center" vertical="center"/>
    </xf>
    <xf numFmtId="41" fontId="56" fillId="11" borderId="3" xfId="6" applyFont="1" applyFill="1" applyBorder="1" applyAlignment="1">
      <alignment horizontal="center" vertical="center"/>
    </xf>
    <xf numFmtId="41" fontId="56" fillId="7" borderId="15" xfId="19" applyFont="1" applyFill="1" applyBorder="1" applyAlignment="1">
      <alignment horizontal="center" vertical="center"/>
    </xf>
    <xf numFmtId="41" fontId="56" fillId="7" borderId="16" xfId="19" applyFont="1" applyFill="1" applyBorder="1" applyAlignment="1">
      <alignment horizontal="center" vertical="center"/>
    </xf>
    <xf numFmtId="41" fontId="56" fillId="7" borderId="17" xfId="19" applyFont="1" applyFill="1" applyBorder="1" applyAlignment="1">
      <alignment horizontal="center" vertical="center"/>
    </xf>
    <xf numFmtId="170" fontId="56" fillId="12" borderId="3" xfId="6" applyNumberFormat="1" applyFont="1" applyFill="1" applyBorder="1" applyAlignment="1">
      <alignment horizontal="center" vertical="center" wrapText="1"/>
    </xf>
    <xf numFmtId="170" fontId="56" fillId="12" borderId="5" xfId="6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6" fillId="14" borderId="3" xfId="0" applyFont="1" applyFill="1" applyBorder="1" applyAlignment="1">
      <alignment horizontal="center" vertical="center"/>
    </xf>
    <xf numFmtId="0" fontId="56" fillId="14" borderId="5" xfId="0" applyFont="1" applyFill="1" applyBorder="1" applyAlignment="1">
      <alignment horizontal="center" vertical="center"/>
    </xf>
    <xf numFmtId="171" fontId="59" fillId="5" borderId="3" xfId="0" applyNumberFormat="1" applyFont="1" applyFill="1" applyBorder="1" applyAlignment="1">
      <alignment horizontal="center" vertical="center"/>
    </xf>
    <xf numFmtId="171" fontId="59" fillId="5" borderId="11" xfId="0" applyNumberFormat="1" applyFont="1" applyFill="1" applyBorder="1" applyAlignment="1">
      <alignment horizontal="center" vertical="center"/>
    </xf>
    <xf numFmtId="41" fontId="61" fillId="20" borderId="11" xfId="6" applyFont="1" applyFill="1" applyBorder="1" applyAlignment="1">
      <alignment horizontal="left" vertical="center"/>
    </xf>
    <xf numFmtId="41" fontId="56" fillId="12" borderId="32" xfId="6" applyFont="1" applyFill="1" applyBorder="1" applyAlignment="1">
      <alignment horizontal="center" vertical="center" wrapText="1"/>
    </xf>
    <xf numFmtId="41" fontId="56" fillId="12" borderId="33" xfId="6" applyFont="1" applyFill="1" applyBorder="1" applyAlignment="1">
      <alignment horizontal="center" vertical="center" wrapText="1"/>
    </xf>
    <xf numFmtId="41" fontId="56" fillId="12" borderId="34" xfId="6" applyFont="1" applyFill="1" applyBorder="1" applyAlignment="1">
      <alignment horizontal="center" vertical="center" wrapText="1"/>
    </xf>
    <xf numFmtId="41" fontId="56" fillId="12" borderId="35" xfId="6" applyFont="1" applyFill="1" applyBorder="1" applyAlignment="1">
      <alignment horizontal="center" vertical="center" wrapText="1"/>
    </xf>
    <xf numFmtId="170" fontId="23" fillId="12" borderId="3" xfId="6" applyNumberFormat="1" applyFont="1" applyFill="1" applyBorder="1" applyAlignment="1">
      <alignment horizontal="center" vertical="center" wrapText="1"/>
    </xf>
    <xf numFmtId="170" fontId="23" fillId="12" borderId="5" xfId="6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0" xfId="6" applyFont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8" fillId="9" borderId="1" xfId="0" applyFont="1" applyFill="1" applyBorder="1" applyAlignment="1">
      <alignment horizontal="left" vertical="center"/>
    </xf>
    <xf numFmtId="41" fontId="18" fillId="11" borderId="1" xfId="6" applyFont="1" applyFill="1" applyBorder="1" applyAlignment="1">
      <alignment horizontal="center" vertical="center"/>
    </xf>
    <xf numFmtId="9" fontId="39" fillId="0" borderId="16" xfId="13" applyNumberFormat="1" applyFont="1" applyBorder="1" applyAlignment="1">
      <alignment horizontal="center" vertical="center" wrapText="1"/>
    </xf>
    <xf numFmtId="9" fontId="39" fillId="0" borderId="6" xfId="13" applyNumberFormat="1" applyFont="1" applyBorder="1" applyAlignment="1">
      <alignment horizontal="center" vertical="center" wrapText="1"/>
    </xf>
    <xf numFmtId="9" fontId="39" fillId="0" borderId="22" xfId="13" applyNumberFormat="1" applyFont="1" applyBorder="1" applyAlignment="1">
      <alignment horizontal="center" vertical="center" wrapText="1"/>
    </xf>
    <xf numFmtId="4" fontId="19" fillId="0" borderId="16" xfId="3" applyNumberFormat="1" applyFont="1" applyBorder="1" applyAlignment="1">
      <alignment horizontal="center" vertical="center"/>
    </xf>
    <xf numFmtId="4" fontId="19" fillId="0" borderId="6" xfId="3" applyNumberFormat="1" applyFont="1" applyBorder="1" applyAlignment="1">
      <alignment horizontal="center" vertical="center"/>
    </xf>
    <xf numFmtId="4" fontId="19" fillId="0" borderId="22" xfId="3" applyNumberFormat="1" applyFont="1" applyBorder="1" applyAlignment="1">
      <alignment horizontal="center" vertical="center"/>
    </xf>
    <xf numFmtId="4" fontId="19" fillId="0" borderId="2" xfId="3" applyNumberFormat="1" applyFont="1" applyBorder="1" applyAlignment="1">
      <alignment horizontal="center" vertical="center"/>
    </xf>
    <xf numFmtId="4" fontId="19" fillId="0" borderId="17" xfId="3" applyNumberFormat="1" applyFont="1" applyBorder="1" applyAlignment="1">
      <alignment horizontal="center" vertical="center"/>
    </xf>
    <xf numFmtId="4" fontId="19" fillId="0" borderId="21" xfId="3" applyNumberFormat="1" applyFont="1" applyBorder="1" applyAlignment="1">
      <alignment horizontal="center" vertical="center"/>
    </xf>
    <xf numFmtId="4" fontId="19" fillId="0" borderId="23" xfId="3" applyNumberFormat="1" applyFont="1" applyBorder="1" applyAlignment="1">
      <alignment horizontal="center" vertical="center"/>
    </xf>
    <xf numFmtId="0" fontId="38" fillId="0" borderId="9" xfId="13" applyFont="1" applyBorder="1" applyAlignment="1">
      <alignment horizontal="center" vertical="center" wrapText="1"/>
    </xf>
    <xf numFmtId="0" fontId="38" fillId="0" borderId="10" xfId="13" applyFont="1" applyBorder="1" applyAlignment="1">
      <alignment horizontal="center" vertical="center" wrapText="1"/>
    </xf>
    <xf numFmtId="0" fontId="38" fillId="0" borderId="18" xfId="13" applyFont="1" applyBorder="1" applyAlignment="1">
      <alignment horizontal="center" vertical="center" wrapText="1"/>
    </xf>
    <xf numFmtId="4" fontId="19" fillId="0" borderId="4" xfId="3" applyNumberFormat="1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19" fillId="0" borderId="19" xfId="3" applyFont="1" applyBorder="1" applyAlignment="1">
      <alignment horizontal="center" vertical="center"/>
    </xf>
    <xf numFmtId="4" fontId="19" fillId="0" borderId="12" xfId="3" applyNumberFormat="1" applyFont="1" applyBorder="1" applyAlignment="1">
      <alignment horizontal="center" vertical="center"/>
    </xf>
    <xf numFmtId="0" fontId="19" fillId="0" borderId="13" xfId="3" applyFont="1" applyBorder="1" applyAlignment="1">
      <alignment horizontal="center" vertical="center"/>
    </xf>
    <xf numFmtId="0" fontId="19" fillId="0" borderId="20" xfId="3" applyFont="1" applyBorder="1" applyAlignment="1">
      <alignment horizontal="center" vertical="center"/>
    </xf>
    <xf numFmtId="4" fontId="19" fillId="0" borderId="1" xfId="3" applyNumberFormat="1" applyFont="1" applyBorder="1" applyAlignment="1">
      <alignment horizontal="center" vertical="center"/>
    </xf>
    <xf numFmtId="2" fontId="13" fillId="2" borderId="4" xfId="3" applyNumberFormat="1" applyFont="1" applyFill="1" applyBorder="1" applyAlignment="1">
      <alignment horizontal="center" vertical="center" wrapText="1"/>
    </xf>
    <xf numFmtId="2" fontId="13" fillId="2" borderId="2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3" fillId="0" borderId="0" xfId="3" applyFont="1" applyAlignment="1">
      <alignment horizontal="center" vertical="center" wrapText="1"/>
    </xf>
    <xf numFmtId="2" fontId="13" fillId="3" borderId="16" xfId="3" applyNumberFormat="1" applyFont="1" applyFill="1" applyBorder="1" applyAlignment="1">
      <alignment horizontal="center" vertical="center" wrapText="1"/>
    </xf>
    <xf numFmtId="2" fontId="13" fillId="3" borderId="22" xfId="3" applyNumberFormat="1" applyFont="1" applyFill="1" applyBorder="1" applyAlignment="1">
      <alignment horizontal="center" vertical="center" wrapText="1"/>
    </xf>
    <xf numFmtId="2" fontId="13" fillId="6" borderId="17" xfId="3" applyNumberFormat="1" applyFont="1" applyFill="1" applyBorder="1" applyAlignment="1">
      <alignment horizontal="center" vertical="center" wrapText="1"/>
    </xf>
    <xf numFmtId="2" fontId="13" fillId="6" borderId="23" xfId="3" applyNumberFormat="1" applyFont="1" applyFill="1" applyBorder="1" applyAlignment="1">
      <alignment horizontal="center" vertical="center" wrapText="1"/>
    </xf>
    <xf numFmtId="0" fontId="13" fillId="5" borderId="9" xfId="3" applyFont="1" applyFill="1" applyBorder="1" applyAlignment="1">
      <alignment horizontal="center" vertical="center" wrapText="1"/>
    </xf>
    <xf numFmtId="0" fontId="13" fillId="5" borderId="10" xfId="3" applyFont="1" applyFill="1" applyBorder="1" applyAlignment="1">
      <alignment horizontal="center" vertical="center" wrapText="1"/>
    </xf>
    <xf numFmtId="0" fontId="13" fillId="5" borderId="14" xfId="3" applyFont="1" applyFill="1" applyBorder="1" applyAlignment="1">
      <alignment horizontal="center" vertical="center" wrapText="1"/>
    </xf>
    <xf numFmtId="0" fontId="13" fillId="5" borderId="18" xfId="3" applyFont="1" applyFill="1" applyBorder="1" applyAlignment="1">
      <alignment horizontal="center" vertical="center" wrapText="1"/>
    </xf>
    <xf numFmtId="0" fontId="13" fillId="2" borderId="9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 wrapText="1"/>
    </xf>
    <xf numFmtId="165" fontId="13" fillId="2" borderId="4" xfId="4" applyFont="1" applyFill="1" applyBorder="1" applyAlignment="1">
      <alignment horizontal="center" vertical="center" wrapText="1"/>
    </xf>
    <xf numFmtId="165" fontId="13" fillId="2" borderId="2" xfId="4" applyFont="1" applyFill="1" applyBorder="1" applyAlignment="1">
      <alignment horizontal="center" vertical="center" wrapText="1"/>
    </xf>
    <xf numFmtId="0" fontId="30" fillId="0" borderId="7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64" fontId="23" fillId="0" borderId="6" xfId="1" applyFont="1" applyBorder="1" applyAlignment="1">
      <alignment horizontal="center" vertical="center"/>
    </xf>
    <xf numFmtId="164" fontId="23" fillId="0" borderId="7" xfId="1" applyFont="1" applyBorder="1" applyAlignment="1">
      <alignment horizontal="center" vertical="center"/>
    </xf>
    <xf numFmtId="4" fontId="30" fillId="17" borderId="4" xfId="3" applyNumberFormat="1" applyFont="1" applyFill="1" applyBorder="1" applyAlignment="1">
      <alignment horizontal="center" vertical="center" wrapText="1"/>
    </xf>
    <xf numFmtId="4" fontId="30" fillId="17" borderId="1" xfId="3" applyNumberFormat="1" applyFont="1" applyFill="1" applyBorder="1" applyAlignment="1">
      <alignment horizontal="center" vertical="center" wrapText="1"/>
    </xf>
    <xf numFmtId="4" fontId="30" fillId="17" borderId="19" xfId="3" applyNumberFormat="1" applyFont="1" applyFill="1" applyBorder="1" applyAlignment="1">
      <alignment horizontal="center" vertical="center" wrapText="1"/>
    </xf>
    <xf numFmtId="2" fontId="30" fillId="17" borderId="4" xfId="3" applyNumberFormat="1" applyFont="1" applyFill="1" applyBorder="1" applyAlignment="1">
      <alignment horizontal="center" vertical="center" wrapText="1"/>
    </xf>
    <xf numFmtId="2" fontId="30" fillId="17" borderId="1" xfId="3" applyNumberFormat="1" applyFont="1" applyFill="1" applyBorder="1" applyAlignment="1">
      <alignment horizontal="center" vertical="center" wrapText="1"/>
    </xf>
    <xf numFmtId="2" fontId="30" fillId="17" borderId="19" xfId="3" applyNumberFormat="1" applyFont="1" applyFill="1" applyBorder="1" applyAlignment="1">
      <alignment horizontal="center" vertical="center" wrapText="1"/>
    </xf>
    <xf numFmtId="2" fontId="23" fillId="17" borderId="12" xfId="3" applyNumberFormat="1" applyFont="1" applyFill="1" applyBorder="1" applyAlignment="1">
      <alignment horizontal="center" vertical="center"/>
    </xf>
    <xf numFmtId="2" fontId="23" fillId="17" borderId="13" xfId="3" applyNumberFormat="1" applyFont="1" applyFill="1" applyBorder="1" applyAlignment="1">
      <alignment horizontal="center" vertical="center"/>
    </xf>
    <xf numFmtId="2" fontId="23" fillId="17" borderId="20" xfId="3" applyNumberFormat="1" applyFont="1" applyFill="1" applyBorder="1" applyAlignment="1">
      <alignment horizontal="center" vertical="center"/>
    </xf>
    <xf numFmtId="2" fontId="19" fillId="0" borderId="1" xfId="3" applyNumberFormat="1" applyFont="1" applyBorder="1" applyAlignment="1">
      <alignment horizontal="center" vertical="center"/>
    </xf>
    <xf numFmtId="2" fontId="19" fillId="0" borderId="19" xfId="3" applyNumberFormat="1" applyFont="1" applyBorder="1" applyAlignment="1">
      <alignment horizontal="center" vertical="center"/>
    </xf>
    <xf numFmtId="4" fontId="19" fillId="0" borderId="7" xfId="3" applyNumberFormat="1" applyFont="1" applyBorder="1" applyAlignment="1">
      <alignment horizontal="center" vertical="center" wrapText="1"/>
    </xf>
    <xf numFmtId="4" fontId="19" fillId="0" borderId="1" xfId="3" applyNumberFormat="1" applyFont="1" applyBorder="1" applyAlignment="1">
      <alignment horizontal="center" vertical="center" wrapText="1"/>
    </xf>
    <xf numFmtId="4" fontId="19" fillId="0" borderId="19" xfId="3" applyNumberFormat="1" applyFont="1" applyBorder="1" applyAlignment="1">
      <alignment horizontal="center" vertical="center" wrapText="1"/>
    </xf>
    <xf numFmtId="4" fontId="19" fillId="0" borderId="7" xfId="3" applyNumberFormat="1" applyFont="1" applyBorder="1" applyAlignment="1">
      <alignment horizontal="center" vertical="center"/>
    </xf>
    <xf numFmtId="4" fontId="19" fillId="0" borderId="19" xfId="3" applyNumberFormat="1" applyFont="1" applyBorder="1" applyAlignment="1">
      <alignment horizontal="center" vertical="center"/>
    </xf>
    <xf numFmtId="4" fontId="19" fillId="0" borderId="31" xfId="3" applyNumberFormat="1" applyFont="1" applyBorder="1" applyAlignment="1">
      <alignment horizontal="center" vertical="center"/>
    </xf>
    <xf numFmtId="4" fontId="19" fillId="0" borderId="13" xfId="3" applyNumberFormat="1" applyFont="1" applyBorder="1" applyAlignment="1">
      <alignment horizontal="center" vertical="center"/>
    </xf>
    <xf numFmtId="4" fontId="19" fillId="0" borderId="20" xfId="3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29" fillId="0" borderId="0" xfId="8" applyFont="1" applyAlignment="1">
      <alignment horizontal="center" wrapText="1"/>
    </xf>
    <xf numFmtId="166" fontId="32" fillId="0" borderId="2" xfId="1" applyNumberFormat="1" applyFont="1" applyBorder="1" applyAlignment="1">
      <alignment horizontal="center" vertical="center"/>
    </xf>
    <xf numFmtId="166" fontId="32" fillId="0" borderId="6" xfId="1" applyNumberFormat="1" applyFont="1" applyBorder="1" applyAlignment="1">
      <alignment horizontal="center" vertical="center"/>
    </xf>
    <xf numFmtId="166" fontId="32" fillId="0" borderId="7" xfId="1" applyNumberFormat="1" applyFont="1" applyBorder="1" applyAlignment="1">
      <alignment horizontal="center" vertical="center"/>
    </xf>
    <xf numFmtId="172" fontId="9" fillId="0" borderId="1" xfId="8" applyNumberFormat="1" applyFont="1" applyBorder="1" applyAlignment="1">
      <alignment horizontal="center" vertical="center"/>
    </xf>
    <xf numFmtId="172" fontId="9" fillId="0" borderId="1" xfId="11" applyNumberFormat="1" applyFont="1" applyBorder="1" applyAlignment="1">
      <alignment horizontal="center" vertical="center"/>
    </xf>
    <xf numFmtId="164" fontId="9" fillId="13" borderId="1" xfId="10" applyFont="1" applyFill="1" applyBorder="1" applyAlignment="1">
      <alignment horizontal="center" vertical="center"/>
    </xf>
    <xf numFmtId="0" fontId="26" fillId="15" borderId="1" xfId="8" applyFont="1" applyFill="1" applyBorder="1" applyAlignment="1">
      <alignment horizontal="center"/>
    </xf>
    <xf numFmtId="0" fontId="40" fillId="5" borderId="25" xfId="23" applyFont="1" applyFill="1" applyBorder="1" applyAlignment="1">
      <alignment horizontal="center" vertical="center" wrapText="1"/>
    </xf>
    <xf numFmtId="0" fontId="40" fillId="5" borderId="26" xfId="23" applyFont="1" applyFill="1" applyBorder="1" applyAlignment="1">
      <alignment horizontal="center" vertical="center" wrapText="1"/>
    </xf>
    <xf numFmtId="0" fontId="40" fillId="5" borderId="27" xfId="23" applyFont="1" applyFill="1" applyBorder="1" applyAlignment="1">
      <alignment horizontal="center" vertical="center" wrapText="1"/>
    </xf>
    <xf numFmtId="0" fontId="41" fillId="5" borderId="25" xfId="23" applyFont="1" applyFill="1" applyBorder="1" applyAlignment="1">
      <alignment horizontal="center" vertical="center"/>
    </xf>
    <xf numFmtId="0" fontId="41" fillId="5" borderId="26" xfId="23" applyFont="1" applyFill="1" applyBorder="1" applyAlignment="1">
      <alignment horizontal="center" vertical="center"/>
    </xf>
    <xf numFmtId="0" fontId="41" fillId="5" borderId="27" xfId="23" applyFont="1" applyFill="1" applyBorder="1" applyAlignment="1">
      <alignment horizontal="center" vertical="center"/>
    </xf>
    <xf numFmtId="0" fontId="42" fillId="16" borderId="1" xfId="22" applyFont="1" applyFill="1" applyBorder="1" applyAlignment="1">
      <alignment horizontal="center"/>
    </xf>
    <xf numFmtId="0" fontId="42" fillId="16" borderId="3" xfId="22" applyFont="1" applyFill="1" applyBorder="1" applyAlignment="1">
      <alignment horizontal="center"/>
    </xf>
    <xf numFmtId="0" fontId="23" fillId="0" borderId="0" xfId="22" applyFont="1" applyAlignment="1">
      <alignment horizontal="center" vertical="center" wrapText="1"/>
    </xf>
    <xf numFmtId="2" fontId="26" fillId="0" borderId="0" xfId="22" applyNumberFormat="1" applyFont="1" applyAlignment="1">
      <alignment horizontal="center" vertical="center"/>
    </xf>
    <xf numFmtId="176" fontId="42" fillId="16" borderId="11" xfId="22" applyNumberFormat="1" applyFont="1" applyFill="1" applyBorder="1" applyAlignment="1" applyProtection="1">
      <alignment horizontal="center" vertical="center"/>
      <protection locked="0"/>
    </xf>
    <xf numFmtId="176" fontId="42" fillId="16" borderId="5" xfId="22" applyNumberFormat="1" applyFont="1" applyFill="1" applyBorder="1" applyAlignment="1" applyProtection="1">
      <alignment horizontal="center" vertical="center"/>
      <protection locked="0"/>
    </xf>
    <xf numFmtId="0" fontId="35" fillId="0" borderId="26" xfId="22" applyFont="1" applyBorder="1" applyAlignment="1">
      <alignment horizontal="left"/>
    </xf>
    <xf numFmtId="0" fontId="35" fillId="0" borderId="27" xfId="22" applyFont="1" applyBorder="1" applyAlignment="1">
      <alignment horizontal="left"/>
    </xf>
    <xf numFmtId="0" fontId="26" fillId="0" borderId="1" xfId="22" applyFont="1" applyBorder="1" applyAlignment="1">
      <alignment horizontal="center"/>
    </xf>
    <xf numFmtId="0" fontId="26" fillId="21" borderId="1" xfId="22" applyFont="1" applyFill="1" applyBorder="1" applyAlignment="1">
      <alignment horizontal="center"/>
    </xf>
    <xf numFmtId="0" fontId="26" fillId="0" borderId="0" xfId="28" applyFont="1" applyAlignment="1">
      <alignment horizontal="center"/>
    </xf>
    <xf numFmtId="0" fontId="26" fillId="0" borderId="1" xfId="28" applyFont="1" applyBorder="1" applyAlignment="1">
      <alignment horizontal="center"/>
    </xf>
    <xf numFmtId="0" fontId="50" fillId="0" borderId="0" xfId="0" applyFont="1" applyAlignment="1">
      <alignment horizontal="center"/>
    </xf>
    <xf numFmtId="0" fontId="52" fillId="0" borderId="0" xfId="15" applyFont="1" applyAlignment="1">
      <alignment horizontal="center"/>
    </xf>
    <xf numFmtId="0" fontId="40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26" fillId="0" borderId="1" xfId="15" applyFont="1" applyBorder="1" applyAlignment="1">
      <alignment horizontal="center" wrapText="1"/>
    </xf>
    <xf numFmtId="175" fontId="32" fillId="0" borderId="1" xfId="15" applyNumberFormat="1" applyFont="1" applyBorder="1" applyAlignment="1">
      <alignment horizontal="center" vertical="center"/>
    </xf>
    <xf numFmtId="0" fontId="32" fillId="0" borderId="1" xfId="15" applyFont="1" applyBorder="1" applyAlignment="1">
      <alignment horizontal="center" vertical="center"/>
    </xf>
    <xf numFmtId="9" fontId="32" fillId="0" borderId="1" xfId="17" applyFont="1" applyBorder="1" applyAlignment="1">
      <alignment horizontal="center" vertical="center"/>
    </xf>
    <xf numFmtId="0" fontId="40" fillId="0" borderId="0" xfId="15" applyFont="1" applyAlignment="1">
      <alignment horizontal="center"/>
    </xf>
    <xf numFmtId="0" fontId="26" fillId="0" borderId="1" xfId="15" applyFont="1" applyBorder="1" applyAlignment="1">
      <alignment horizontal="center" vertical="center" wrapText="1"/>
    </xf>
    <xf numFmtId="175" fontId="32" fillId="0" borderId="1" xfId="16" applyNumberFormat="1" applyFont="1" applyBorder="1" applyAlignment="1">
      <alignment horizontal="center" vertical="center"/>
    </xf>
    <xf numFmtId="9" fontId="33" fillId="0" borderId="1" xfId="17" applyFont="1" applyBorder="1" applyAlignment="1">
      <alignment horizontal="center" vertical="center"/>
    </xf>
  </cellXfs>
  <cellStyles count="32">
    <cellStyle name="Hipervínculo" xfId="18" builtinId="8"/>
    <cellStyle name="Hipervínculo 2" xfId="9"/>
    <cellStyle name="Millares" xfId="27" builtinId="3"/>
    <cellStyle name="Millares [0]" xfId="19" builtinId="6"/>
    <cellStyle name="Millares [0] 2" xfId="6"/>
    <cellStyle name="Millares [0] 3" xfId="14"/>
    <cellStyle name="Millares 10 3 2" xfId="4"/>
    <cellStyle name="Millares 2" xfId="7"/>
    <cellStyle name="Millares 44" xfId="11"/>
    <cellStyle name="Moneda" xfId="1" builtinId="4"/>
    <cellStyle name="Moneda [0] 2" xfId="31"/>
    <cellStyle name="Moneda 17" xfId="10"/>
    <cellStyle name="Moneda 2" xfId="16"/>
    <cellStyle name="Moneda 2 2" xfId="21"/>
    <cellStyle name="Moneda 3" xfId="20"/>
    <cellStyle name="Moneda 4" xfId="24"/>
    <cellStyle name="Moneda 5" xfId="29"/>
    <cellStyle name="Normal" xfId="0" builtinId="0"/>
    <cellStyle name="Normal 2" xfId="15"/>
    <cellStyle name="Normal 2 2" xfId="25"/>
    <cellStyle name="Normal 2 69 2" xfId="12"/>
    <cellStyle name="Normal 2 71" xfId="8"/>
    <cellStyle name="Normal 3" xfId="13"/>
    <cellStyle name="Normal 4" xfId="22"/>
    <cellStyle name="Normal 5" xfId="28"/>
    <cellStyle name="Normal 5 2" xfId="23"/>
    <cellStyle name="Normal 59" xfId="3"/>
    <cellStyle name="Porcentaje" xfId="2" builtinId="5"/>
    <cellStyle name="Porcentaje 2" xfId="17"/>
    <cellStyle name="Porcentaje 3" xfId="26"/>
    <cellStyle name="Porcentaje 4" xfId="30"/>
    <cellStyle name="Porcentaje 5" xfId="5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301901</xdr:colOff>
      <xdr:row>0</xdr:row>
      <xdr:rowOff>135421</xdr:rowOff>
    </xdr:from>
    <xdr:to>
      <xdr:col>1</xdr:col>
      <xdr:colOff>2314988</xdr:colOff>
      <xdr:row>3</xdr:row>
      <xdr:rowOff>252921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F8C95C1E-2FEE-4F49-995F-F51BDABED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301901" y="135421"/>
          <a:ext cx="2448753" cy="580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85725</xdr:rowOff>
    </xdr:from>
    <xdr:to>
      <xdr:col>1</xdr:col>
      <xdr:colOff>2228850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E0FA87-09C4-48AB-8C06-779DCA853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219075" y="247650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142876</xdr:colOff>
      <xdr:row>0</xdr:row>
      <xdr:rowOff>133350</xdr:rowOff>
    </xdr:from>
    <xdr:to>
      <xdr:col>2</xdr:col>
      <xdr:colOff>708993</xdr:colOff>
      <xdr:row>2</xdr:row>
      <xdr:rowOff>66675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26988C12-1AF5-464D-9C01-589550DBB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427798" y="133350"/>
          <a:ext cx="2056986" cy="57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762001</xdr:colOff>
      <xdr:row>17</xdr:row>
      <xdr:rowOff>91439</xdr:rowOff>
    </xdr:from>
    <xdr:ext cx="5704392" cy="4082137"/>
    <xdr:pic>
      <xdr:nvPicPr>
        <xdr:cNvPr id="2" name="Imagen 1">
          <a:extLst>
            <a:ext uri="{FF2B5EF4-FFF2-40B4-BE49-F238E27FC236}">
              <a16:creationId xmlns:a16="http://schemas.microsoft.com/office/drawing/2014/main" id="{39B599A5-9E6E-497C-9352-ACEF75AC8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1" y="3091814"/>
          <a:ext cx="5704392" cy="4082137"/>
        </a:xfrm>
        <a:prstGeom prst="rect">
          <a:avLst/>
        </a:prstGeom>
      </xdr:spPr>
    </xdr:pic>
    <xdr:clientData/>
  </xdr:oneCellAnchor>
  <xdr:twoCellAnchor>
    <xdr:from>
      <xdr:col>0</xdr:col>
      <xdr:colOff>742950</xdr:colOff>
      <xdr:row>19</xdr:row>
      <xdr:rowOff>161925</xdr:rowOff>
    </xdr:from>
    <xdr:to>
      <xdr:col>3</xdr:col>
      <xdr:colOff>962025</xdr:colOff>
      <xdr:row>19</xdr:row>
      <xdr:rowOff>180975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743DD16-D6D8-4DC9-AB7C-ADEBF60ED09E}"/>
            </a:ext>
          </a:extLst>
        </xdr:cNvPr>
        <xdr:cNvCxnSpPr/>
      </xdr:nvCxnSpPr>
      <xdr:spPr>
        <a:xfrm flipV="1">
          <a:off x="742950" y="3562350"/>
          <a:ext cx="260985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22</xdr:row>
      <xdr:rowOff>38100</xdr:rowOff>
    </xdr:from>
    <xdr:to>
      <xdr:col>3</xdr:col>
      <xdr:colOff>962025</xdr:colOff>
      <xdr:row>22</xdr:row>
      <xdr:rowOff>57150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4A0E4734-3716-4180-99DE-C7DE72709CDD}"/>
            </a:ext>
          </a:extLst>
        </xdr:cNvPr>
        <xdr:cNvCxnSpPr/>
      </xdr:nvCxnSpPr>
      <xdr:spPr>
        <a:xfrm flipV="1">
          <a:off x="742950" y="4038600"/>
          <a:ext cx="260985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19</xdr:row>
      <xdr:rowOff>171450</xdr:rowOff>
    </xdr:from>
    <xdr:to>
      <xdr:col>0</xdr:col>
      <xdr:colOff>752475</xdr:colOff>
      <xdr:row>22</xdr:row>
      <xdr:rowOff>57150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E7B3C4D8-6454-488D-A4EF-08C14D51968F}"/>
            </a:ext>
          </a:extLst>
        </xdr:cNvPr>
        <xdr:cNvCxnSpPr/>
      </xdr:nvCxnSpPr>
      <xdr:spPr>
        <a:xfrm>
          <a:off x="742950" y="3571875"/>
          <a:ext cx="9525" cy="485775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942975</xdr:colOff>
      <xdr:row>19</xdr:row>
      <xdr:rowOff>152400</xdr:rowOff>
    </xdr:from>
    <xdr:to>
      <xdr:col>3</xdr:col>
      <xdr:colOff>962025</xdr:colOff>
      <xdr:row>22</xdr:row>
      <xdr:rowOff>38100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E8644EBC-5378-4B66-9192-99F01E7FB764}"/>
            </a:ext>
          </a:extLst>
        </xdr:cNvPr>
        <xdr:cNvCxnSpPr/>
      </xdr:nvCxnSpPr>
      <xdr:spPr>
        <a:xfrm>
          <a:off x="3352800" y="3552825"/>
          <a:ext cx="0" cy="485775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18</xdr:row>
      <xdr:rowOff>38101</xdr:rowOff>
    </xdr:from>
    <xdr:to>
      <xdr:col>10</xdr:col>
      <xdr:colOff>581025</xdr:colOff>
      <xdr:row>23</xdr:row>
      <xdr:rowOff>164847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6B718A4-7BC8-2D08-9AEB-101B45922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91275" y="3886201"/>
          <a:ext cx="5781675" cy="1079246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571500</xdr:colOff>
      <xdr:row>0</xdr:row>
      <xdr:rowOff>152400</xdr:rowOff>
    </xdr:from>
    <xdr:to>
      <xdr:col>1</xdr:col>
      <xdr:colOff>1922394</xdr:colOff>
      <xdr:row>3</xdr:row>
      <xdr:rowOff>84068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582AA15E-7DFA-43DE-9474-7D9AF227C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571500" y="152400"/>
          <a:ext cx="2065269" cy="579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35860</xdr:colOff>
      <xdr:row>44</xdr:row>
      <xdr:rowOff>8965</xdr:rowOff>
    </xdr:from>
    <xdr:to>
      <xdr:col>16</xdr:col>
      <xdr:colOff>791021</xdr:colOff>
      <xdr:row>73</xdr:row>
      <xdr:rowOff>151994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4268AA6-6D0A-4AD0-9CA4-718C5CF94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1260" y="9695890"/>
          <a:ext cx="8841886" cy="6219979"/>
        </a:xfrm>
        <a:prstGeom prst="rect">
          <a:avLst/>
        </a:prstGeom>
      </xdr:spPr>
    </xdr:pic>
    <xdr:clientData/>
  </xdr:twoCellAnchor>
  <xdr:twoCellAnchor editAs="oneCell">
    <xdr:from>
      <xdr:col>0</xdr:col>
      <xdr:colOff>549088</xdr:colOff>
      <xdr:row>0</xdr:row>
      <xdr:rowOff>89647</xdr:rowOff>
    </xdr:from>
    <xdr:to>
      <xdr:col>2</xdr:col>
      <xdr:colOff>1473013</xdr:colOff>
      <xdr:row>2</xdr:row>
      <xdr:rowOff>222437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BA5724-3127-4191-ABAF-64F914994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549088" y="89647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616323</xdr:colOff>
      <xdr:row>0</xdr:row>
      <xdr:rowOff>71718</xdr:rowOff>
    </xdr:from>
    <xdr:to>
      <xdr:col>29</xdr:col>
      <xdr:colOff>739587</xdr:colOff>
      <xdr:row>35</xdr:row>
      <xdr:rowOff>24741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9A9FBB-CC12-4BE3-9AE3-521523F0C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70998" y="71718"/>
          <a:ext cx="7743264" cy="8001648"/>
        </a:xfrm>
        <a:prstGeom prst="rect">
          <a:avLst/>
        </a:prstGeom>
      </xdr:spPr>
    </xdr:pic>
    <xdr:clientData/>
  </xdr:twoCellAnchor>
  <xdr:twoCellAnchor editAs="oneCell">
    <xdr:from>
      <xdr:col>11</xdr:col>
      <xdr:colOff>300990</xdr:colOff>
      <xdr:row>28</xdr:row>
      <xdr:rowOff>100965</xdr:rowOff>
    </xdr:from>
    <xdr:to>
      <xdr:col>17</xdr:col>
      <xdr:colOff>368573</xdr:colOff>
      <xdr:row>53</xdr:row>
      <xdr:rowOff>8337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2447B53-F08C-4021-9389-FF61325C4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83215" y="6682740"/>
          <a:ext cx="6516008" cy="5146122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0</xdr:row>
      <xdr:rowOff>104775</xdr:rowOff>
    </xdr:from>
    <xdr:to>
      <xdr:col>3</xdr:col>
      <xdr:colOff>561975</xdr:colOff>
      <xdr:row>3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4612B23-FA24-4A27-AA31-AF5DDBF29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657225" y="104775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0</xdr:rowOff>
    </xdr:from>
    <xdr:to>
      <xdr:col>3</xdr:col>
      <xdr:colOff>104775</xdr:colOff>
      <xdr:row>3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C4A4A5-93F8-49DC-AA52-112AFCD55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171450" y="200025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1876425</xdr:colOff>
      <xdr:row>3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1584AA-CFD7-4BD5-9EF8-1A2394A10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266700" y="76200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0</xdr:rowOff>
    </xdr:from>
    <xdr:to>
      <xdr:col>1</xdr:col>
      <xdr:colOff>1504950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53706A-68BC-4779-96BF-39C0F9749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276225" y="0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104775</xdr:rowOff>
    </xdr:from>
    <xdr:to>
      <xdr:col>2</xdr:col>
      <xdr:colOff>361950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1252F4-16F8-4063-A5E8-20B7B1D95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503" b="32080"/>
        <a:stretch>
          <a:fillRect/>
        </a:stretch>
      </xdr:blipFill>
      <xdr:spPr bwMode="auto">
        <a:xfrm>
          <a:off x="352425" y="104775"/>
          <a:ext cx="2447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13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CONCURSOS%20DE%20MERITOS\Licitaciones\LOTERIA%20DE%20BOGOTA\CONTRATACION%20DIRECTA%202007\CALIFICACION\CALIFICACION%20FINAL%20LOTER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RVICIOS%20GENERALES\SEGUROS%20DE%20VEH&#205;CULOS\SEGUROS%20%20SOAT%202023\SIMULADOR%20SEGUROS%20AUTOMOVILES%202022%20-%20REV%203-05-2022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SUPERINTENDENCIA%20DE%20VIGILANCIA\2022\2.%20CONTRATACION\3.%20ACUERDO%20MARCO%20SOAT%20DESIERTO%20HT%20111660\2.%20ESTUDIO%20PREVIO%20Y%20SIMULADOR\6.%20actualizado%20simulador_soat3g_v4_04-01-2022%20(4)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ggsgdt001\soportes%20servicios%20generales\Users\amparo.sanchez\Documents\Amparo%20S&#225;nchez\ACTUALIZACION%20BD%20PARQUE%20AUTOMOTOR-\Oficinas%20Nacionale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ICIOS%20GENERALES\MANTENIMIENTO%20DE%20VEHICULOS\MANTENIMIENTOS%202023\NECESIDADES%20DE%20PARQUE%20AUTOMOTOR%20%20Y%20NECESIDAES%20DE%20PRESUPUESTO%20PARA%20MANTENIMIENTO%20DE%20PARQUE%20AUTOMOR%20VIGENTE%20%20CONSOLIDADO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13\10.17.11.21\Users\AGOMEZ\AppData\Local\Microsoft\Windows\INetCache\Content.Outlook\B8X0MHZF\MINISTERIO%20DE%20JUSTICIA%20Y%20DEL%20DERECHO%20%20LICITACIONE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21\Users\AGOMEZ\AppData\Local\Microsoft\Windows\INetCache\Content.Outlook\B8X0MHZF\MINISTERIO%20DE%20JUSTICIA%20Y%20DEL%20DERECHO%20%20LICITACIONE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Users\AGOMEZ\AppData\Local\Microsoft\Windows\INetCache\Content.Outlook\B8X0MHZF\MINISTERIO%20DE%20JUSTICIA%20Y%20DEL%20DERECHO%20%20LICITACIONE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INSTITUTO%20NACIONAL%20DE%20METROLOGIA\CONTRATACION%20DE%20SEGUROS\CONTRATACION%202019\AUTOMOVILES\25.segurosvehiculos%2013-02-2019%20cotizador%20instituto%20nacional%20de%20metrologia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13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aoti-my.sharepoint.com/personal/nidia_parrado_ica_gov_co/Documents/REQUERIMIENTO%20DE%20PARQUE%20AUTOMOTOR/Lista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patino\AppData\Local\Microsoft\Windows\INetCache\Content.Outlook\QZWBWZBT\1%20ESTUDIO%20DE%20MERCADO%20DRONES%20INDIVIDUAL%20SGC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ICIO%20GEOL&#211;GICO\EJECUCION%20PRESUPUESTAL\CONTRATO%20927-2025%20Y%20928-2025%20%20(RCSP%20-%20autos%20-%20soat)\14%20EJECUCION%20PRESUPUESTAL%20CT%20927-2025%20PREVI%20JUN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1. COND. BÁSICAS TRDM"/>
      <sheetName val="2. COND. BÁSICAS MANEJO"/>
      <sheetName val="3. COND. BÁSICAS RCE"/>
      <sheetName val="4. COND. BÁSICAS TRANSP. VAL."/>
      <sheetName val="5. COND. BÁSICAS TRANSP. MCIAS."/>
      <sheetName val="5. COND. BÁSICAS AUTOMÓVILES"/>
      <sheetName val="6. COND. BÁSICAS RCSP"/>
      <sheetName val="7. G__ COND. BÁSICAS IRF"/>
      <sheetName val="8. G__ COND. BÁSICAS DRONES"/>
      <sheetName val="9. G_ COND. EQUIPO Y MAQ."/>
      <sheetName val="10. G__ BÁSICAS SEMOVIENTES"/>
      <sheetName val="11. G_ COND. BÁSICAS ACC. P."/>
      <sheetName val="12. COND. BÁ RCC PASAJEROS"/>
      <sheetName val="11. G_ COND. BÁSICAS CYBER"/>
      <sheetName val="12. G_ BÁSICAS TRDM OBRAS CIVIL"/>
      <sheetName val="8. COND. BÁSICAS SOAT"/>
      <sheetName val="CASCO BARCO"/>
      <sheetName val="13. G_ INCENDIO DEUDORES"/>
      <sheetName val="14. G_ VIDA DEUDORES"/>
      <sheetName val="TABLA DE DESMEMBRACIÓN VIDA"/>
      <sheetName val="INFORME DEFINITIVO"/>
      <sheetName val="Hoja4"/>
      <sheetName val="Hoja1"/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  <sheetName val="CONSOL"/>
      <sheetName val="LC"/>
      <sheetName val="PRESUPUESTO"/>
      <sheetName val="Links"/>
      <sheetName val="Lead"/>
      <sheetName val="METODOLOGÍA DE EVALUACIÓN"/>
      <sheetName val="COND ADIC. TRDMC"/>
      <sheetName val="G1. COND ADIC. MANEJO GLOBAL"/>
      <sheetName val="G1. COND ADIC. RCE"/>
      <sheetName val="G1. COND ADIC. TRANSP VALORES"/>
      <sheetName val="G1 COND ADIC. AUTOMÓVILES"/>
      <sheetName val="G1 . COND ADIC. RCSP"/>
      <sheetName val="G1. COND ADIC. IRF"/>
      <sheetName val="G2. COND ADIC. RIESGO CYB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/>
      <sheetData sheetId="150" refreshError="1"/>
      <sheetData sheetId="151"/>
      <sheetData sheetId="152" refreshError="1"/>
      <sheetData sheetId="153"/>
      <sheetData sheetId="154"/>
      <sheetData sheetId="155" refreshError="1"/>
      <sheetData sheetId="156"/>
      <sheetData sheetId="157">
        <row r="21">
          <cell r="L21" t="str">
            <v>-  TERREMOTO, TEMBLOR, ERUPCIÓN VOLCANICA:  SIN DEDUCIBLE</v>
          </cell>
        </row>
      </sheetData>
      <sheetData sheetId="158"/>
      <sheetData sheetId="159"/>
      <sheetData sheetId="160"/>
      <sheetData sheetId="161">
        <row r="21">
          <cell r="L21" t="str">
            <v>-  TERREMOTO, TEMBLOR, ERUPCIÓN VOLCANICA:  SIN DEDUCIBLE</v>
          </cell>
        </row>
      </sheetData>
      <sheetData sheetId="162"/>
      <sheetData sheetId="163"/>
      <sheetData sheetId="164">
        <row r="208">
          <cell r="G208" t="str">
            <v>VERSIÓN: OCT 2024</v>
          </cell>
        </row>
      </sheetData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>
        <row r="2">
          <cell r="A2" t="str">
            <v>Accidentes Personales -  Incapacidad Total y Permanente por Accidente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2">
          <cell r="A2" t="str">
            <v>Propio</v>
          </cell>
        </row>
      </sheetData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>
        <row r="11">
          <cell r="G11" t="str">
            <v>VERSIÓN: FEBRERO 2023</v>
          </cell>
        </row>
      </sheetData>
      <sheetData sheetId="205" refreshError="1"/>
      <sheetData sheetId="206" refreshError="1"/>
      <sheetData sheetId="207" refreshError="1"/>
      <sheetData sheetId="208" refreshError="1"/>
      <sheetData sheetId="209">
        <row r="2">
          <cell r="B2" t="str">
            <v>RADIO TELEVISIÓN NACIONAL DE COLOMBIA - RTVC</v>
          </cell>
        </row>
      </sheetData>
      <sheetData sheetId="210"/>
      <sheetData sheetId="211"/>
      <sheetData sheetId="2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ilidado RTM"/>
      <sheetName val="Criterios"/>
      <sheetName val="Oficinas Nacionales"/>
    </sheetNames>
    <sheetDataSet>
      <sheetData sheetId="0"/>
      <sheetData sheetId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CESIDAD DE MANTENIMIENTO"/>
      <sheetName val="NECESIDADES PARQUE AUTOMOTOR"/>
      <sheetName val="Hoja1"/>
      <sheetName val="Hoja4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4"/>
      <sheetName val="INFORME DEFINITIVO"/>
      <sheetName val="Hoja1"/>
    </sheetNames>
    <sheetDataSet>
      <sheetData sheetId="0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4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Recuperado_Hoja1"/>
      <sheetName val="CUADRO PRESENTACION"/>
      <sheetName val="RIESGOS"/>
      <sheetName val="COBERTURAS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PRESUPUESTO"/>
      <sheetName val="Links"/>
      <sheetName val="Lead"/>
      <sheetName val="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UDIO DE MERCADO INDIVIDUAL"/>
      <sheetName val="ESTUDIO DE MERCADO GLOBAL"/>
      <sheetName val="TASAS PROMEDIO"/>
      <sheetName val="DRONES"/>
      <sheetName val="SINIESTRALIDAD"/>
    </sheetNames>
    <sheetDataSet>
      <sheetData sheetId="0"/>
      <sheetData sheetId="1"/>
      <sheetData sheetId="2">
        <row r="8">
          <cell r="L8">
            <v>0.1391</v>
          </cell>
        </row>
      </sheetData>
      <sheetData sheetId="3">
        <row r="8">
          <cell r="B8" t="str">
            <v>DRONE-QUANTUM F90+ TRINITY</v>
          </cell>
        </row>
        <row r="9">
          <cell r="B9" t="str">
            <v>DRONE-QUANTUM F90+ TRINITY</v>
          </cell>
        </row>
        <row r="10">
          <cell r="B10" t="str">
            <v>DRONE DJI M300 RTK</v>
          </cell>
        </row>
        <row r="11">
          <cell r="B11" t="str">
            <v>DRONE DJI MAVIC AIR 2</v>
          </cell>
        </row>
        <row r="12">
          <cell r="B12" t="str">
            <v>DRON DJI M300RTK</v>
          </cell>
        </row>
      </sheetData>
      <sheetData sheetId="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TO. TODAS LAS ASEGU."/>
      <sheetName val="CONTRATO 927-2025"/>
      <sheetName val="Hoja1"/>
    </sheetNames>
    <sheetDataSet>
      <sheetData sheetId="0"/>
      <sheetData sheetId="1">
        <row r="57">
          <cell r="G57">
            <v>39653015.130000003</v>
          </cell>
        </row>
        <row r="58">
          <cell r="G58">
            <v>14198199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www.banrep.gov.co/es/banco/otros-servicios/compra-venta-metales-preciosos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uba.banrep.gov.co/htmlcommons/SeriesHistoricas/precios-inflacion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uperfinanciera.gov.co/publicaciones/10114901/superfinanciera-actualizo-las-tarifas-maximas-del-soat/" TargetMode="External"/><Relationship Id="rId2" Type="http://schemas.openxmlformats.org/officeDocument/2006/relationships/hyperlink" Target="https://www.superfinanciera.gov.co/publicaciones/10115445/tarifas-maximas-del-soat-para-2025-presentan-una-reduccion-del-868-para-gran-parte-del-parque-automotor/" TargetMode="External"/><Relationship Id="rId1" Type="http://schemas.openxmlformats.org/officeDocument/2006/relationships/hyperlink" Target="https://www.superfinanciera.gov.co/publicaciones/10115953/superfinanciera-divulga-las-tarifas-maximas-del-soat-para-2026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35"/>
  <sheetViews>
    <sheetView showGridLines="0" tabSelected="1" zoomScale="90" zoomScaleNormal="90" workbookViewId="0">
      <selection activeCell="B1" sqref="B1"/>
    </sheetView>
  </sheetViews>
  <sheetFormatPr baseColWidth="10" defaultColWidth="10.75" defaultRowHeight="12"/>
  <cols>
    <col min="1" max="1" width="5.75" style="225" customWidth="1"/>
    <col min="2" max="2" width="36.125" style="225" customWidth="1"/>
    <col min="3" max="3" width="14.75" style="225" customWidth="1"/>
    <col min="4" max="4" width="7.625" style="225" customWidth="1"/>
    <col min="5" max="5" width="7.75" style="226" customWidth="1"/>
    <col min="6" max="6" width="14.625" style="227" customWidth="1"/>
    <col min="7" max="7" width="18.125" style="227" customWidth="1"/>
    <col min="8" max="8" width="12.5" style="227" customWidth="1"/>
    <col min="9" max="10" width="17.25" style="227" customWidth="1"/>
    <col min="11" max="11" width="17.75" style="227" customWidth="1"/>
    <col min="12" max="12" width="14.25" style="224" bestFit="1" customWidth="1"/>
    <col min="13" max="13" width="13" style="225" customWidth="1"/>
    <col min="14" max="16" width="10.875" style="225" bestFit="1" customWidth="1"/>
    <col min="17" max="16384" width="10.75" style="225"/>
  </cols>
  <sheetData>
    <row r="2" spans="2:16">
      <c r="B2" s="312" t="s">
        <v>37</v>
      </c>
      <c r="C2" s="312"/>
      <c r="D2" s="312"/>
      <c r="E2" s="312"/>
      <c r="F2" s="312"/>
      <c r="G2" s="312"/>
      <c r="H2" s="312"/>
      <c r="I2" s="312"/>
      <c r="J2" s="312"/>
      <c r="K2" s="312"/>
    </row>
    <row r="3" spans="2:16">
      <c r="B3" s="311" t="s">
        <v>13</v>
      </c>
      <c r="C3" s="311"/>
      <c r="D3" s="311"/>
      <c r="E3" s="311"/>
      <c r="F3" s="311"/>
      <c r="G3" s="311"/>
      <c r="H3" s="311"/>
      <c r="I3" s="311"/>
      <c r="J3" s="311"/>
      <c r="K3" s="311"/>
    </row>
    <row r="4" spans="2:16" ht="21" customHeight="1">
      <c r="B4" s="311" t="s">
        <v>282</v>
      </c>
      <c r="C4" s="311"/>
      <c r="D4" s="311"/>
      <c r="E4" s="311"/>
      <c r="F4" s="311"/>
      <c r="G4" s="311"/>
      <c r="H4" s="311"/>
      <c r="I4" s="311"/>
      <c r="J4" s="311"/>
      <c r="K4" s="311"/>
    </row>
    <row r="5" spans="2:16" ht="21" customHeight="1">
      <c r="B5" s="223"/>
      <c r="C5" s="223"/>
      <c r="D5" s="223"/>
      <c r="E5" s="223"/>
      <c r="F5" s="223"/>
      <c r="G5" s="223"/>
      <c r="H5" s="223"/>
      <c r="I5" s="223"/>
      <c r="J5" s="223"/>
      <c r="K5" s="223"/>
    </row>
    <row r="6" spans="2:16">
      <c r="H6" s="228"/>
      <c r="I6" s="229" t="s">
        <v>278</v>
      </c>
      <c r="J6" s="229"/>
      <c r="K6" s="230">
        <v>490253400</v>
      </c>
    </row>
    <row r="7" spans="2:16" ht="18" customHeight="1">
      <c r="B7" s="231" t="s">
        <v>14</v>
      </c>
      <c r="C7" s="232" t="s">
        <v>281</v>
      </c>
      <c r="D7" s="313" t="s">
        <v>280</v>
      </c>
      <c r="E7" s="314"/>
      <c r="F7" s="233" t="s">
        <v>279</v>
      </c>
      <c r="G7" s="234" t="s">
        <v>283</v>
      </c>
      <c r="I7" s="235" t="s">
        <v>274</v>
      </c>
      <c r="J7" s="235"/>
      <c r="K7" s="236">
        <f>+K17</f>
        <v>148263283</v>
      </c>
      <c r="L7" s="237"/>
    </row>
    <row r="8" spans="2:16" ht="18" customHeight="1">
      <c r="B8" s="238" t="s">
        <v>15</v>
      </c>
      <c r="C8" s="239">
        <v>46356</v>
      </c>
      <c r="D8" s="300">
        <v>46356</v>
      </c>
      <c r="E8" s="301"/>
      <c r="F8" s="240">
        <v>46356</v>
      </c>
      <c r="G8" s="240" t="s">
        <v>304</v>
      </c>
      <c r="I8" s="241" t="s">
        <v>276</v>
      </c>
      <c r="J8" s="241"/>
      <c r="K8" s="242">
        <f>+K23</f>
        <v>130169124</v>
      </c>
      <c r="L8" s="243"/>
      <c r="M8" s="227"/>
    </row>
    <row r="9" spans="2:16" ht="18" customHeight="1">
      <c r="B9" s="238" t="s">
        <v>16</v>
      </c>
      <c r="C9" s="239">
        <f>+C8+C10</f>
        <v>46529</v>
      </c>
      <c r="D9" s="300">
        <f>+D8+D10</f>
        <v>46721</v>
      </c>
      <c r="E9" s="301"/>
      <c r="F9" s="240">
        <f>+F8+F10</f>
        <v>46721</v>
      </c>
      <c r="G9" s="240" t="s">
        <v>305</v>
      </c>
      <c r="I9" s="244" t="s">
        <v>275</v>
      </c>
      <c r="J9" s="244"/>
      <c r="K9" s="245">
        <f>+K29</f>
        <v>188276124</v>
      </c>
      <c r="L9" s="243"/>
      <c r="M9" s="227"/>
    </row>
    <row r="10" spans="2:16" ht="18" customHeight="1">
      <c r="B10" s="246" t="s">
        <v>17</v>
      </c>
      <c r="C10" s="247">
        <v>173</v>
      </c>
      <c r="D10" s="302">
        <v>365</v>
      </c>
      <c r="E10" s="303"/>
      <c r="F10" s="248">
        <v>365</v>
      </c>
      <c r="G10" s="249">
        <v>365</v>
      </c>
      <c r="I10" s="317" t="s">
        <v>306</v>
      </c>
      <c r="J10" s="317"/>
      <c r="K10" s="250">
        <f>+J35</f>
        <v>22951700</v>
      </c>
      <c r="M10" s="227"/>
    </row>
    <row r="11" spans="2:16" ht="18" customHeight="1">
      <c r="C11" s="251"/>
      <c r="E11" s="225"/>
      <c r="F11" s="225"/>
      <c r="I11" s="252" t="s">
        <v>277</v>
      </c>
      <c r="J11" s="252"/>
      <c r="K11" s="253">
        <f>SUM(K7:K10)</f>
        <v>489660231</v>
      </c>
      <c r="M11" s="227"/>
    </row>
    <row r="12" spans="2:16" ht="15.75" customHeight="1" thickBot="1">
      <c r="B12" s="223"/>
      <c r="C12" s="254" t="s">
        <v>7</v>
      </c>
      <c r="D12" s="255" t="s">
        <v>7</v>
      </c>
      <c r="E12" s="223"/>
      <c r="F12" s="223"/>
      <c r="G12" s="223"/>
      <c r="H12" s="223"/>
      <c r="I12" s="223"/>
      <c r="J12" s="223"/>
      <c r="K12" s="256" t="s">
        <v>7</v>
      </c>
    </row>
    <row r="13" spans="2:16" ht="19.5" customHeight="1" thickBot="1">
      <c r="B13" s="235" t="s">
        <v>18</v>
      </c>
      <c r="C13" s="257"/>
      <c r="F13" s="304" t="s">
        <v>19</v>
      </c>
      <c r="G13" s="304"/>
      <c r="H13" s="305"/>
      <c r="I13" s="306" t="s">
        <v>131</v>
      </c>
      <c r="J13" s="307"/>
      <c r="K13" s="308"/>
      <c r="L13" s="258"/>
      <c r="N13" s="251"/>
      <c r="O13" s="251"/>
      <c r="P13" s="251"/>
    </row>
    <row r="14" spans="2:16" s="223" customFormat="1" ht="39" customHeight="1">
      <c r="B14" s="217" t="s">
        <v>1</v>
      </c>
      <c r="C14" s="217" t="s">
        <v>20</v>
      </c>
      <c r="D14" s="309" t="s">
        <v>21</v>
      </c>
      <c r="E14" s="310"/>
      <c r="F14" s="217" t="s">
        <v>22</v>
      </c>
      <c r="G14" s="217" t="s">
        <v>23</v>
      </c>
      <c r="H14" s="218" t="s">
        <v>24</v>
      </c>
      <c r="I14" s="219" t="s">
        <v>129</v>
      </c>
      <c r="J14" s="220" t="s">
        <v>23</v>
      </c>
      <c r="K14" s="221" t="s">
        <v>130</v>
      </c>
      <c r="L14" s="222"/>
      <c r="M14" s="225"/>
      <c r="N14" s="251"/>
      <c r="O14" s="251"/>
      <c r="P14" s="251"/>
    </row>
    <row r="15" spans="2:16" s="226" customFormat="1" ht="19.149999999999999" customHeight="1">
      <c r="B15" s="259" t="s">
        <v>27</v>
      </c>
      <c r="C15" s="260">
        <f>DRONES!G7</f>
        <v>71434372315.800003</v>
      </c>
      <c r="D15" s="261">
        <f>'TASAS PROMEDIO'!J8</f>
        <v>0.10576666666666668</v>
      </c>
      <c r="E15" s="262" t="s">
        <v>8</v>
      </c>
      <c r="F15" s="263">
        <f>ROUND((C15*D15/100),0)</f>
        <v>75553754</v>
      </c>
      <c r="G15" s="264">
        <f>ROUND((F15*19%),0)</f>
        <v>14355213</v>
      </c>
      <c r="H15" s="265">
        <f>F15+G15</f>
        <v>89908967</v>
      </c>
      <c r="I15" s="266">
        <f>+F15/365*$C$10</f>
        <v>35810409.430136986</v>
      </c>
      <c r="J15" s="265">
        <f>+I15*19%</f>
        <v>6803977.7917260276</v>
      </c>
      <c r="K15" s="267">
        <v>42614388</v>
      </c>
      <c r="M15" s="225"/>
    </row>
    <row r="16" spans="2:16" s="226" customFormat="1" ht="19.149999999999999" customHeight="1">
      <c r="B16" s="259" t="s">
        <v>28</v>
      </c>
      <c r="C16" s="260">
        <f>+DRONES!C13</f>
        <v>857726486</v>
      </c>
      <c r="D16" s="261">
        <f>+'TASAS PROMEDIO'!J11</f>
        <v>21.838154625000001</v>
      </c>
      <c r="E16" s="262" t="s">
        <v>8</v>
      </c>
      <c r="F16" s="263">
        <f>ROUND((C16*D16/100),0)</f>
        <v>187311636</v>
      </c>
      <c r="G16" s="264">
        <f>ROUND((F16*19%),0)</f>
        <v>35589211</v>
      </c>
      <c r="H16" s="265">
        <f>F16+G16</f>
        <v>222900847</v>
      </c>
      <c r="I16" s="266">
        <f>+F16/365*$C$10</f>
        <v>88780583.638356164</v>
      </c>
      <c r="J16" s="265">
        <f>+I16*19%</f>
        <v>16868310.89128767</v>
      </c>
      <c r="K16" s="267">
        <v>105648895</v>
      </c>
      <c r="M16" s="225"/>
    </row>
    <row r="17" spans="2:12" ht="22.9" customHeight="1" thickBot="1">
      <c r="B17" s="268" t="s">
        <v>26</v>
      </c>
      <c r="C17" s="269"/>
      <c r="D17" s="269"/>
      <c r="E17" s="269"/>
      <c r="F17" s="269"/>
      <c r="G17" s="269"/>
      <c r="H17" s="270">
        <f>+H15+H16</f>
        <v>312809814</v>
      </c>
      <c r="I17" s="271">
        <f>SUM(I15:I16)</f>
        <v>124590993.06849316</v>
      </c>
      <c r="J17" s="272">
        <f>SUM(J15:J16)</f>
        <v>23672288.683013696</v>
      </c>
      <c r="K17" s="273">
        <f>SUM(K15:K16)</f>
        <v>148263283</v>
      </c>
      <c r="L17" s="222"/>
    </row>
    <row r="18" spans="2:12">
      <c r="G18" s="274" t="s">
        <v>7</v>
      </c>
    </row>
    <row r="19" spans="2:12" ht="12.75" thickBot="1"/>
    <row r="20" spans="2:12" ht="18" customHeight="1" thickBot="1">
      <c r="B20" s="241" t="s">
        <v>148</v>
      </c>
      <c r="C20" s="257"/>
      <c r="F20" s="304" t="s">
        <v>19</v>
      </c>
      <c r="G20" s="304"/>
      <c r="H20" s="305"/>
      <c r="I20" s="306" t="s">
        <v>131</v>
      </c>
      <c r="J20" s="307"/>
      <c r="K20" s="308"/>
    </row>
    <row r="21" spans="2:12" ht="27" customHeight="1">
      <c r="B21" s="217" t="s">
        <v>1</v>
      </c>
      <c r="C21" s="217" t="s">
        <v>20</v>
      </c>
      <c r="D21" s="309" t="s">
        <v>21</v>
      </c>
      <c r="E21" s="310"/>
      <c r="F21" s="217" t="s">
        <v>22</v>
      </c>
      <c r="G21" s="217" t="s">
        <v>23</v>
      </c>
      <c r="H21" s="218" t="s">
        <v>24</v>
      </c>
      <c r="I21" s="219" t="s">
        <v>129</v>
      </c>
      <c r="J21" s="220" t="s">
        <v>23</v>
      </c>
      <c r="K21" s="221" t="s">
        <v>130</v>
      </c>
    </row>
    <row r="22" spans="2:12" ht="23.25" customHeight="1">
      <c r="B22" s="259" t="s">
        <v>25</v>
      </c>
      <c r="C22" s="260">
        <f>+'RELACION AUTOMOVILES'!S29</f>
        <v>3739430423</v>
      </c>
      <c r="D22" s="261">
        <f>+'TASAS PROMEDIO'!J19</f>
        <v>2.9252000000000002</v>
      </c>
      <c r="E22" s="262" t="s">
        <v>8</v>
      </c>
      <c r="F22" s="263">
        <f>ROUND((C22*D22/100),0)</f>
        <v>109385819</v>
      </c>
      <c r="G22" s="264">
        <f>ROUND((F22*19%),0)</f>
        <v>20783306</v>
      </c>
      <c r="H22" s="275">
        <f>F22+G22</f>
        <v>130169125</v>
      </c>
      <c r="I22" s="276">
        <f>+F22/365*$D$10</f>
        <v>109385819</v>
      </c>
      <c r="J22" s="265">
        <f>+I22*19%</f>
        <v>20783305.609999999</v>
      </c>
      <c r="K22" s="267">
        <v>130169124</v>
      </c>
    </row>
    <row r="23" spans="2:12" ht="18" customHeight="1" thickBot="1">
      <c r="B23" s="277" t="s">
        <v>272</v>
      </c>
      <c r="C23" s="278"/>
      <c r="D23" s="278"/>
      <c r="E23" s="278"/>
      <c r="F23" s="279"/>
      <c r="G23" s="279"/>
      <c r="H23" s="280">
        <f>SUM(H22)</f>
        <v>130169125</v>
      </c>
      <c r="I23" s="271">
        <f>SUM(I22:I22)</f>
        <v>109385819</v>
      </c>
      <c r="J23" s="272">
        <f>SUM(J22:J22)</f>
        <v>20783305.609999999</v>
      </c>
      <c r="K23" s="273">
        <f>SUM(K22:K22)</f>
        <v>130169124</v>
      </c>
    </row>
    <row r="25" spans="2:12" ht="12.75" thickBot="1"/>
    <row r="26" spans="2:12" ht="19.5" customHeight="1" thickBot="1">
      <c r="B26" s="244" t="s">
        <v>149</v>
      </c>
      <c r="C26" s="257"/>
      <c r="F26" s="304" t="s">
        <v>19</v>
      </c>
      <c r="G26" s="304"/>
      <c r="H26" s="305"/>
      <c r="I26" s="306" t="s">
        <v>131</v>
      </c>
      <c r="J26" s="307"/>
      <c r="K26" s="308"/>
    </row>
    <row r="27" spans="2:12" ht="41.25" customHeight="1">
      <c r="B27" s="217" t="s">
        <v>1</v>
      </c>
      <c r="C27" s="217" t="s">
        <v>20</v>
      </c>
      <c r="D27" s="309" t="s">
        <v>21</v>
      </c>
      <c r="E27" s="310"/>
      <c r="F27" s="217" t="s">
        <v>22</v>
      </c>
      <c r="G27" s="217" t="s">
        <v>23</v>
      </c>
      <c r="H27" s="218" t="s">
        <v>24</v>
      </c>
      <c r="I27" s="219" t="s">
        <v>129</v>
      </c>
      <c r="J27" s="220" t="s">
        <v>23</v>
      </c>
      <c r="K27" s="221" t="s">
        <v>130</v>
      </c>
    </row>
    <row r="28" spans="2:12" ht="30.75" customHeight="1">
      <c r="B28" s="286" t="s">
        <v>142</v>
      </c>
      <c r="C28" s="260">
        <f>+'TASAS PROMEDIO'!E24</f>
        <v>6000000002</v>
      </c>
      <c r="D28" s="261">
        <f>+'TASAS PROMEDIO'!J24</f>
        <v>2.6369205099999999</v>
      </c>
      <c r="E28" s="262" t="s">
        <v>8</v>
      </c>
      <c r="F28" s="263">
        <f>ROUND((C28*D28/100),0)</f>
        <v>158215231</v>
      </c>
      <c r="G28" s="264">
        <f>ROUND((F28*19%),0)</f>
        <v>30060894</v>
      </c>
      <c r="H28" s="275">
        <f>F28+G28</f>
        <v>188276125</v>
      </c>
      <c r="I28" s="276">
        <f>+F28/365*$F$10</f>
        <v>158215231</v>
      </c>
      <c r="J28" s="265">
        <f>+I28*19%</f>
        <v>30060893.890000001</v>
      </c>
      <c r="K28" s="267">
        <v>188276124</v>
      </c>
    </row>
    <row r="29" spans="2:12" ht="18" customHeight="1" thickBot="1">
      <c r="B29" s="281" t="s">
        <v>273</v>
      </c>
      <c r="C29" s="282"/>
      <c r="D29" s="282"/>
      <c r="E29" s="282"/>
      <c r="F29" s="283"/>
      <c r="G29" s="283"/>
      <c r="H29" s="284">
        <f>SUM(H28)</f>
        <v>188276125</v>
      </c>
      <c r="I29" s="271">
        <f>SUM(I28:I28)</f>
        <v>158215231</v>
      </c>
      <c r="J29" s="272">
        <f>SUM(J28:J28)</f>
        <v>30060893.890000001</v>
      </c>
      <c r="K29" s="273">
        <f>SUM(K28:K28)</f>
        <v>188276124</v>
      </c>
    </row>
    <row r="31" spans="2:12" ht="12.75" thickBot="1"/>
    <row r="32" spans="2:12" ht="18.75" customHeight="1">
      <c r="B32" s="285" t="s">
        <v>283</v>
      </c>
      <c r="C32" s="257"/>
      <c r="F32" s="304" t="s">
        <v>19</v>
      </c>
      <c r="G32" s="304"/>
      <c r="H32" s="305"/>
      <c r="I32" s="306" t="s">
        <v>131</v>
      </c>
      <c r="J32" s="307"/>
      <c r="K32" s="308"/>
    </row>
    <row r="33" spans="2:11" ht="24.75" thickBot="1">
      <c r="B33" s="217" t="s">
        <v>1</v>
      </c>
      <c r="C33" s="217" t="s">
        <v>20</v>
      </c>
      <c r="D33" s="309" t="s">
        <v>21</v>
      </c>
      <c r="E33" s="310"/>
      <c r="F33" s="318" t="s">
        <v>24</v>
      </c>
      <c r="G33" s="319"/>
      <c r="H33" s="320"/>
      <c r="I33" s="321" t="s">
        <v>24</v>
      </c>
      <c r="J33" s="319"/>
      <c r="K33" s="320"/>
    </row>
    <row r="34" spans="2:11" ht="24.75" thickBot="1">
      <c r="B34" s="286" t="s">
        <v>284</v>
      </c>
      <c r="C34" s="315" t="s">
        <v>285</v>
      </c>
      <c r="D34" s="316"/>
      <c r="E34" s="316"/>
      <c r="F34" s="287"/>
      <c r="G34" s="288">
        <f>+'RELACION SOAT'!R28</f>
        <v>22951700</v>
      </c>
      <c r="H34" s="289"/>
      <c r="I34" s="290" t="s">
        <v>7</v>
      </c>
      <c r="J34" s="290">
        <f>+G34</f>
        <v>22951700</v>
      </c>
      <c r="K34" s="291"/>
    </row>
    <row r="35" spans="2:11" ht="17.25" customHeight="1" thickBot="1">
      <c r="B35" s="292" t="s">
        <v>286</v>
      </c>
      <c r="C35" s="293"/>
      <c r="D35" s="293"/>
      <c r="E35" s="293"/>
      <c r="F35" s="294"/>
      <c r="G35" s="295">
        <f>+G34</f>
        <v>22951700</v>
      </c>
      <c r="H35" s="296" t="s">
        <v>7</v>
      </c>
      <c r="I35" s="297" t="s">
        <v>7</v>
      </c>
      <c r="J35" s="298">
        <f>+G35</f>
        <v>22951700</v>
      </c>
      <c r="K35" s="299"/>
    </row>
  </sheetData>
  <mergeCells count="23">
    <mergeCell ref="C34:E34"/>
    <mergeCell ref="I10:J10"/>
    <mergeCell ref="F32:H32"/>
    <mergeCell ref="I32:K32"/>
    <mergeCell ref="D33:E33"/>
    <mergeCell ref="F33:H33"/>
    <mergeCell ref="I33:K33"/>
    <mergeCell ref="I13:K13"/>
    <mergeCell ref="D27:E27"/>
    <mergeCell ref="F26:H26"/>
    <mergeCell ref="I26:K26"/>
    <mergeCell ref="B4:K4"/>
    <mergeCell ref="B3:K3"/>
    <mergeCell ref="B2:K2"/>
    <mergeCell ref="D8:E8"/>
    <mergeCell ref="D7:E7"/>
    <mergeCell ref="D9:E9"/>
    <mergeCell ref="D10:E10"/>
    <mergeCell ref="F20:H20"/>
    <mergeCell ref="I20:K20"/>
    <mergeCell ref="D21:E21"/>
    <mergeCell ref="F13:H13"/>
    <mergeCell ref="D14:E14"/>
  </mergeCells>
  <phoneticPr fontId="44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44"/>
  <sheetViews>
    <sheetView showGridLines="0" zoomScaleNormal="100" workbookViewId="0">
      <selection activeCell="C5" sqref="C5"/>
    </sheetView>
  </sheetViews>
  <sheetFormatPr baseColWidth="10" defaultColWidth="10.75" defaultRowHeight="12.75"/>
  <cols>
    <col min="1" max="1" width="5.75" style="5" customWidth="1"/>
    <col min="2" max="2" width="31.125" style="5" customWidth="1"/>
    <col min="3" max="3" width="14.75" style="5" customWidth="1"/>
    <col min="4" max="4" width="7.625" style="5" customWidth="1"/>
    <col min="5" max="5" width="7.75" style="6" customWidth="1"/>
    <col min="6" max="7" width="19.25" style="7" customWidth="1"/>
    <col min="8" max="8" width="12.5" style="7" customWidth="1"/>
    <col min="9" max="9" width="13.75" style="7" customWidth="1"/>
    <col min="10" max="10" width="12.75" style="7" customWidth="1"/>
    <col min="11" max="11" width="17.75" style="7" customWidth="1"/>
    <col min="12" max="12" width="14.25" style="4" bestFit="1" customWidth="1"/>
    <col min="13" max="13" width="15.75" style="5" customWidth="1"/>
    <col min="14" max="16384" width="10.75" style="5"/>
  </cols>
  <sheetData>
    <row r="2" spans="2:13" ht="20.25">
      <c r="B2" s="36" t="s">
        <v>7</v>
      </c>
      <c r="C2" s="324" t="s">
        <v>37</v>
      </c>
      <c r="D2" s="324"/>
      <c r="E2" s="324"/>
      <c r="F2" s="324"/>
      <c r="G2" s="324"/>
      <c r="H2" s="36"/>
      <c r="I2" s="36"/>
      <c r="J2" s="36"/>
      <c r="K2" s="36"/>
    </row>
    <row r="3" spans="2:13" ht="20.25">
      <c r="B3" s="37"/>
      <c r="C3" s="324" t="s">
        <v>13</v>
      </c>
      <c r="D3" s="324"/>
      <c r="E3" s="324"/>
      <c r="F3" s="324"/>
      <c r="G3" s="324"/>
      <c r="H3" s="37"/>
      <c r="I3" s="37"/>
      <c r="J3" s="37"/>
      <c r="K3" s="37"/>
    </row>
    <row r="4" spans="2:13" ht="21" customHeight="1">
      <c r="B4" s="36" t="s">
        <v>7</v>
      </c>
      <c r="C4" s="324" t="s">
        <v>488</v>
      </c>
      <c r="D4" s="324"/>
      <c r="E4" s="324"/>
      <c r="F4" s="324"/>
      <c r="G4" s="324"/>
      <c r="H4" s="36"/>
      <c r="I4" s="36"/>
      <c r="J4" s="36"/>
      <c r="K4" s="36"/>
    </row>
    <row r="6" spans="2:13" ht="16.5">
      <c r="H6" s="325">
        <v>2447901008</v>
      </c>
      <c r="I6" s="325"/>
      <c r="J6" s="8"/>
      <c r="K6" s="8"/>
      <c r="L6" s="9"/>
    </row>
    <row r="7" spans="2:13">
      <c r="C7" s="10"/>
      <c r="M7" s="7"/>
    </row>
    <row r="8" spans="2:13" ht="21.6" customHeight="1">
      <c r="B8" s="326" t="s">
        <v>14</v>
      </c>
      <c r="C8" s="327"/>
      <c r="D8" s="7"/>
      <c r="E8" s="328"/>
      <c r="F8" s="328"/>
      <c r="G8" s="328"/>
      <c r="H8" s="38"/>
      <c r="M8" s="7"/>
    </row>
    <row r="9" spans="2:13" ht="19.149999999999999" customHeight="1">
      <c r="B9" s="12" t="s">
        <v>15</v>
      </c>
      <c r="C9" s="13" t="s">
        <v>89</v>
      </c>
      <c r="D9" s="7"/>
      <c r="E9" s="329" t="s">
        <v>307</v>
      </c>
      <c r="F9" s="329"/>
      <c r="G9" s="329"/>
      <c r="H9" s="59">
        <f>H20+H26+H32+H38+H44</f>
        <v>312809816</v>
      </c>
      <c r="M9" s="7"/>
    </row>
    <row r="10" spans="2:13" ht="18" customHeight="1">
      <c r="B10" s="14" t="s">
        <v>16</v>
      </c>
      <c r="C10" s="13" t="s">
        <v>89</v>
      </c>
      <c r="D10" s="7"/>
      <c r="E10" s="7"/>
      <c r="M10" s="7"/>
    </row>
    <row r="11" spans="2:13">
      <c r="B11" s="11" t="s">
        <v>17</v>
      </c>
      <c r="C11" s="15">
        <v>365</v>
      </c>
      <c r="D11" s="7"/>
      <c r="E11" s="7"/>
      <c r="M11" s="7"/>
    </row>
    <row r="12" spans="2:13">
      <c r="C12" s="10"/>
      <c r="D12" s="7"/>
      <c r="E12" s="7"/>
      <c r="M12" s="7"/>
    </row>
    <row r="13" spans="2:13">
      <c r="C13" s="10"/>
      <c r="M13" s="7"/>
    </row>
    <row r="14" spans="2:13" ht="15.75" customHeight="1">
      <c r="B14" s="18"/>
      <c r="C14" s="18"/>
      <c r="D14" s="20" t="s">
        <v>7</v>
      </c>
      <c r="E14" s="18"/>
      <c r="F14" s="18"/>
      <c r="G14" s="18"/>
      <c r="H14" s="18"/>
      <c r="I14" s="18"/>
      <c r="J14" s="18"/>
      <c r="K14" s="19"/>
    </row>
    <row r="15" spans="2:13">
      <c r="G15" s="21" t="s">
        <v>7</v>
      </c>
    </row>
    <row r="16" spans="2:13" ht="15.75">
      <c r="B16" s="16" t="str">
        <f>+[17]DRONES!B8</f>
        <v>DRONE-QUANTUM F90+ TRINITY</v>
      </c>
      <c r="C16" s="10"/>
      <c r="F16" s="330" t="s">
        <v>19</v>
      </c>
      <c r="G16" s="330"/>
      <c r="H16" s="330"/>
    </row>
    <row r="17" spans="2:11" ht="27">
      <c r="B17" s="17" t="s">
        <v>1</v>
      </c>
      <c r="C17" s="17" t="s">
        <v>20</v>
      </c>
      <c r="D17" s="322" t="s">
        <v>21</v>
      </c>
      <c r="E17" s="323"/>
      <c r="F17" s="17" t="s">
        <v>22</v>
      </c>
      <c r="G17" s="17" t="s">
        <v>23</v>
      </c>
      <c r="H17" s="17" t="s">
        <v>24</v>
      </c>
    </row>
    <row r="18" spans="2:11">
      <c r="B18" s="60" t="s">
        <v>27</v>
      </c>
      <c r="C18" s="61">
        <f>DRONES!$F$7</f>
        <v>14286874463.16</v>
      </c>
      <c r="D18" s="89">
        <f>+'TASAS PROMEDIO'!J8</f>
        <v>0.10576666666666668</v>
      </c>
      <c r="E18" s="62" t="s">
        <v>8</v>
      </c>
      <c r="F18" s="63">
        <f>ROUND((C18*D18/100),0)</f>
        <v>15110751</v>
      </c>
      <c r="G18" s="64">
        <f>ROUND((F18*19%),0)</f>
        <v>2871043</v>
      </c>
      <c r="H18" s="65">
        <f>F18+G18</f>
        <v>17981794</v>
      </c>
      <c r="K18" s="7" t="s">
        <v>7</v>
      </c>
    </row>
    <row r="19" spans="2:11">
      <c r="B19" s="60" t="s">
        <v>28</v>
      </c>
      <c r="C19" s="61">
        <f>+DRONES!C7</f>
        <v>130900000</v>
      </c>
      <c r="D19" s="89">
        <f>+'TASAS PROMEDIO'!$J$11</f>
        <v>21.838154625000001</v>
      </c>
      <c r="E19" s="62" t="s">
        <v>8</v>
      </c>
      <c r="F19" s="66">
        <f>ROUND((C19*D19/100),0)</f>
        <v>28586144</v>
      </c>
      <c r="G19" s="67">
        <f>ROUND((F19*19%),0)</f>
        <v>5431367</v>
      </c>
      <c r="H19" s="68">
        <f>F19+G19</f>
        <v>34017511</v>
      </c>
    </row>
    <row r="20" spans="2:11" ht="15.75">
      <c r="B20" s="32" t="s">
        <v>116</v>
      </c>
      <c r="C20" s="33"/>
      <c r="D20" s="33"/>
      <c r="E20" s="33"/>
      <c r="F20" s="34"/>
      <c r="G20" s="34"/>
      <c r="H20" s="35">
        <f>+H18+H19</f>
        <v>51999305</v>
      </c>
    </row>
    <row r="22" spans="2:11" ht="15.75">
      <c r="B22" s="16" t="str">
        <f>+[17]DRONES!B9</f>
        <v>DRONE-QUANTUM F90+ TRINITY</v>
      </c>
      <c r="C22" s="10"/>
      <c r="F22" s="330" t="s">
        <v>19</v>
      </c>
      <c r="G22" s="330"/>
      <c r="H22" s="330"/>
    </row>
    <row r="23" spans="2:11" ht="27">
      <c r="B23" s="17" t="s">
        <v>1</v>
      </c>
      <c r="C23" s="17" t="s">
        <v>20</v>
      </c>
      <c r="D23" s="322" t="s">
        <v>21</v>
      </c>
      <c r="E23" s="323"/>
      <c r="F23" s="17" t="s">
        <v>22</v>
      </c>
      <c r="G23" s="17" t="s">
        <v>23</v>
      </c>
      <c r="H23" s="17" t="s">
        <v>24</v>
      </c>
    </row>
    <row r="24" spans="2:11">
      <c r="B24" s="60" t="s">
        <v>27</v>
      </c>
      <c r="C24" s="61">
        <f>DRONES!$F$7</f>
        <v>14286874463.16</v>
      </c>
      <c r="D24" s="89">
        <f>+'TASAS PROMEDIO'!$J$8</f>
        <v>0.10576666666666668</v>
      </c>
      <c r="E24" s="62" t="s">
        <v>8</v>
      </c>
      <c r="F24" s="63">
        <f>ROUND((C24*D24/100),0)</f>
        <v>15110751</v>
      </c>
      <c r="G24" s="64">
        <f>ROUND((F24*19%),0)</f>
        <v>2871043</v>
      </c>
      <c r="H24" s="65">
        <f>F24+G24</f>
        <v>17981794</v>
      </c>
    </row>
    <row r="25" spans="2:11">
      <c r="B25" s="60" t="s">
        <v>28</v>
      </c>
      <c r="C25" s="61">
        <f>+DRONES!C8</f>
        <v>134711928</v>
      </c>
      <c r="D25" s="89">
        <f>+'TASAS PROMEDIO'!$J$11</f>
        <v>21.838154625000001</v>
      </c>
      <c r="E25" s="62" t="s">
        <v>8</v>
      </c>
      <c r="F25" s="66">
        <f>ROUND((C25*D25/100),0)</f>
        <v>29418599</v>
      </c>
      <c r="G25" s="67">
        <f>ROUND((F25*19%),0)</f>
        <v>5589534</v>
      </c>
      <c r="H25" s="68">
        <f>F25+G25</f>
        <v>35008133</v>
      </c>
    </row>
    <row r="26" spans="2:11" ht="15.75">
      <c r="B26" s="32" t="s">
        <v>30</v>
      </c>
      <c r="C26" s="33"/>
      <c r="D26" s="33" t="s">
        <v>7</v>
      </c>
      <c r="E26" s="33"/>
      <c r="F26" s="34"/>
      <c r="G26" s="34"/>
      <c r="H26" s="35">
        <f>+H24+H25</f>
        <v>52989927</v>
      </c>
    </row>
    <row r="28" spans="2:11" ht="15.75">
      <c r="B28" s="16" t="str">
        <f>+[17]DRONES!B10</f>
        <v>DRONE DJI M300 RTK</v>
      </c>
      <c r="C28" s="10"/>
      <c r="F28" s="330" t="s">
        <v>19</v>
      </c>
      <c r="G28" s="330"/>
      <c r="H28" s="330"/>
    </row>
    <row r="29" spans="2:11" ht="27">
      <c r="B29" s="17" t="s">
        <v>1</v>
      </c>
      <c r="C29" s="17" t="s">
        <v>20</v>
      </c>
      <c r="D29" s="322" t="s">
        <v>21</v>
      </c>
      <c r="E29" s="323"/>
      <c r="F29" s="17" t="s">
        <v>22</v>
      </c>
      <c r="G29" s="17" t="s">
        <v>23</v>
      </c>
      <c r="H29" s="17" t="s">
        <v>24</v>
      </c>
    </row>
    <row r="30" spans="2:11">
      <c r="B30" s="60" t="s">
        <v>27</v>
      </c>
      <c r="C30" s="61">
        <f>DRONES!$F$7</f>
        <v>14286874463.16</v>
      </c>
      <c r="D30" s="89">
        <f>+'TASAS PROMEDIO'!$J$8</f>
        <v>0.10576666666666668</v>
      </c>
      <c r="E30" s="62" t="s">
        <v>8</v>
      </c>
      <c r="F30" s="63">
        <f>ROUND((C30*D30/100),0)</f>
        <v>15110751</v>
      </c>
      <c r="G30" s="64">
        <f>ROUND((F30*19%),0)</f>
        <v>2871043</v>
      </c>
      <c r="H30" s="65">
        <f>F30+G30</f>
        <v>17981794</v>
      </c>
    </row>
    <row r="31" spans="2:11">
      <c r="B31" s="60" t="s">
        <v>28</v>
      </c>
      <c r="C31" s="61">
        <f>+DRONES!C9</f>
        <v>293058479</v>
      </c>
      <c r="D31" s="89">
        <f>+'TASAS PROMEDIO'!$J$11</f>
        <v>21.838154625000001</v>
      </c>
      <c r="E31" s="62" t="s">
        <v>8</v>
      </c>
      <c r="F31" s="66">
        <f>ROUND((C31*D31/100),0)</f>
        <v>63998564</v>
      </c>
      <c r="G31" s="67">
        <f>ROUND((F31*19%),0)</f>
        <v>12159727</v>
      </c>
      <c r="H31" s="68">
        <f>F31+G31</f>
        <v>76158291</v>
      </c>
    </row>
    <row r="32" spans="2:11" ht="15.75">
      <c r="B32" s="32" t="s">
        <v>30</v>
      </c>
      <c r="C32" s="33"/>
      <c r="D32" s="33"/>
      <c r="E32" s="33"/>
      <c r="F32" s="34"/>
      <c r="G32" s="34"/>
      <c r="H32" s="35">
        <f>+H30+H31</f>
        <v>94140085</v>
      </c>
    </row>
    <row r="34" spans="2:8" ht="15.75">
      <c r="B34" s="16" t="str">
        <f>+[17]DRONES!B11</f>
        <v>DRONE DJI MAVIC AIR 2</v>
      </c>
      <c r="C34" s="10"/>
      <c r="F34" s="330" t="s">
        <v>19</v>
      </c>
      <c r="G34" s="330"/>
      <c r="H34" s="330"/>
    </row>
    <row r="35" spans="2:8" ht="27">
      <c r="B35" s="17" t="s">
        <v>1</v>
      </c>
      <c r="C35" s="17" t="s">
        <v>20</v>
      </c>
      <c r="D35" s="322" t="s">
        <v>21</v>
      </c>
      <c r="E35" s="323"/>
      <c r="F35" s="17" t="s">
        <v>22</v>
      </c>
      <c r="G35" s="17" t="s">
        <v>23</v>
      </c>
      <c r="H35" s="17" t="s">
        <v>24</v>
      </c>
    </row>
    <row r="36" spans="2:8">
      <c r="B36" s="60" t="s">
        <v>27</v>
      </c>
      <c r="C36" s="61">
        <f>DRONES!$F$7</f>
        <v>14286874463.16</v>
      </c>
      <c r="D36" s="89">
        <f>+'TASAS PROMEDIO'!$J$8</f>
        <v>0.10576666666666668</v>
      </c>
      <c r="E36" s="62" t="s">
        <v>8</v>
      </c>
      <c r="F36" s="63">
        <f>ROUND((C36*D36/100),0)</f>
        <v>15110751</v>
      </c>
      <c r="G36" s="64">
        <f>ROUND((F36*19%),0)</f>
        <v>2871043</v>
      </c>
      <c r="H36" s="65">
        <f>F36+G36</f>
        <v>17981794</v>
      </c>
    </row>
    <row r="37" spans="2:8">
      <c r="B37" s="60" t="s">
        <v>28</v>
      </c>
      <c r="C37" s="61">
        <f>+DRONES!C10</f>
        <v>5997600</v>
      </c>
      <c r="D37" s="89">
        <f>+'TASAS PROMEDIO'!$J$11</f>
        <v>21.838154625000001</v>
      </c>
      <c r="E37" s="62" t="s">
        <v>8</v>
      </c>
      <c r="F37" s="66">
        <f>ROUND((C37*D37/100),0)</f>
        <v>1309765</v>
      </c>
      <c r="G37" s="67">
        <f>ROUND((F37*19%),0)</f>
        <v>248855</v>
      </c>
      <c r="H37" s="68">
        <f>F37+G37</f>
        <v>1558620</v>
      </c>
    </row>
    <row r="38" spans="2:8" ht="15.75">
      <c r="B38" s="32" t="s">
        <v>116</v>
      </c>
      <c r="C38" s="33"/>
      <c r="D38" s="33"/>
      <c r="E38" s="33"/>
      <c r="F38" s="34"/>
      <c r="G38" s="34"/>
      <c r="H38" s="35">
        <f>+H36+H37</f>
        <v>19540414</v>
      </c>
    </row>
    <row r="40" spans="2:8" ht="15.75">
      <c r="B40" s="16" t="str">
        <f>+[17]DRONES!B12</f>
        <v>DRON DJI M300RTK</v>
      </c>
      <c r="C40" s="10"/>
      <c r="F40" s="330" t="s">
        <v>19</v>
      </c>
      <c r="G40" s="330"/>
      <c r="H40" s="330"/>
    </row>
    <row r="41" spans="2:8" ht="27">
      <c r="B41" s="17" t="s">
        <v>1</v>
      </c>
      <c r="C41" s="17" t="s">
        <v>20</v>
      </c>
      <c r="D41" s="322" t="s">
        <v>21</v>
      </c>
      <c r="E41" s="323"/>
      <c r="F41" s="17" t="s">
        <v>22</v>
      </c>
      <c r="G41" s="17" t="s">
        <v>23</v>
      </c>
      <c r="H41" s="17" t="s">
        <v>24</v>
      </c>
    </row>
    <row r="42" spans="2:8">
      <c r="B42" s="60" t="s">
        <v>27</v>
      </c>
      <c r="C42" s="61">
        <f>DRONES!$F$7</f>
        <v>14286874463.16</v>
      </c>
      <c r="D42" s="89">
        <f>+'TASAS PROMEDIO'!$J$8</f>
        <v>0.10576666666666668</v>
      </c>
      <c r="E42" s="62" t="s">
        <v>8</v>
      </c>
      <c r="F42" s="63">
        <f>ROUND((C42*D42/100),0)</f>
        <v>15110751</v>
      </c>
      <c r="G42" s="64">
        <f>ROUND((F42*19%),0)</f>
        <v>2871043</v>
      </c>
      <c r="H42" s="65">
        <f>F42+G42</f>
        <v>17981794</v>
      </c>
    </row>
    <row r="43" spans="2:8">
      <c r="B43" s="60" t="s">
        <v>28</v>
      </c>
      <c r="C43" s="61">
        <f>+DRONES!C11</f>
        <v>293058479</v>
      </c>
      <c r="D43" s="89">
        <f>+'TASAS PROMEDIO'!$J$11</f>
        <v>21.838154625000001</v>
      </c>
      <c r="E43" s="62" t="s">
        <v>8</v>
      </c>
      <c r="F43" s="66">
        <f>ROUND((C43*D43/100),0)</f>
        <v>63998564</v>
      </c>
      <c r="G43" s="67">
        <f>ROUND((F43*19%),0)</f>
        <v>12159727</v>
      </c>
      <c r="H43" s="68">
        <f>F43+G43</f>
        <v>76158291</v>
      </c>
    </row>
    <row r="44" spans="2:8" ht="15.75">
      <c r="B44" s="32" t="s">
        <v>116</v>
      </c>
      <c r="C44" s="33"/>
      <c r="D44" s="33"/>
      <c r="E44" s="33"/>
      <c r="F44" s="34"/>
      <c r="G44" s="34"/>
      <c r="H44" s="35">
        <f>+H42+H43</f>
        <v>94140085</v>
      </c>
    </row>
  </sheetData>
  <mergeCells count="17">
    <mergeCell ref="F40:H40"/>
    <mergeCell ref="D41:E41"/>
    <mergeCell ref="F22:H22"/>
    <mergeCell ref="D23:E23"/>
    <mergeCell ref="F28:H28"/>
    <mergeCell ref="D29:E29"/>
    <mergeCell ref="F34:H34"/>
    <mergeCell ref="D35:E35"/>
    <mergeCell ref="D17:E17"/>
    <mergeCell ref="C2:G2"/>
    <mergeCell ref="C3:G3"/>
    <mergeCell ref="C4:G4"/>
    <mergeCell ref="H6:I6"/>
    <mergeCell ref="B8:C8"/>
    <mergeCell ref="E8:G8"/>
    <mergeCell ref="E9:G9"/>
    <mergeCell ref="F16:H1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K27"/>
  <sheetViews>
    <sheetView showGridLines="0" zoomScale="115" zoomScaleNormal="115" workbookViewId="0">
      <selection activeCell="I20" sqref="I20:I23"/>
    </sheetView>
  </sheetViews>
  <sheetFormatPr baseColWidth="10" defaultColWidth="11.25" defaultRowHeight="15"/>
  <cols>
    <col min="1" max="1" width="3.75" style="2" customWidth="1"/>
    <col min="2" max="2" width="19.625" style="1" customWidth="1"/>
    <col min="3" max="3" width="37.25" style="2" customWidth="1"/>
    <col min="4" max="4" width="27.75" style="2" customWidth="1"/>
    <col min="5" max="5" width="12.75" style="2" customWidth="1"/>
    <col min="6" max="6" width="8.25" style="2" customWidth="1"/>
    <col min="7" max="7" width="9.75" style="2" customWidth="1"/>
    <col min="8" max="8" width="13.25" style="2" customWidth="1"/>
    <col min="9" max="9" width="13.5" style="2" customWidth="1"/>
    <col min="10" max="10" width="14.5" style="2" customWidth="1"/>
    <col min="11" max="16384" width="11.25" style="2"/>
  </cols>
  <sheetData>
    <row r="1" spans="2:11" ht="25.5">
      <c r="C1" s="353" t="s">
        <v>37</v>
      </c>
      <c r="D1" s="353"/>
      <c r="E1" s="353"/>
      <c r="F1" s="353"/>
      <c r="G1" s="353"/>
      <c r="H1" s="353"/>
      <c r="I1" s="353"/>
      <c r="J1" s="353"/>
    </row>
    <row r="2" spans="2:11" ht="25.9" customHeight="1">
      <c r="C2" s="354" t="s">
        <v>12</v>
      </c>
      <c r="D2" s="354"/>
      <c r="E2" s="354"/>
      <c r="F2" s="354"/>
      <c r="G2" s="354"/>
      <c r="H2" s="354"/>
      <c r="I2" s="354"/>
      <c r="J2" s="354"/>
    </row>
    <row r="3" spans="2:11" ht="25.5">
      <c r="C3" s="355" t="s">
        <v>0</v>
      </c>
      <c r="D3" s="355"/>
      <c r="E3" s="355"/>
      <c r="F3" s="355"/>
      <c r="G3" s="355"/>
      <c r="H3" s="355"/>
      <c r="I3" s="355"/>
      <c r="J3" s="355"/>
    </row>
    <row r="4" spans="2:11" ht="25.5">
      <c r="C4" s="3"/>
      <c r="D4" s="3"/>
      <c r="E4" s="3"/>
      <c r="F4" s="3"/>
      <c r="G4" s="3"/>
      <c r="H4" s="3"/>
      <c r="I4" s="3"/>
      <c r="J4" s="3"/>
    </row>
    <row r="5" spans="2:11" ht="15" customHeight="1" thickBot="1">
      <c r="C5" s="1"/>
      <c r="D5" s="1"/>
      <c r="E5" s="1"/>
      <c r="F5" s="1"/>
      <c r="G5" s="1"/>
      <c r="H5" s="356"/>
      <c r="I5" s="356"/>
      <c r="J5" s="356"/>
    </row>
    <row r="6" spans="2:11" ht="15.75" customHeight="1">
      <c r="B6" s="365" t="s">
        <v>1</v>
      </c>
      <c r="C6" s="367" t="s">
        <v>2</v>
      </c>
      <c r="D6" s="367" t="s">
        <v>3</v>
      </c>
      <c r="E6" s="367" t="s">
        <v>4</v>
      </c>
      <c r="F6" s="351" t="s">
        <v>5</v>
      </c>
      <c r="G6" s="351" t="s">
        <v>63</v>
      </c>
      <c r="H6" s="357" t="s">
        <v>114</v>
      </c>
      <c r="I6" s="357" t="s">
        <v>6</v>
      </c>
      <c r="J6" s="359" t="s">
        <v>115</v>
      </c>
    </row>
    <row r="7" spans="2:11" ht="43.15" customHeight="1" thickBot="1">
      <c r="B7" s="366"/>
      <c r="C7" s="368"/>
      <c r="D7" s="368"/>
      <c r="E7" s="368"/>
      <c r="F7" s="352"/>
      <c r="G7" s="352"/>
      <c r="H7" s="358"/>
      <c r="I7" s="358"/>
      <c r="J7" s="360"/>
    </row>
    <row r="8" spans="2:11" s="83" customFormat="1" ht="15" customHeight="1">
      <c r="B8" s="361" t="s">
        <v>28</v>
      </c>
      <c r="C8" s="162" t="s">
        <v>11</v>
      </c>
      <c r="D8" s="119" t="s">
        <v>120</v>
      </c>
      <c r="E8" s="120">
        <v>18000000000</v>
      </c>
      <c r="F8" s="121">
        <v>0.11</v>
      </c>
      <c r="G8" s="373" t="s">
        <v>101</v>
      </c>
      <c r="H8" s="376">
        <f>AVERAGE(F8:F10)</f>
        <v>0.10576666666666668</v>
      </c>
      <c r="I8" s="376">
        <v>0</v>
      </c>
      <c r="J8" s="379">
        <f>H8+I8</f>
        <v>0.10576666666666668</v>
      </c>
      <c r="K8" s="85"/>
    </row>
    <row r="9" spans="2:11" s="83" customFormat="1" ht="13.5">
      <c r="B9" s="362"/>
      <c r="C9" s="163" t="s">
        <v>9</v>
      </c>
      <c r="D9" s="58" t="s">
        <v>10</v>
      </c>
      <c r="E9" s="93">
        <v>13735029315</v>
      </c>
      <c r="F9" s="84">
        <v>0.1173</v>
      </c>
      <c r="G9" s="374"/>
      <c r="H9" s="377"/>
      <c r="I9" s="377"/>
      <c r="J9" s="380"/>
      <c r="K9" s="86"/>
    </row>
    <row r="10" spans="2:11" s="83" customFormat="1" ht="16.149999999999999" customHeight="1" thickBot="1">
      <c r="B10" s="362"/>
      <c r="C10" s="164" t="s">
        <v>121</v>
      </c>
      <c r="D10" s="165" t="s">
        <v>98</v>
      </c>
      <c r="E10" s="166">
        <v>564917408</v>
      </c>
      <c r="F10" s="167">
        <v>0.09</v>
      </c>
      <c r="G10" s="375"/>
      <c r="H10" s="378"/>
      <c r="I10" s="378"/>
      <c r="J10" s="381"/>
    </row>
    <row r="11" spans="2:11" ht="30.6" customHeight="1">
      <c r="B11" s="362"/>
      <c r="C11" s="160" t="s">
        <v>96</v>
      </c>
      <c r="D11" s="369" t="s">
        <v>97</v>
      </c>
      <c r="E11" s="371">
        <v>564917408</v>
      </c>
      <c r="F11" s="161">
        <v>13.63</v>
      </c>
      <c r="G11" s="384" t="s">
        <v>86</v>
      </c>
      <c r="H11" s="387">
        <f>AVERAGE(F11:F18)</f>
        <v>20.798242500000001</v>
      </c>
      <c r="I11" s="168">
        <v>0.05</v>
      </c>
      <c r="J11" s="389">
        <f>H11+I12</f>
        <v>21.838154625000001</v>
      </c>
    </row>
    <row r="12" spans="2:11" ht="27">
      <c r="B12" s="362"/>
      <c r="C12" s="95" t="s">
        <v>96</v>
      </c>
      <c r="D12" s="370"/>
      <c r="E12" s="372"/>
      <c r="F12" s="39">
        <v>16.79</v>
      </c>
      <c r="G12" s="385"/>
      <c r="H12" s="350"/>
      <c r="I12" s="382">
        <f>H11*I11</f>
        <v>1.0399121250000001</v>
      </c>
      <c r="J12" s="390"/>
    </row>
    <row r="13" spans="2:11" ht="25.9" customHeight="1">
      <c r="B13" s="362"/>
      <c r="C13" s="95" t="s">
        <v>122</v>
      </c>
      <c r="D13" s="57" t="s">
        <v>123</v>
      </c>
      <c r="E13" s="90">
        <v>1201680372</v>
      </c>
      <c r="F13" s="39">
        <v>20</v>
      </c>
      <c r="G13" s="385"/>
      <c r="H13" s="350"/>
      <c r="I13" s="382"/>
      <c r="J13" s="390"/>
    </row>
    <row r="14" spans="2:11" ht="27">
      <c r="B14" s="362"/>
      <c r="C14" s="95" t="s">
        <v>99</v>
      </c>
      <c r="D14" s="94" t="s">
        <v>100</v>
      </c>
      <c r="E14" s="91">
        <v>706117360</v>
      </c>
      <c r="F14" s="39">
        <v>18.53</v>
      </c>
      <c r="G14" s="385"/>
      <c r="H14" s="350"/>
      <c r="I14" s="382"/>
      <c r="J14" s="390"/>
    </row>
    <row r="15" spans="2:11" ht="25.9" customHeight="1">
      <c r="B15" s="363"/>
      <c r="C15" s="95" t="s">
        <v>127</v>
      </c>
      <c r="D15" s="94" t="s">
        <v>94</v>
      </c>
      <c r="E15" s="91">
        <v>506565660</v>
      </c>
      <c r="F15" s="39">
        <v>31.363939999999999</v>
      </c>
      <c r="G15" s="385"/>
      <c r="H15" s="350"/>
      <c r="I15" s="382"/>
      <c r="J15" s="390"/>
    </row>
    <row r="16" spans="2:11" ht="25.9" customHeight="1">
      <c r="B16" s="363"/>
      <c r="C16" s="96" t="s">
        <v>124</v>
      </c>
      <c r="D16" s="94" t="s">
        <v>95</v>
      </c>
      <c r="E16" s="92">
        <v>721279200</v>
      </c>
      <c r="F16" s="39">
        <v>21.82</v>
      </c>
      <c r="G16" s="385"/>
      <c r="H16" s="350"/>
      <c r="I16" s="382"/>
      <c r="J16" s="390"/>
    </row>
    <row r="17" spans="2:10" ht="25.9" customHeight="1">
      <c r="B17" s="363"/>
      <c r="C17" s="96" t="s">
        <v>128</v>
      </c>
      <c r="D17" s="94" t="s">
        <v>98</v>
      </c>
      <c r="E17" s="92">
        <v>564917408</v>
      </c>
      <c r="F17" s="39">
        <v>19.8</v>
      </c>
      <c r="G17" s="385"/>
      <c r="H17" s="350"/>
      <c r="I17" s="382"/>
      <c r="J17" s="390"/>
    </row>
    <row r="18" spans="2:10" ht="42" customHeight="1" thickBot="1">
      <c r="B18" s="364"/>
      <c r="C18" s="115" t="s">
        <v>125</v>
      </c>
      <c r="D18" s="116" t="s">
        <v>126</v>
      </c>
      <c r="E18" s="117">
        <v>338721423</v>
      </c>
      <c r="F18" s="118">
        <v>24.452000000000002</v>
      </c>
      <c r="G18" s="386"/>
      <c r="H18" s="388"/>
      <c r="I18" s="383"/>
      <c r="J18" s="391"/>
    </row>
    <row r="19" spans="2:10">
      <c r="B19" s="341" t="s">
        <v>133</v>
      </c>
      <c r="C19" s="107" t="s">
        <v>37</v>
      </c>
      <c r="D19" s="107" t="s">
        <v>134</v>
      </c>
      <c r="E19" s="114">
        <v>974400000</v>
      </c>
      <c r="F19" s="109">
        <v>2.903</v>
      </c>
      <c r="G19" s="331" t="s">
        <v>25</v>
      </c>
      <c r="H19" s="344">
        <f>AVERAGE(F19:F23)</f>
        <v>2.9252000000000002</v>
      </c>
      <c r="I19" s="169">
        <v>0</v>
      </c>
      <c r="J19" s="347">
        <f>+H19+I20</f>
        <v>2.9252000000000002</v>
      </c>
    </row>
    <row r="20" spans="2:10" ht="15" customHeight="1">
      <c r="B20" s="342"/>
      <c r="C20" s="100" t="s">
        <v>135</v>
      </c>
      <c r="D20" s="100" t="s">
        <v>136</v>
      </c>
      <c r="E20" s="101">
        <v>9571820802</v>
      </c>
      <c r="F20" s="102">
        <v>2.9</v>
      </c>
      <c r="G20" s="332"/>
      <c r="H20" s="345"/>
      <c r="I20" s="350">
        <f>H19*I19</f>
        <v>0</v>
      </c>
      <c r="J20" s="348"/>
    </row>
    <row r="21" spans="2:10" ht="15" customHeight="1">
      <c r="B21" s="342"/>
      <c r="C21" s="103" t="s">
        <v>137</v>
      </c>
      <c r="D21" s="104" t="s">
        <v>138</v>
      </c>
      <c r="E21" s="101">
        <v>979858000</v>
      </c>
      <c r="F21" s="102">
        <v>3</v>
      </c>
      <c r="G21" s="332"/>
      <c r="H21" s="345"/>
      <c r="I21" s="345"/>
      <c r="J21" s="348"/>
    </row>
    <row r="22" spans="2:10" ht="15" customHeight="1">
      <c r="B22" s="342"/>
      <c r="C22" s="103" t="s">
        <v>139</v>
      </c>
      <c r="D22" s="103" t="s">
        <v>140</v>
      </c>
      <c r="E22" s="101">
        <v>733853597</v>
      </c>
      <c r="F22" s="102">
        <v>2.9630000000000001</v>
      </c>
      <c r="G22" s="332"/>
      <c r="H22" s="345"/>
      <c r="I22" s="345"/>
      <c r="J22" s="348"/>
    </row>
    <row r="23" spans="2:10" ht="15" customHeight="1" thickBot="1">
      <c r="B23" s="343"/>
      <c r="C23" s="110" t="s">
        <v>141</v>
      </c>
      <c r="D23" s="111" t="s">
        <v>138</v>
      </c>
      <c r="E23" s="112">
        <v>979858000</v>
      </c>
      <c r="F23" s="113">
        <v>2.86</v>
      </c>
      <c r="G23" s="333"/>
      <c r="H23" s="346"/>
      <c r="I23" s="346"/>
      <c r="J23" s="349"/>
    </row>
    <row r="24" spans="2:10" ht="16.5" customHeight="1">
      <c r="B24" s="341" t="s">
        <v>142</v>
      </c>
      <c r="C24" s="107" t="s">
        <v>37</v>
      </c>
      <c r="D24" s="107" t="s">
        <v>134</v>
      </c>
      <c r="E24" s="108">
        <v>6000000002</v>
      </c>
      <c r="F24" s="109">
        <v>2.4552339999999999</v>
      </c>
      <c r="G24" s="331" t="s">
        <v>147</v>
      </c>
      <c r="H24" s="334">
        <f>AVERAGE(F24:F27)</f>
        <v>2.560117</v>
      </c>
      <c r="I24" s="169">
        <v>0.03</v>
      </c>
      <c r="J24" s="338">
        <f>+H24+I25</f>
        <v>2.6369205099999999</v>
      </c>
    </row>
    <row r="25" spans="2:10" ht="27">
      <c r="B25" s="342"/>
      <c r="C25" s="103" t="s">
        <v>143</v>
      </c>
      <c r="D25" s="103" t="s">
        <v>144</v>
      </c>
      <c r="E25" s="105">
        <v>5600000001</v>
      </c>
      <c r="F25" s="106">
        <v>2.4552339999999999</v>
      </c>
      <c r="G25" s="332"/>
      <c r="H25" s="335"/>
      <c r="I25" s="337">
        <f>H24*I24</f>
        <v>7.6803509999999992E-2</v>
      </c>
      <c r="J25" s="339"/>
    </row>
    <row r="26" spans="2:10" ht="15" customHeight="1">
      <c r="B26" s="342"/>
      <c r="C26" s="103" t="s">
        <v>145</v>
      </c>
      <c r="D26" s="103" t="s">
        <v>146</v>
      </c>
      <c r="E26" s="101">
        <v>6600000001</v>
      </c>
      <c r="F26" s="106">
        <v>2.65</v>
      </c>
      <c r="G26" s="332"/>
      <c r="H26" s="335"/>
      <c r="I26" s="335"/>
      <c r="J26" s="339"/>
    </row>
    <row r="27" spans="2:10" ht="15" customHeight="1" thickBot="1">
      <c r="B27" s="343"/>
      <c r="C27" s="110" t="s">
        <v>137</v>
      </c>
      <c r="D27" s="111" t="s">
        <v>138</v>
      </c>
      <c r="E27" s="112">
        <v>2500000001</v>
      </c>
      <c r="F27" s="113">
        <v>2.68</v>
      </c>
      <c r="G27" s="333"/>
      <c r="H27" s="336"/>
      <c r="I27" s="336"/>
      <c r="J27" s="340"/>
    </row>
  </sheetData>
  <mergeCells count="34">
    <mergeCell ref="G8:G10"/>
    <mergeCell ref="I8:I10"/>
    <mergeCell ref="H8:H10"/>
    <mergeCell ref="J8:J10"/>
    <mergeCell ref="I12:I18"/>
    <mergeCell ref="G11:G18"/>
    <mergeCell ref="H11:H18"/>
    <mergeCell ref="J11:J18"/>
    <mergeCell ref="B8:B18"/>
    <mergeCell ref="B6:B7"/>
    <mergeCell ref="C6:C7"/>
    <mergeCell ref="D6:D7"/>
    <mergeCell ref="E6:E7"/>
    <mergeCell ref="D11:D12"/>
    <mergeCell ref="E11:E12"/>
    <mergeCell ref="F6:F7"/>
    <mergeCell ref="C1:J1"/>
    <mergeCell ref="C2:J2"/>
    <mergeCell ref="C3:J3"/>
    <mergeCell ref="H5:J5"/>
    <mergeCell ref="G6:G7"/>
    <mergeCell ref="H6:H7"/>
    <mergeCell ref="I6:I7"/>
    <mergeCell ref="J6:J7"/>
    <mergeCell ref="B19:B23"/>
    <mergeCell ref="G19:G23"/>
    <mergeCell ref="H19:H23"/>
    <mergeCell ref="J19:J23"/>
    <mergeCell ref="I20:I23"/>
    <mergeCell ref="G24:G27"/>
    <mergeCell ref="H24:H27"/>
    <mergeCell ref="I25:I27"/>
    <mergeCell ref="J24:J27"/>
    <mergeCell ref="B24:B27"/>
  </mergeCells>
  <pageMargins left="0.70866141732283472" right="0.70866141732283472" top="0.74803149606299213" bottom="0.74803149606299213" header="0.31496062992125984" footer="0.31496062992125984"/>
  <pageSetup scale="71" orientation="landscape" r:id="rId1"/>
  <ignoredErrors>
    <ignoredError sqref="H11 H19:H23 H24:H27 H8:H10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showGridLines="0" topLeftCell="A6" workbookViewId="0">
      <selection activeCell="C1" sqref="B1:K13"/>
    </sheetView>
  </sheetViews>
  <sheetFormatPr baseColWidth="10" defaultColWidth="11" defaultRowHeight="15"/>
  <cols>
    <col min="1" max="1" width="9.375" style="22" customWidth="1"/>
    <col min="2" max="2" width="39.25" style="23" customWidth="1"/>
    <col min="3" max="3" width="14.125" style="23" bestFit="1" customWidth="1"/>
    <col min="4" max="4" width="7.625" style="22" customWidth="1"/>
    <col min="5" max="5" width="11.875" style="22" customWidth="1"/>
    <col min="6" max="6" width="12.875" style="22" customWidth="1"/>
    <col min="7" max="7" width="16.5" style="22" bestFit="1" customWidth="1"/>
    <col min="8" max="8" width="16.875" style="22" bestFit="1" customWidth="1"/>
    <col min="9" max="16384" width="11" style="22"/>
  </cols>
  <sheetData>
    <row r="2" spans="2:11" ht="18" customHeight="1">
      <c r="B2" s="392" t="s">
        <v>37</v>
      </c>
      <c r="C2" s="392"/>
      <c r="D2" s="392"/>
      <c r="E2" s="392"/>
      <c r="F2" s="392"/>
      <c r="G2" s="392"/>
      <c r="H2" s="392"/>
      <c r="I2" s="392"/>
      <c r="J2" s="392"/>
      <c r="K2" s="392"/>
    </row>
    <row r="3" spans="2:11" ht="18" customHeight="1">
      <c r="B3" s="393" t="s">
        <v>36</v>
      </c>
      <c r="C3" s="393"/>
      <c r="D3" s="393"/>
      <c r="E3" s="393"/>
      <c r="F3" s="393"/>
      <c r="G3" s="393"/>
      <c r="H3" s="393"/>
      <c r="I3" s="393"/>
      <c r="J3" s="393"/>
      <c r="K3" s="393"/>
    </row>
    <row r="5" spans="2:11" ht="16.5">
      <c r="E5" s="400" t="s">
        <v>35</v>
      </c>
      <c r="F5" s="400"/>
      <c r="G5" s="400"/>
    </row>
    <row r="6" spans="2:11" s="159" customFormat="1" ht="38.25">
      <c r="B6" s="31" t="s">
        <v>34</v>
      </c>
      <c r="C6" s="157" t="s">
        <v>33</v>
      </c>
      <c r="D6" s="158" t="s">
        <v>32</v>
      </c>
      <c r="E6" s="87" t="s">
        <v>132</v>
      </c>
      <c r="F6" s="87" t="s">
        <v>119</v>
      </c>
      <c r="G6" s="88" t="s">
        <v>492</v>
      </c>
    </row>
    <row r="7" spans="2:11">
      <c r="B7" s="29" t="s">
        <v>90</v>
      </c>
      <c r="C7" s="30">
        <v>130900000</v>
      </c>
      <c r="D7" s="398">
        <v>33333</v>
      </c>
      <c r="E7" s="399">
        <v>428610.52</v>
      </c>
      <c r="F7" s="397">
        <f>E7*D7</f>
        <v>14286874463.16</v>
      </c>
      <c r="G7" s="394">
        <f>F7*5</f>
        <v>71434372315.800003</v>
      </c>
      <c r="H7" s="98" t="s">
        <v>7</v>
      </c>
    </row>
    <row r="8" spans="2:11">
      <c r="B8" s="29" t="s">
        <v>90</v>
      </c>
      <c r="C8" s="30">
        <v>134711928</v>
      </c>
      <c r="D8" s="398"/>
      <c r="E8" s="399"/>
      <c r="F8" s="397"/>
      <c r="G8" s="395"/>
    </row>
    <row r="9" spans="2:11">
      <c r="B9" s="29" t="s">
        <v>91</v>
      </c>
      <c r="C9" s="30">
        <v>293058479</v>
      </c>
      <c r="D9" s="398"/>
      <c r="E9" s="399"/>
      <c r="F9" s="397"/>
      <c r="G9" s="395"/>
    </row>
    <row r="10" spans="2:11">
      <c r="B10" s="29" t="s">
        <v>92</v>
      </c>
      <c r="C10" s="30">
        <v>5997600</v>
      </c>
      <c r="D10" s="398"/>
      <c r="E10" s="399"/>
      <c r="F10" s="397"/>
      <c r="G10" s="395"/>
    </row>
    <row r="11" spans="2:11">
      <c r="B11" s="29" t="s">
        <v>93</v>
      </c>
      <c r="C11" s="28">
        <v>293058479</v>
      </c>
      <c r="D11" s="398"/>
      <c r="E11" s="399"/>
      <c r="F11" s="397"/>
      <c r="G11" s="395"/>
    </row>
    <row r="12" spans="2:11">
      <c r="B12" s="99"/>
      <c r="C12" s="99"/>
      <c r="D12" s="398"/>
      <c r="E12" s="399"/>
      <c r="F12" s="397"/>
      <c r="G12" s="396"/>
    </row>
    <row r="13" spans="2:11" ht="16.5">
      <c r="B13" s="27" t="s">
        <v>31</v>
      </c>
      <c r="C13" s="26">
        <f>SUM(C7:C11)</f>
        <v>857726486</v>
      </c>
      <c r="F13" s="25"/>
      <c r="G13" s="82"/>
      <c r="H13" s="97"/>
    </row>
    <row r="17" spans="2:6" ht="15.75" customHeight="1">
      <c r="B17" s="24" t="s">
        <v>29</v>
      </c>
      <c r="C17" s="24"/>
      <c r="E17" s="69"/>
      <c r="F17" s="69" t="s">
        <v>118</v>
      </c>
    </row>
  </sheetData>
  <mergeCells count="7">
    <mergeCell ref="B2:K2"/>
    <mergeCell ref="B3:K3"/>
    <mergeCell ref="G7:G12"/>
    <mergeCell ref="F7:F12"/>
    <mergeCell ref="D7:D12"/>
    <mergeCell ref="E7:E12"/>
    <mergeCell ref="E5:G5"/>
  </mergeCells>
  <hyperlinks>
    <hyperlink ref="F17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showGridLines="0" topLeftCell="H1" zoomScale="85" zoomScaleNormal="85" workbookViewId="0">
      <selection activeCell="S29" sqref="S29"/>
    </sheetView>
  </sheetViews>
  <sheetFormatPr baseColWidth="10" defaultColWidth="10" defaultRowHeight="16.5"/>
  <cols>
    <col min="1" max="2" width="10" style="122"/>
    <col min="3" max="3" width="20.5" style="122" customWidth="1"/>
    <col min="4" max="4" width="12" style="122" customWidth="1"/>
    <col min="5" max="5" width="14.5" style="122" customWidth="1"/>
    <col min="6" max="6" width="10" style="122"/>
    <col min="7" max="7" width="9.375" style="122" customWidth="1"/>
    <col min="8" max="8" width="9.625" style="122" customWidth="1"/>
    <col min="9" max="9" width="6.125" style="122" customWidth="1"/>
    <col min="10" max="10" width="11.75" style="122" bestFit="1" customWidth="1"/>
    <col min="11" max="11" width="17.625" style="122" bestFit="1" customWidth="1"/>
    <col min="12" max="12" width="17.625" style="122" hidden="1" customWidth="1"/>
    <col min="13" max="13" width="14.75" style="122" hidden="1" customWidth="1"/>
    <col min="14" max="14" width="14.125" style="122" customWidth="1"/>
    <col min="15" max="15" width="14.625" style="122" customWidth="1"/>
    <col min="16" max="16" width="12.875" style="122" customWidth="1"/>
    <col min="17" max="18" width="12.625" style="122" customWidth="1"/>
    <col min="19" max="19" width="13.75" style="122" customWidth="1"/>
    <col min="20" max="16384" width="10" style="122"/>
  </cols>
  <sheetData>
    <row r="1" spans="1:19" ht="17.25" customHeight="1"/>
    <row r="2" spans="1:19" s="124" customFormat="1" ht="18" customHeight="1">
      <c r="A2" s="123"/>
      <c r="B2" s="401" t="s">
        <v>11</v>
      </c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3"/>
    </row>
    <row r="3" spans="1:19" s="124" customFormat="1" ht="18">
      <c r="A3" s="123"/>
      <c r="B3" s="404" t="s">
        <v>150</v>
      </c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06"/>
    </row>
    <row r="4" spans="1:19" s="125" customFormat="1" ht="18"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19" ht="13.9" customHeight="1">
      <c r="B5" s="407" t="s">
        <v>151</v>
      </c>
      <c r="C5" s="407"/>
      <c r="D5" s="407"/>
      <c r="E5" s="407"/>
      <c r="F5" s="407"/>
      <c r="G5" s="407"/>
      <c r="H5" s="407"/>
      <c r="I5" s="407"/>
      <c r="J5" s="407"/>
      <c r="K5" s="407"/>
      <c r="L5" s="407"/>
      <c r="M5" s="407"/>
      <c r="N5" s="407"/>
      <c r="O5" s="407"/>
      <c r="P5" s="407"/>
      <c r="Q5" s="407"/>
      <c r="R5" s="407"/>
      <c r="S5" s="408"/>
    </row>
    <row r="6" spans="1:19" ht="49.5">
      <c r="B6" s="127" t="s">
        <v>152</v>
      </c>
      <c r="C6" s="127" t="s">
        <v>153</v>
      </c>
      <c r="D6" s="127" t="s">
        <v>154</v>
      </c>
      <c r="E6" s="127" t="s">
        <v>155</v>
      </c>
      <c r="F6" s="127" t="s">
        <v>156</v>
      </c>
      <c r="G6" s="127" t="s">
        <v>157</v>
      </c>
      <c r="H6" s="127" t="s">
        <v>158</v>
      </c>
      <c r="I6" s="127" t="s">
        <v>159</v>
      </c>
      <c r="J6" s="127" t="s">
        <v>160</v>
      </c>
      <c r="K6" s="127" t="s">
        <v>161</v>
      </c>
      <c r="L6" s="127" t="s">
        <v>162</v>
      </c>
      <c r="M6" s="127" t="s">
        <v>163</v>
      </c>
      <c r="N6" s="127" t="s">
        <v>164</v>
      </c>
      <c r="O6" s="127" t="s">
        <v>165</v>
      </c>
      <c r="P6" s="127" t="s">
        <v>166</v>
      </c>
      <c r="Q6" s="127" t="s">
        <v>20</v>
      </c>
      <c r="R6" s="127" t="s">
        <v>167</v>
      </c>
      <c r="S6" s="155" t="s">
        <v>168</v>
      </c>
    </row>
    <row r="7" spans="1:19">
      <c r="B7" s="128" t="s">
        <v>169</v>
      </c>
      <c r="C7" s="129" t="s">
        <v>170</v>
      </c>
      <c r="D7" s="129" t="s">
        <v>171</v>
      </c>
      <c r="E7" s="130" t="s">
        <v>172</v>
      </c>
      <c r="F7" s="128">
        <v>2023</v>
      </c>
      <c r="G7" s="128">
        <v>3596</v>
      </c>
      <c r="H7" s="130">
        <v>534</v>
      </c>
      <c r="I7" s="130">
        <v>5</v>
      </c>
      <c r="J7" s="130" t="s">
        <v>173</v>
      </c>
      <c r="K7" s="130" t="s">
        <v>174</v>
      </c>
      <c r="L7" s="130" t="s">
        <v>174</v>
      </c>
      <c r="M7" s="130" t="s">
        <v>175</v>
      </c>
      <c r="N7" s="130" t="s">
        <v>176</v>
      </c>
      <c r="O7" s="128" t="s">
        <v>177</v>
      </c>
      <c r="P7" s="131" t="s">
        <v>178</v>
      </c>
      <c r="Q7" s="132">
        <v>227600000</v>
      </c>
      <c r="R7" s="133">
        <v>4310000</v>
      </c>
      <c r="S7" s="133">
        <f t="shared" ref="S7:S28" si="0">+Q7+R7</f>
        <v>231910000</v>
      </c>
    </row>
    <row r="8" spans="1:19">
      <c r="B8" s="128" t="s">
        <v>179</v>
      </c>
      <c r="C8" s="129" t="s">
        <v>170</v>
      </c>
      <c r="D8" s="129" t="s">
        <v>171</v>
      </c>
      <c r="E8" s="130" t="s">
        <v>172</v>
      </c>
      <c r="F8" s="128">
        <v>2023</v>
      </c>
      <c r="G8" s="128">
        <v>3956</v>
      </c>
      <c r="H8" s="130">
        <v>534</v>
      </c>
      <c r="I8" s="130">
        <v>5</v>
      </c>
      <c r="J8" s="130" t="s">
        <v>180</v>
      </c>
      <c r="K8" s="130" t="s">
        <v>181</v>
      </c>
      <c r="L8" s="130" t="s">
        <v>181</v>
      </c>
      <c r="M8" s="130" t="s">
        <v>175</v>
      </c>
      <c r="N8" s="130" t="s">
        <v>176</v>
      </c>
      <c r="O8" s="128" t="s">
        <v>177</v>
      </c>
      <c r="P8" s="131" t="s">
        <v>178</v>
      </c>
      <c r="Q8" s="132">
        <v>227600000</v>
      </c>
      <c r="R8" s="133">
        <v>4310000</v>
      </c>
      <c r="S8" s="133">
        <f t="shared" si="0"/>
        <v>231910000</v>
      </c>
    </row>
    <row r="9" spans="1:19">
      <c r="B9" s="128" t="s">
        <v>182</v>
      </c>
      <c r="C9" s="129" t="s">
        <v>170</v>
      </c>
      <c r="D9" s="129" t="s">
        <v>171</v>
      </c>
      <c r="E9" s="130" t="s">
        <v>172</v>
      </c>
      <c r="F9" s="128">
        <v>2023</v>
      </c>
      <c r="G9" s="128">
        <v>3956</v>
      </c>
      <c r="H9" s="130">
        <v>534</v>
      </c>
      <c r="I9" s="130">
        <v>5</v>
      </c>
      <c r="J9" s="130" t="s">
        <v>183</v>
      </c>
      <c r="K9" s="130" t="s">
        <v>184</v>
      </c>
      <c r="L9" s="130" t="s">
        <v>184</v>
      </c>
      <c r="M9" s="130" t="s">
        <v>175</v>
      </c>
      <c r="N9" s="130" t="s">
        <v>176</v>
      </c>
      <c r="O9" s="128" t="s">
        <v>177</v>
      </c>
      <c r="P9" s="131" t="s">
        <v>178</v>
      </c>
      <c r="Q9" s="132">
        <v>227600000</v>
      </c>
      <c r="R9" s="133">
        <v>4310000</v>
      </c>
      <c r="S9" s="133">
        <f t="shared" si="0"/>
        <v>231910000</v>
      </c>
    </row>
    <row r="10" spans="1:19">
      <c r="B10" s="128" t="s">
        <v>185</v>
      </c>
      <c r="C10" s="129" t="s">
        <v>170</v>
      </c>
      <c r="D10" s="129" t="s">
        <v>171</v>
      </c>
      <c r="E10" s="130" t="s">
        <v>172</v>
      </c>
      <c r="F10" s="128">
        <v>2023</v>
      </c>
      <c r="G10" s="128">
        <v>3956</v>
      </c>
      <c r="H10" s="130">
        <v>534</v>
      </c>
      <c r="I10" s="130">
        <v>5</v>
      </c>
      <c r="J10" s="130" t="s">
        <v>186</v>
      </c>
      <c r="K10" s="130" t="s">
        <v>187</v>
      </c>
      <c r="L10" s="130" t="s">
        <v>187</v>
      </c>
      <c r="M10" s="130" t="s">
        <v>175</v>
      </c>
      <c r="N10" s="130" t="s">
        <v>176</v>
      </c>
      <c r="O10" s="128" t="s">
        <v>177</v>
      </c>
      <c r="P10" s="131" t="s">
        <v>178</v>
      </c>
      <c r="Q10" s="132">
        <v>227600000</v>
      </c>
      <c r="R10" s="133">
        <v>4310000</v>
      </c>
      <c r="S10" s="133">
        <f t="shared" si="0"/>
        <v>231910000</v>
      </c>
    </row>
    <row r="11" spans="1:19">
      <c r="B11" s="128" t="s">
        <v>188</v>
      </c>
      <c r="C11" s="129" t="s">
        <v>170</v>
      </c>
      <c r="D11" s="129" t="s">
        <v>171</v>
      </c>
      <c r="E11" s="134" t="s">
        <v>172</v>
      </c>
      <c r="F11" s="128">
        <v>2023</v>
      </c>
      <c r="G11" s="128">
        <v>2694</v>
      </c>
      <c r="H11" s="130">
        <v>900</v>
      </c>
      <c r="I11" s="130">
        <v>5</v>
      </c>
      <c r="J11" s="130" t="s">
        <v>189</v>
      </c>
      <c r="K11" s="130" t="s">
        <v>190</v>
      </c>
      <c r="L11" s="130" t="s">
        <v>190</v>
      </c>
      <c r="M11" s="130" t="s">
        <v>175</v>
      </c>
      <c r="N11" s="130" t="s">
        <v>176</v>
      </c>
      <c r="O11" s="128" t="s">
        <v>177</v>
      </c>
      <c r="P11" s="131" t="s">
        <v>191</v>
      </c>
      <c r="Q11" s="132">
        <v>178000000</v>
      </c>
      <c r="R11" s="133">
        <v>5352864</v>
      </c>
      <c r="S11" s="133">
        <f t="shared" si="0"/>
        <v>183352864</v>
      </c>
    </row>
    <row r="12" spans="1:19">
      <c r="B12" s="128" t="s">
        <v>192</v>
      </c>
      <c r="C12" s="129" t="s">
        <v>170</v>
      </c>
      <c r="D12" s="129" t="s">
        <v>171</v>
      </c>
      <c r="E12" s="134" t="s">
        <v>172</v>
      </c>
      <c r="F12" s="128">
        <v>2023</v>
      </c>
      <c r="G12" s="128">
        <v>3956</v>
      </c>
      <c r="H12" s="130">
        <v>534</v>
      </c>
      <c r="I12" s="130">
        <v>5</v>
      </c>
      <c r="J12" s="130" t="s">
        <v>193</v>
      </c>
      <c r="K12" s="130" t="s">
        <v>194</v>
      </c>
      <c r="L12" s="130" t="s">
        <v>194</v>
      </c>
      <c r="M12" s="130" t="s">
        <v>175</v>
      </c>
      <c r="N12" s="130" t="s">
        <v>176</v>
      </c>
      <c r="O12" s="128" t="s">
        <v>177</v>
      </c>
      <c r="P12" s="131" t="s">
        <v>191</v>
      </c>
      <c r="Q12" s="132">
        <v>178000000</v>
      </c>
      <c r="R12" s="133">
        <v>5352864</v>
      </c>
      <c r="S12" s="133">
        <f t="shared" si="0"/>
        <v>183352864</v>
      </c>
    </row>
    <row r="13" spans="1:19">
      <c r="B13" s="128" t="s">
        <v>195</v>
      </c>
      <c r="C13" s="129" t="s">
        <v>170</v>
      </c>
      <c r="D13" s="129" t="s">
        <v>171</v>
      </c>
      <c r="E13" s="134" t="s">
        <v>172</v>
      </c>
      <c r="F13" s="128">
        <v>2023</v>
      </c>
      <c r="G13" s="128">
        <v>2694</v>
      </c>
      <c r="H13" s="130">
        <v>900</v>
      </c>
      <c r="I13" s="130">
        <v>5</v>
      </c>
      <c r="J13" s="130" t="s">
        <v>196</v>
      </c>
      <c r="K13" s="130" t="s">
        <v>197</v>
      </c>
      <c r="L13" s="130" t="s">
        <v>197</v>
      </c>
      <c r="M13" s="130" t="s">
        <v>175</v>
      </c>
      <c r="N13" s="130" t="s">
        <v>176</v>
      </c>
      <c r="O13" s="128" t="s">
        <v>177</v>
      </c>
      <c r="P13" s="131" t="s">
        <v>191</v>
      </c>
      <c r="Q13" s="132">
        <v>178000000</v>
      </c>
      <c r="R13" s="133">
        <v>5352864</v>
      </c>
      <c r="S13" s="133">
        <f t="shared" si="0"/>
        <v>183352864</v>
      </c>
    </row>
    <row r="14" spans="1:19">
      <c r="B14" s="128" t="s">
        <v>198</v>
      </c>
      <c r="C14" s="129" t="s">
        <v>170</v>
      </c>
      <c r="D14" s="129" t="s">
        <v>171</v>
      </c>
      <c r="E14" s="134" t="s">
        <v>172</v>
      </c>
      <c r="F14" s="128">
        <v>2023</v>
      </c>
      <c r="G14" s="128">
        <v>2694</v>
      </c>
      <c r="H14" s="130">
        <v>900</v>
      </c>
      <c r="I14" s="130">
        <v>5</v>
      </c>
      <c r="J14" s="130" t="s">
        <v>199</v>
      </c>
      <c r="K14" s="130" t="s">
        <v>200</v>
      </c>
      <c r="L14" s="130" t="s">
        <v>200</v>
      </c>
      <c r="M14" s="130" t="s">
        <v>175</v>
      </c>
      <c r="N14" s="130" t="s">
        <v>176</v>
      </c>
      <c r="O14" s="128" t="s">
        <v>177</v>
      </c>
      <c r="P14" s="131" t="s">
        <v>191</v>
      </c>
      <c r="Q14" s="132">
        <v>178000000</v>
      </c>
      <c r="R14" s="133">
        <v>5352864</v>
      </c>
      <c r="S14" s="133">
        <f t="shared" si="0"/>
        <v>183352864</v>
      </c>
    </row>
    <row r="15" spans="1:19">
      <c r="B15" s="128" t="s">
        <v>201</v>
      </c>
      <c r="C15" s="129" t="s">
        <v>170</v>
      </c>
      <c r="D15" s="129" t="s">
        <v>171</v>
      </c>
      <c r="E15" s="134" t="s">
        <v>172</v>
      </c>
      <c r="F15" s="128">
        <v>2023</v>
      </c>
      <c r="G15" s="128">
        <v>2694</v>
      </c>
      <c r="H15" s="130">
        <v>900</v>
      </c>
      <c r="I15" s="130">
        <v>5</v>
      </c>
      <c r="J15" s="130" t="s">
        <v>202</v>
      </c>
      <c r="K15" s="130" t="s">
        <v>203</v>
      </c>
      <c r="L15" s="130" t="s">
        <v>203</v>
      </c>
      <c r="M15" s="130" t="s">
        <v>175</v>
      </c>
      <c r="N15" s="130" t="s">
        <v>176</v>
      </c>
      <c r="O15" s="128" t="s">
        <v>177</v>
      </c>
      <c r="P15" s="131" t="s">
        <v>191</v>
      </c>
      <c r="Q15" s="132">
        <v>178000000</v>
      </c>
      <c r="R15" s="133">
        <v>5352864</v>
      </c>
      <c r="S15" s="133">
        <f t="shared" si="0"/>
        <v>183352864</v>
      </c>
    </row>
    <row r="16" spans="1:19">
      <c r="B16" s="128" t="s">
        <v>204</v>
      </c>
      <c r="C16" s="135" t="s">
        <v>170</v>
      </c>
      <c r="D16" s="129" t="s">
        <v>171</v>
      </c>
      <c r="E16" s="134" t="s">
        <v>172</v>
      </c>
      <c r="F16" s="128">
        <v>2023</v>
      </c>
      <c r="G16" s="128">
        <v>2694</v>
      </c>
      <c r="H16" s="130">
        <v>900</v>
      </c>
      <c r="I16" s="130">
        <v>5</v>
      </c>
      <c r="J16" s="130" t="s">
        <v>205</v>
      </c>
      <c r="K16" s="130" t="s">
        <v>206</v>
      </c>
      <c r="L16" s="130" t="s">
        <v>206</v>
      </c>
      <c r="M16" s="130" t="s">
        <v>175</v>
      </c>
      <c r="N16" s="130" t="s">
        <v>176</v>
      </c>
      <c r="O16" s="128" t="s">
        <v>177</v>
      </c>
      <c r="P16" s="131" t="s">
        <v>191</v>
      </c>
      <c r="Q16" s="132">
        <v>178000000</v>
      </c>
      <c r="R16" s="133">
        <v>5352864</v>
      </c>
      <c r="S16" s="133">
        <f t="shared" si="0"/>
        <v>183352864</v>
      </c>
    </row>
    <row r="17" spans="2:19">
      <c r="B17" s="128" t="s">
        <v>207</v>
      </c>
      <c r="C17" s="129" t="s">
        <v>170</v>
      </c>
      <c r="D17" s="129" t="s">
        <v>171</v>
      </c>
      <c r="E17" s="134" t="s">
        <v>172</v>
      </c>
      <c r="F17" s="128">
        <v>2023</v>
      </c>
      <c r="G17" s="128">
        <v>2694</v>
      </c>
      <c r="H17" s="130">
        <v>900</v>
      </c>
      <c r="I17" s="130">
        <v>5</v>
      </c>
      <c r="J17" s="130" t="s">
        <v>208</v>
      </c>
      <c r="K17" s="130" t="s">
        <v>209</v>
      </c>
      <c r="L17" s="130" t="s">
        <v>209</v>
      </c>
      <c r="M17" s="130" t="s">
        <v>175</v>
      </c>
      <c r="N17" s="130" t="s">
        <v>176</v>
      </c>
      <c r="O17" s="128" t="s">
        <v>177</v>
      </c>
      <c r="P17" s="131" t="s">
        <v>191</v>
      </c>
      <c r="Q17" s="132">
        <v>178000000</v>
      </c>
      <c r="R17" s="133">
        <v>5352864</v>
      </c>
      <c r="S17" s="133">
        <f t="shared" si="0"/>
        <v>183352864</v>
      </c>
    </row>
    <row r="18" spans="2:19">
      <c r="B18" s="128" t="s">
        <v>210</v>
      </c>
      <c r="C18" s="129" t="s">
        <v>211</v>
      </c>
      <c r="D18" s="129" t="s">
        <v>171</v>
      </c>
      <c r="E18" s="134" t="s">
        <v>212</v>
      </c>
      <c r="F18" s="128">
        <v>2018</v>
      </c>
      <c r="G18" s="128">
        <v>5193</v>
      </c>
      <c r="H18" s="130">
        <v>5950</v>
      </c>
      <c r="I18" s="130">
        <v>3</v>
      </c>
      <c r="J18" s="130" t="s">
        <v>213</v>
      </c>
      <c r="K18" s="130" t="s">
        <v>214</v>
      </c>
      <c r="L18" s="130" t="s">
        <v>214</v>
      </c>
      <c r="M18" s="130" t="s">
        <v>175</v>
      </c>
      <c r="N18" s="130" t="s">
        <v>176</v>
      </c>
      <c r="O18" s="128" t="s">
        <v>177</v>
      </c>
      <c r="P18" s="131" t="s">
        <v>215</v>
      </c>
      <c r="Q18" s="132">
        <v>187100000</v>
      </c>
      <c r="R18" s="132">
        <v>0</v>
      </c>
      <c r="S18" s="133">
        <f t="shared" si="0"/>
        <v>187100000</v>
      </c>
    </row>
    <row r="19" spans="2:19">
      <c r="B19" s="128" t="s">
        <v>216</v>
      </c>
      <c r="C19" s="129" t="s">
        <v>170</v>
      </c>
      <c r="D19" s="129" t="s">
        <v>217</v>
      </c>
      <c r="E19" s="134" t="s">
        <v>218</v>
      </c>
      <c r="F19" s="128">
        <v>2013</v>
      </c>
      <c r="G19" s="128">
        <v>2488</v>
      </c>
      <c r="H19" s="130">
        <v>1000</v>
      </c>
      <c r="I19" s="130">
        <v>5</v>
      </c>
      <c r="J19" s="130" t="s">
        <v>219</v>
      </c>
      <c r="K19" s="130" t="s">
        <v>220</v>
      </c>
      <c r="L19" s="130" t="s">
        <v>220</v>
      </c>
      <c r="M19" s="130" t="s">
        <v>221</v>
      </c>
      <c r="N19" s="130" t="s">
        <v>176</v>
      </c>
      <c r="O19" s="128" t="s">
        <v>177</v>
      </c>
      <c r="P19" s="131" t="s">
        <v>222</v>
      </c>
      <c r="Q19" s="132">
        <v>87700000</v>
      </c>
      <c r="R19" s="132">
        <v>0</v>
      </c>
      <c r="S19" s="133">
        <f t="shared" si="0"/>
        <v>87700000</v>
      </c>
    </row>
    <row r="20" spans="2:19">
      <c r="B20" s="128" t="s">
        <v>223</v>
      </c>
      <c r="C20" s="129" t="s">
        <v>170</v>
      </c>
      <c r="D20" s="129" t="s">
        <v>217</v>
      </c>
      <c r="E20" s="134" t="s">
        <v>224</v>
      </c>
      <c r="F20" s="128">
        <v>2014</v>
      </c>
      <c r="G20" s="128">
        <v>3498</v>
      </c>
      <c r="H20" s="130"/>
      <c r="I20" s="130">
        <v>7</v>
      </c>
      <c r="J20" s="130" t="s">
        <v>225</v>
      </c>
      <c r="K20" s="130" t="s">
        <v>226</v>
      </c>
      <c r="L20" s="130" t="s">
        <v>226</v>
      </c>
      <c r="M20" s="130" t="s">
        <v>175</v>
      </c>
      <c r="N20" s="130" t="s">
        <v>227</v>
      </c>
      <c r="O20" s="128" t="s">
        <v>177</v>
      </c>
      <c r="P20" s="131" t="s">
        <v>228</v>
      </c>
      <c r="Q20" s="132">
        <v>67100000</v>
      </c>
      <c r="R20" s="132">
        <v>0</v>
      </c>
      <c r="S20" s="133">
        <f t="shared" si="0"/>
        <v>67100000</v>
      </c>
    </row>
    <row r="21" spans="2:19">
      <c r="B21" s="128" t="s">
        <v>229</v>
      </c>
      <c r="C21" s="129" t="s">
        <v>230</v>
      </c>
      <c r="D21" s="129" t="s">
        <v>231</v>
      </c>
      <c r="E21" s="134" t="s">
        <v>232</v>
      </c>
      <c r="F21" s="128">
        <v>2025</v>
      </c>
      <c r="G21" s="128">
        <v>2776</v>
      </c>
      <c r="H21" s="130"/>
      <c r="I21" s="130">
        <v>16</v>
      </c>
      <c r="J21" s="130">
        <v>77644177</v>
      </c>
      <c r="K21" s="130" t="s">
        <v>233</v>
      </c>
      <c r="L21" s="130" t="s">
        <v>233</v>
      </c>
      <c r="M21" s="130" t="s">
        <v>221</v>
      </c>
      <c r="N21" s="130" t="s">
        <v>234</v>
      </c>
      <c r="O21" s="128" t="s">
        <v>177</v>
      </c>
      <c r="P21" s="136" t="s">
        <v>235</v>
      </c>
      <c r="Q21" s="137">
        <v>274600000</v>
      </c>
      <c r="R21" s="138">
        <v>10220375</v>
      </c>
      <c r="S21" s="133">
        <f t="shared" si="0"/>
        <v>284820375</v>
      </c>
    </row>
    <row r="22" spans="2:19">
      <c r="B22" s="139" t="s">
        <v>236</v>
      </c>
      <c r="C22" s="140" t="s">
        <v>170</v>
      </c>
      <c r="D22" s="140" t="s">
        <v>171</v>
      </c>
      <c r="E22" s="141" t="s">
        <v>237</v>
      </c>
      <c r="F22" s="139">
        <v>2024</v>
      </c>
      <c r="G22" s="139">
        <v>1490</v>
      </c>
      <c r="H22" s="142">
        <v>475</v>
      </c>
      <c r="I22" s="142">
        <v>5</v>
      </c>
      <c r="J22" s="142" t="s">
        <v>238</v>
      </c>
      <c r="K22" s="142" t="s">
        <v>239</v>
      </c>
      <c r="L22" s="142" t="s">
        <v>239</v>
      </c>
      <c r="M22" s="142" t="s">
        <v>240</v>
      </c>
      <c r="N22" s="142" t="s">
        <v>227</v>
      </c>
      <c r="O22" s="139" t="s">
        <v>177</v>
      </c>
      <c r="P22" s="131" t="s">
        <v>241</v>
      </c>
      <c r="Q22" s="143">
        <v>128800000</v>
      </c>
      <c r="R22" s="143">
        <v>0</v>
      </c>
      <c r="S22" s="133">
        <f t="shared" si="0"/>
        <v>128800000</v>
      </c>
    </row>
    <row r="23" spans="2:19">
      <c r="B23" s="128" t="s">
        <v>242</v>
      </c>
      <c r="C23" s="129" t="s">
        <v>170</v>
      </c>
      <c r="D23" s="129" t="s">
        <v>171</v>
      </c>
      <c r="E23" s="134" t="s">
        <v>237</v>
      </c>
      <c r="F23" s="128">
        <v>2024</v>
      </c>
      <c r="G23" s="128">
        <v>1490</v>
      </c>
      <c r="H23" s="130">
        <v>475</v>
      </c>
      <c r="I23" s="130">
        <v>5</v>
      </c>
      <c r="J23" s="130" t="s">
        <v>243</v>
      </c>
      <c r="K23" s="130" t="s">
        <v>244</v>
      </c>
      <c r="L23" s="130" t="s">
        <v>244</v>
      </c>
      <c r="M23" s="130" t="s">
        <v>240</v>
      </c>
      <c r="N23" s="130" t="s">
        <v>227</v>
      </c>
      <c r="O23" s="128" t="s">
        <v>177</v>
      </c>
      <c r="P23" s="131" t="s">
        <v>241</v>
      </c>
      <c r="Q23" s="143">
        <v>128800000</v>
      </c>
      <c r="R23" s="132">
        <v>0</v>
      </c>
      <c r="S23" s="133">
        <f t="shared" si="0"/>
        <v>128800000</v>
      </c>
    </row>
    <row r="24" spans="2:19">
      <c r="B24" s="128" t="s">
        <v>245</v>
      </c>
      <c r="C24" s="129" t="s">
        <v>170</v>
      </c>
      <c r="D24" s="129" t="s">
        <v>171</v>
      </c>
      <c r="E24" s="134" t="s">
        <v>237</v>
      </c>
      <c r="F24" s="128">
        <v>2024</v>
      </c>
      <c r="G24" s="128">
        <v>1490</v>
      </c>
      <c r="H24" s="130">
        <v>475</v>
      </c>
      <c r="I24" s="130">
        <v>5</v>
      </c>
      <c r="J24" s="130" t="s">
        <v>246</v>
      </c>
      <c r="K24" s="130" t="s">
        <v>247</v>
      </c>
      <c r="L24" s="130" t="s">
        <v>247</v>
      </c>
      <c r="M24" s="130" t="s">
        <v>240</v>
      </c>
      <c r="N24" s="130" t="s">
        <v>227</v>
      </c>
      <c r="O24" s="128" t="s">
        <v>177</v>
      </c>
      <c r="P24" s="131" t="s">
        <v>241</v>
      </c>
      <c r="Q24" s="143">
        <v>128800000</v>
      </c>
      <c r="R24" s="132">
        <v>0</v>
      </c>
      <c r="S24" s="133">
        <f t="shared" si="0"/>
        <v>128800000</v>
      </c>
    </row>
    <row r="25" spans="2:19">
      <c r="B25" s="128" t="s">
        <v>248</v>
      </c>
      <c r="C25" s="129" t="s">
        <v>170</v>
      </c>
      <c r="D25" s="129" t="s">
        <v>171</v>
      </c>
      <c r="E25" s="134" t="s">
        <v>237</v>
      </c>
      <c r="F25" s="128">
        <v>2024</v>
      </c>
      <c r="G25" s="128">
        <v>1490</v>
      </c>
      <c r="H25" s="130"/>
      <c r="I25" s="130">
        <v>5</v>
      </c>
      <c r="J25" s="130" t="s">
        <v>249</v>
      </c>
      <c r="K25" s="130" t="s">
        <v>250</v>
      </c>
      <c r="L25" s="130" t="s">
        <v>250</v>
      </c>
      <c r="M25" s="130" t="s">
        <v>240</v>
      </c>
      <c r="N25" s="130" t="s">
        <v>227</v>
      </c>
      <c r="O25" s="128" t="s">
        <v>177</v>
      </c>
      <c r="P25" s="131" t="s">
        <v>241</v>
      </c>
      <c r="Q25" s="143">
        <v>128800000</v>
      </c>
      <c r="R25" s="132">
        <v>0</v>
      </c>
      <c r="S25" s="133">
        <f t="shared" si="0"/>
        <v>128800000</v>
      </c>
    </row>
    <row r="26" spans="2:19">
      <c r="B26" s="128" t="s">
        <v>251</v>
      </c>
      <c r="C26" s="129" t="s">
        <v>170</v>
      </c>
      <c r="D26" s="129" t="s">
        <v>171</v>
      </c>
      <c r="E26" s="134" t="s">
        <v>237</v>
      </c>
      <c r="F26" s="128">
        <v>2024</v>
      </c>
      <c r="G26" s="128">
        <v>1490</v>
      </c>
      <c r="H26" s="130">
        <v>475</v>
      </c>
      <c r="I26" s="130">
        <v>5</v>
      </c>
      <c r="J26" s="130" t="s">
        <v>252</v>
      </c>
      <c r="K26" s="130" t="s">
        <v>253</v>
      </c>
      <c r="L26" s="130" t="s">
        <v>253</v>
      </c>
      <c r="M26" s="130" t="s">
        <v>240</v>
      </c>
      <c r="N26" s="130" t="s">
        <v>227</v>
      </c>
      <c r="O26" s="128" t="s">
        <v>177</v>
      </c>
      <c r="P26" s="131" t="s">
        <v>241</v>
      </c>
      <c r="Q26" s="143">
        <v>128800000</v>
      </c>
      <c r="R26" s="132">
        <v>0</v>
      </c>
      <c r="S26" s="133">
        <f t="shared" si="0"/>
        <v>128800000</v>
      </c>
    </row>
    <row r="27" spans="2:19">
      <c r="B27" s="128" t="s">
        <v>254</v>
      </c>
      <c r="C27" s="129" t="s">
        <v>170</v>
      </c>
      <c r="D27" s="129" t="s">
        <v>171</v>
      </c>
      <c r="E27" s="134" t="s">
        <v>237</v>
      </c>
      <c r="F27" s="128">
        <v>2024</v>
      </c>
      <c r="G27" s="128">
        <v>1490</v>
      </c>
      <c r="H27" s="130"/>
      <c r="I27" s="130">
        <v>5</v>
      </c>
      <c r="J27" s="130" t="s">
        <v>255</v>
      </c>
      <c r="K27" s="130" t="s">
        <v>256</v>
      </c>
      <c r="L27" s="130" t="s">
        <v>256</v>
      </c>
      <c r="M27" s="130" t="s">
        <v>240</v>
      </c>
      <c r="N27" s="130" t="s">
        <v>227</v>
      </c>
      <c r="O27" s="128" t="s">
        <v>177</v>
      </c>
      <c r="P27" s="131" t="s">
        <v>241</v>
      </c>
      <c r="Q27" s="143">
        <v>128800000</v>
      </c>
      <c r="R27" s="132">
        <v>0</v>
      </c>
      <c r="S27" s="133">
        <f t="shared" si="0"/>
        <v>128800000</v>
      </c>
    </row>
    <row r="28" spans="2:19">
      <c r="B28" s="128" t="s">
        <v>257</v>
      </c>
      <c r="C28" s="129" t="s">
        <v>170</v>
      </c>
      <c r="D28" s="129" t="s">
        <v>171</v>
      </c>
      <c r="E28" s="134" t="s">
        <v>237</v>
      </c>
      <c r="F28" s="128">
        <v>2024</v>
      </c>
      <c r="G28" s="128">
        <v>1490</v>
      </c>
      <c r="H28" s="130"/>
      <c r="I28" s="130">
        <v>5</v>
      </c>
      <c r="J28" s="130" t="s">
        <v>258</v>
      </c>
      <c r="K28" s="130" t="s">
        <v>259</v>
      </c>
      <c r="L28" s="130" t="s">
        <v>259</v>
      </c>
      <c r="M28" s="130" t="s">
        <v>240</v>
      </c>
      <c r="N28" s="130" t="s">
        <v>227</v>
      </c>
      <c r="O28" s="128" t="s">
        <v>177</v>
      </c>
      <c r="P28" s="131" t="s">
        <v>241</v>
      </c>
      <c r="Q28" s="143">
        <v>128800000</v>
      </c>
      <c r="R28" s="132">
        <v>0</v>
      </c>
      <c r="S28" s="133">
        <f t="shared" si="0"/>
        <v>128800000</v>
      </c>
    </row>
    <row r="29" spans="2:19">
      <c r="B29" s="411" t="s">
        <v>31</v>
      </c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2"/>
      <c r="S29" s="156">
        <f>SUM(S7:S28)</f>
        <v>3739430423</v>
      </c>
    </row>
    <row r="31" spans="2:19">
      <c r="B31" s="413" t="s">
        <v>260</v>
      </c>
      <c r="C31" s="413"/>
      <c r="D31" s="413"/>
      <c r="E31" s="413"/>
      <c r="F31" s="413"/>
      <c r="G31" s="413"/>
      <c r="H31" s="413"/>
      <c r="I31" s="413"/>
      <c r="J31" s="414"/>
    </row>
    <row r="33" spans="2:6">
      <c r="B33" s="144"/>
    </row>
    <row r="34" spans="2:6">
      <c r="B34" s="415" t="s">
        <v>261</v>
      </c>
      <c r="C34" s="415"/>
      <c r="D34" s="415"/>
    </row>
    <row r="35" spans="2:6">
      <c r="B35" s="145"/>
      <c r="C35" s="146" t="s">
        <v>262</v>
      </c>
      <c r="D35" s="147" t="s">
        <v>263</v>
      </c>
    </row>
    <row r="36" spans="2:6">
      <c r="B36" s="145" t="s">
        <v>264</v>
      </c>
      <c r="C36" s="137">
        <v>1000000</v>
      </c>
      <c r="D36" s="148">
        <v>0.1</v>
      </c>
      <c r="F36" s="149"/>
    </row>
    <row r="37" spans="2:6">
      <c r="B37" s="145" t="s">
        <v>265</v>
      </c>
      <c r="C37" s="137">
        <v>1160000</v>
      </c>
      <c r="D37" s="148">
        <v>0.16</v>
      </c>
    </row>
    <row r="38" spans="2:6">
      <c r="B38" s="145" t="s">
        <v>266</v>
      </c>
      <c r="C38" s="137">
        <v>1300000</v>
      </c>
      <c r="D38" s="148">
        <v>0.12</v>
      </c>
    </row>
    <row r="39" spans="2:6">
      <c r="B39" s="145" t="s">
        <v>267</v>
      </c>
      <c r="C39" s="137">
        <v>1423500</v>
      </c>
      <c r="D39" s="150">
        <v>9.5399999999999999E-2</v>
      </c>
    </row>
    <row r="40" spans="2:6">
      <c r="B40" s="145" t="s">
        <v>268</v>
      </c>
      <c r="C40" s="137">
        <v>1750905</v>
      </c>
      <c r="D40" s="148">
        <v>0.23</v>
      </c>
    </row>
    <row r="41" spans="2:6">
      <c r="B41" s="416" t="s">
        <v>269</v>
      </c>
      <c r="C41" s="416"/>
      <c r="D41" s="151">
        <f>AVERAGE(D36:D40)</f>
        <v>0.14108000000000001</v>
      </c>
    </row>
    <row r="43" spans="2:6">
      <c r="B43" s="144" t="s">
        <v>270</v>
      </c>
    </row>
    <row r="45" spans="2:6">
      <c r="B45" s="415" t="s">
        <v>271</v>
      </c>
      <c r="C45" s="415"/>
    </row>
    <row r="46" spans="2:6">
      <c r="B46" s="152">
        <v>46053</v>
      </c>
      <c r="C46" s="145">
        <v>5.35</v>
      </c>
    </row>
    <row r="47" spans="2:6">
      <c r="B47" s="152">
        <v>46081</v>
      </c>
      <c r="C47" s="145">
        <v>5.29</v>
      </c>
    </row>
    <row r="48" spans="2:6">
      <c r="B48" s="152">
        <v>46112</v>
      </c>
      <c r="C48" s="145">
        <v>5.56</v>
      </c>
    </row>
    <row r="49" spans="2:3">
      <c r="B49" s="152">
        <v>46142</v>
      </c>
      <c r="C49" s="145">
        <v>5.68</v>
      </c>
    </row>
    <row r="50" spans="2:3">
      <c r="B50" s="152">
        <v>46173</v>
      </c>
      <c r="C50" s="145">
        <v>5.84</v>
      </c>
    </row>
    <row r="51" spans="2:3">
      <c r="B51" s="152">
        <v>46203</v>
      </c>
      <c r="C51" s="145">
        <v>6.14</v>
      </c>
    </row>
    <row r="52" spans="2:3">
      <c r="B52" s="153">
        <v>46234</v>
      </c>
      <c r="C52" s="154">
        <v>6.03</v>
      </c>
    </row>
    <row r="53" spans="2:3">
      <c r="B53" s="409"/>
      <c r="C53" s="410"/>
    </row>
    <row r="54" spans="2:3">
      <c r="B54" s="409"/>
      <c r="C54" s="410"/>
    </row>
  </sheetData>
  <mergeCells count="10">
    <mergeCell ref="B2:S2"/>
    <mergeCell ref="B3:S3"/>
    <mergeCell ref="B5:S5"/>
    <mergeCell ref="B53:B54"/>
    <mergeCell ref="C53:C54"/>
    <mergeCell ref="B29:R29"/>
    <mergeCell ref="B31:J31"/>
    <mergeCell ref="B34:D34"/>
    <mergeCell ref="B41:C41"/>
    <mergeCell ref="B45:C45"/>
  </mergeCells>
  <dataValidations count="3">
    <dataValidation type="whole" allowBlank="1" showInputMessage="1" showErrorMessage="1" sqref="F7:F28">
      <formula1>1900</formula1>
      <formula2>2050</formula2>
    </dataValidation>
    <dataValidation type="whole" allowBlank="1" showInputMessage="1" showErrorMessage="1" sqref="G7:G28">
      <formula1>50</formula1>
      <formula2>10000</formula2>
    </dataValidation>
    <dataValidation type="whole" allowBlank="1" showInputMessage="1" showErrorMessage="1" sqref="I7:I28">
      <formula1>1</formula1>
      <formula2>1000</formula2>
    </dataValidation>
  </dataValidations>
  <hyperlinks>
    <hyperlink ref="B43" r:id="rId1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4"/>
  <sheetViews>
    <sheetView showGridLines="0" zoomScaleNormal="100" workbookViewId="0">
      <selection activeCell="G19" sqref="G19"/>
    </sheetView>
  </sheetViews>
  <sheetFormatPr baseColWidth="10" defaultColWidth="10" defaultRowHeight="16.5"/>
  <cols>
    <col min="1" max="1" width="10" style="170"/>
    <col min="2" max="2" width="13.375" style="170" customWidth="1"/>
    <col min="3" max="3" width="10" style="170"/>
    <col min="4" max="4" width="20.5" style="170" customWidth="1"/>
    <col min="5" max="5" width="11.5" style="170" customWidth="1"/>
    <col min="6" max="6" width="14.5" style="170" customWidth="1"/>
    <col min="7" max="7" width="10" style="170"/>
    <col min="8" max="9" width="11.75" style="170" customWidth="1"/>
    <col min="10" max="10" width="10" style="170"/>
    <col min="11" max="11" width="11.75" style="170" customWidth="1"/>
    <col min="12" max="13" width="17.625" style="170" customWidth="1"/>
    <col min="14" max="14" width="14.75" style="170" customWidth="1"/>
    <col min="15" max="15" width="14.125" style="170" customWidth="1"/>
    <col min="16" max="16" width="14.625" style="170" customWidth="1"/>
    <col min="17" max="17" width="5.875" style="170" customWidth="1"/>
    <col min="18" max="18" width="12.625" style="170" customWidth="1"/>
    <col min="19" max="16384" width="10" style="170"/>
  </cols>
  <sheetData>
    <row r="1" spans="2:18" ht="17.25" customHeight="1"/>
    <row r="2" spans="2:18" s="171" customFormat="1" ht="18" customHeight="1">
      <c r="C2" s="401" t="s">
        <v>11</v>
      </c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3"/>
    </row>
    <row r="3" spans="2:18" s="171" customFormat="1" ht="18">
      <c r="C3" s="404" t="s">
        <v>287</v>
      </c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6"/>
    </row>
    <row r="4" spans="2:18" s="172" customFormat="1" ht="18"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</row>
    <row r="5" spans="2:18" s="175" customFormat="1" ht="67.5">
      <c r="B5" s="173" t="s">
        <v>288</v>
      </c>
      <c r="C5" s="174" t="s">
        <v>152</v>
      </c>
      <c r="D5" s="174" t="s">
        <v>153</v>
      </c>
      <c r="E5" s="174" t="s">
        <v>154</v>
      </c>
      <c r="F5" s="174" t="s">
        <v>155</v>
      </c>
      <c r="G5" s="174" t="s">
        <v>156</v>
      </c>
      <c r="H5" s="174" t="s">
        <v>157</v>
      </c>
      <c r="I5" s="174" t="s">
        <v>158</v>
      </c>
      <c r="J5" s="174" t="s">
        <v>159</v>
      </c>
      <c r="K5" s="174" t="s">
        <v>160</v>
      </c>
      <c r="L5" s="174" t="s">
        <v>161</v>
      </c>
      <c r="M5" s="174" t="s">
        <v>162</v>
      </c>
      <c r="N5" s="174" t="s">
        <v>163</v>
      </c>
      <c r="O5" s="174" t="s">
        <v>164</v>
      </c>
      <c r="P5" s="174" t="s">
        <v>165</v>
      </c>
      <c r="Q5" s="174" t="s">
        <v>289</v>
      </c>
      <c r="R5" s="174" t="s">
        <v>290</v>
      </c>
    </row>
    <row r="6" spans="2:18">
      <c r="B6" s="176">
        <v>46581</v>
      </c>
      <c r="C6" s="177" t="s">
        <v>210</v>
      </c>
      <c r="D6" s="178" t="s">
        <v>211</v>
      </c>
      <c r="E6" s="178" t="s">
        <v>171</v>
      </c>
      <c r="F6" s="134" t="s">
        <v>212</v>
      </c>
      <c r="G6" s="177">
        <v>2018</v>
      </c>
      <c r="H6" s="177">
        <v>5193</v>
      </c>
      <c r="I6" s="177">
        <v>5950</v>
      </c>
      <c r="J6" s="177">
        <v>3</v>
      </c>
      <c r="K6" s="179" t="s">
        <v>213</v>
      </c>
      <c r="L6" s="179" t="s">
        <v>214</v>
      </c>
      <c r="M6" s="179" t="s">
        <v>214</v>
      </c>
      <c r="N6" s="179" t="s">
        <v>175</v>
      </c>
      <c r="O6" s="179" t="s">
        <v>176</v>
      </c>
      <c r="P6" s="177" t="s">
        <v>177</v>
      </c>
      <c r="Q6" s="180" t="s">
        <v>291</v>
      </c>
      <c r="R6" s="181">
        <v>1282800</v>
      </c>
    </row>
    <row r="7" spans="2:18">
      <c r="B7" s="176">
        <v>46617</v>
      </c>
      <c r="C7" s="177" t="s">
        <v>169</v>
      </c>
      <c r="D7" s="178" t="s">
        <v>170</v>
      </c>
      <c r="E7" s="178" t="s">
        <v>171</v>
      </c>
      <c r="F7" s="179" t="s">
        <v>172</v>
      </c>
      <c r="G7" s="177">
        <v>2023</v>
      </c>
      <c r="H7" s="177">
        <v>3596</v>
      </c>
      <c r="I7" s="177">
        <v>534</v>
      </c>
      <c r="J7" s="177">
        <v>5</v>
      </c>
      <c r="K7" s="179" t="s">
        <v>173</v>
      </c>
      <c r="L7" s="179" t="s">
        <v>174</v>
      </c>
      <c r="M7" s="179" t="s">
        <v>174</v>
      </c>
      <c r="N7" s="179" t="s">
        <v>175</v>
      </c>
      <c r="O7" s="179" t="s">
        <v>176</v>
      </c>
      <c r="P7" s="177" t="s">
        <v>177</v>
      </c>
      <c r="Q7" s="180" t="s">
        <v>292</v>
      </c>
      <c r="R7" s="181">
        <v>1110300</v>
      </c>
    </row>
    <row r="8" spans="2:18">
      <c r="B8" s="176">
        <v>46617</v>
      </c>
      <c r="C8" s="177" t="s">
        <v>179</v>
      </c>
      <c r="D8" s="178" t="s">
        <v>170</v>
      </c>
      <c r="E8" s="178" t="s">
        <v>171</v>
      </c>
      <c r="F8" s="179" t="s">
        <v>172</v>
      </c>
      <c r="G8" s="177">
        <v>2023</v>
      </c>
      <c r="H8" s="177">
        <v>3956</v>
      </c>
      <c r="I8" s="177">
        <v>534</v>
      </c>
      <c r="J8" s="177">
        <v>5</v>
      </c>
      <c r="K8" s="179" t="s">
        <v>180</v>
      </c>
      <c r="L8" s="179" t="s">
        <v>181</v>
      </c>
      <c r="M8" s="179" t="s">
        <v>181</v>
      </c>
      <c r="N8" s="179" t="s">
        <v>175</v>
      </c>
      <c r="O8" s="179" t="s">
        <v>176</v>
      </c>
      <c r="P8" s="177" t="s">
        <v>177</v>
      </c>
      <c r="Q8" s="180" t="s">
        <v>292</v>
      </c>
      <c r="R8" s="181">
        <v>1110300</v>
      </c>
    </row>
    <row r="9" spans="2:18">
      <c r="B9" s="176">
        <v>46617</v>
      </c>
      <c r="C9" s="177" t="s">
        <v>182</v>
      </c>
      <c r="D9" s="178" t="s">
        <v>170</v>
      </c>
      <c r="E9" s="178" t="s">
        <v>171</v>
      </c>
      <c r="F9" s="179" t="s">
        <v>172</v>
      </c>
      <c r="G9" s="177">
        <v>2023</v>
      </c>
      <c r="H9" s="177">
        <v>3956</v>
      </c>
      <c r="I9" s="177">
        <v>534</v>
      </c>
      <c r="J9" s="177">
        <v>5</v>
      </c>
      <c r="K9" s="179" t="s">
        <v>183</v>
      </c>
      <c r="L9" s="179" t="s">
        <v>184</v>
      </c>
      <c r="M9" s="179" t="s">
        <v>184</v>
      </c>
      <c r="N9" s="179" t="s">
        <v>175</v>
      </c>
      <c r="O9" s="179" t="s">
        <v>176</v>
      </c>
      <c r="P9" s="177" t="s">
        <v>177</v>
      </c>
      <c r="Q9" s="180" t="s">
        <v>292</v>
      </c>
      <c r="R9" s="181">
        <v>1110300</v>
      </c>
    </row>
    <row r="10" spans="2:18">
      <c r="B10" s="176">
        <v>46645</v>
      </c>
      <c r="C10" s="177" t="s">
        <v>216</v>
      </c>
      <c r="D10" s="178" t="s">
        <v>170</v>
      </c>
      <c r="E10" s="178" t="s">
        <v>217</v>
      </c>
      <c r="F10" s="134" t="s">
        <v>218</v>
      </c>
      <c r="G10" s="177">
        <v>2013</v>
      </c>
      <c r="H10" s="177">
        <v>2488</v>
      </c>
      <c r="I10" s="177">
        <v>1000</v>
      </c>
      <c r="J10" s="177">
        <v>5</v>
      </c>
      <c r="K10" s="179" t="s">
        <v>219</v>
      </c>
      <c r="L10" s="179" t="s">
        <v>220</v>
      </c>
      <c r="M10" s="179" t="s">
        <v>220</v>
      </c>
      <c r="N10" s="179" t="s">
        <v>221</v>
      </c>
      <c r="O10" s="179" t="s">
        <v>176</v>
      </c>
      <c r="P10" s="177" t="s">
        <v>177</v>
      </c>
      <c r="Q10" s="180" t="s">
        <v>293</v>
      </c>
      <c r="R10" s="181">
        <v>1121400</v>
      </c>
    </row>
    <row r="11" spans="2:18">
      <c r="B11" s="176">
        <v>46645</v>
      </c>
      <c r="C11" s="177" t="s">
        <v>223</v>
      </c>
      <c r="D11" s="178" t="s">
        <v>170</v>
      </c>
      <c r="E11" s="178" t="s">
        <v>217</v>
      </c>
      <c r="F11" s="134" t="s">
        <v>224</v>
      </c>
      <c r="G11" s="177">
        <v>2014</v>
      </c>
      <c r="H11" s="177">
        <v>3498</v>
      </c>
      <c r="I11" s="177"/>
      <c r="J11" s="177">
        <v>7</v>
      </c>
      <c r="K11" s="179" t="s">
        <v>225</v>
      </c>
      <c r="L11" s="179" t="s">
        <v>226</v>
      </c>
      <c r="M11" s="179" t="s">
        <v>226</v>
      </c>
      <c r="N11" s="179" t="s">
        <v>175</v>
      </c>
      <c r="O11" s="179" t="s">
        <v>227</v>
      </c>
      <c r="P11" s="177" t="s">
        <v>177</v>
      </c>
      <c r="Q11" s="180" t="s">
        <v>294</v>
      </c>
      <c r="R11" s="181">
        <v>1274000</v>
      </c>
    </row>
    <row r="12" spans="2:18">
      <c r="B12" s="176">
        <v>46673</v>
      </c>
      <c r="C12" s="177" t="s">
        <v>185</v>
      </c>
      <c r="D12" s="178" t="s">
        <v>170</v>
      </c>
      <c r="E12" s="178" t="s">
        <v>171</v>
      </c>
      <c r="F12" s="179" t="s">
        <v>172</v>
      </c>
      <c r="G12" s="177">
        <v>2023</v>
      </c>
      <c r="H12" s="177">
        <v>3956</v>
      </c>
      <c r="I12" s="177">
        <v>534</v>
      </c>
      <c r="J12" s="177">
        <v>5</v>
      </c>
      <c r="K12" s="179" t="s">
        <v>186</v>
      </c>
      <c r="L12" s="179" t="s">
        <v>187</v>
      </c>
      <c r="M12" s="179" t="s">
        <v>187</v>
      </c>
      <c r="N12" s="179" t="s">
        <v>175</v>
      </c>
      <c r="O12" s="179" t="s">
        <v>176</v>
      </c>
      <c r="P12" s="177" t="s">
        <v>177</v>
      </c>
      <c r="Q12" s="180" t="s">
        <v>292</v>
      </c>
      <c r="R12" s="181">
        <v>1110300</v>
      </c>
    </row>
    <row r="13" spans="2:18">
      <c r="B13" s="176">
        <v>46728</v>
      </c>
      <c r="C13" s="177" t="s">
        <v>188</v>
      </c>
      <c r="D13" s="178" t="s">
        <v>170</v>
      </c>
      <c r="E13" s="178" t="s">
        <v>171</v>
      </c>
      <c r="F13" s="134" t="s">
        <v>172</v>
      </c>
      <c r="G13" s="177">
        <v>2023</v>
      </c>
      <c r="H13" s="177">
        <v>2694</v>
      </c>
      <c r="I13" s="177">
        <v>900</v>
      </c>
      <c r="J13" s="177">
        <v>5</v>
      </c>
      <c r="K13" s="179" t="s">
        <v>189</v>
      </c>
      <c r="L13" s="179" t="s">
        <v>190</v>
      </c>
      <c r="M13" s="179" t="s">
        <v>190</v>
      </c>
      <c r="N13" s="179" t="s">
        <v>175</v>
      </c>
      <c r="O13" s="179" t="s">
        <v>176</v>
      </c>
      <c r="P13" s="177" t="s">
        <v>177</v>
      </c>
      <c r="Q13" s="180" t="s">
        <v>292</v>
      </c>
      <c r="R13" s="181">
        <v>1110300</v>
      </c>
    </row>
    <row r="14" spans="2:18">
      <c r="B14" s="176">
        <v>46728</v>
      </c>
      <c r="C14" s="177" t="s">
        <v>192</v>
      </c>
      <c r="D14" s="178" t="s">
        <v>170</v>
      </c>
      <c r="E14" s="178" t="s">
        <v>171</v>
      </c>
      <c r="F14" s="134" t="s">
        <v>172</v>
      </c>
      <c r="G14" s="177">
        <v>2023</v>
      </c>
      <c r="H14" s="177">
        <v>3956</v>
      </c>
      <c r="I14" s="177">
        <v>534</v>
      </c>
      <c r="J14" s="177">
        <v>5</v>
      </c>
      <c r="K14" s="179" t="s">
        <v>193</v>
      </c>
      <c r="L14" s="179" t="s">
        <v>194</v>
      </c>
      <c r="M14" s="179" t="s">
        <v>194</v>
      </c>
      <c r="N14" s="179" t="s">
        <v>175</v>
      </c>
      <c r="O14" s="179" t="s">
        <v>176</v>
      </c>
      <c r="P14" s="177" t="s">
        <v>177</v>
      </c>
      <c r="Q14" s="180" t="s">
        <v>292</v>
      </c>
      <c r="R14" s="181">
        <v>1110300</v>
      </c>
    </row>
    <row r="15" spans="2:18">
      <c r="B15" s="176">
        <v>46728</v>
      </c>
      <c r="C15" s="177" t="s">
        <v>195</v>
      </c>
      <c r="D15" s="178" t="s">
        <v>170</v>
      </c>
      <c r="E15" s="178" t="s">
        <v>171</v>
      </c>
      <c r="F15" s="134" t="s">
        <v>172</v>
      </c>
      <c r="G15" s="177">
        <v>2023</v>
      </c>
      <c r="H15" s="177">
        <v>2694</v>
      </c>
      <c r="I15" s="177">
        <v>900</v>
      </c>
      <c r="J15" s="177">
        <v>5</v>
      </c>
      <c r="K15" s="179" t="s">
        <v>196</v>
      </c>
      <c r="L15" s="179" t="s">
        <v>197</v>
      </c>
      <c r="M15" s="179" t="s">
        <v>197</v>
      </c>
      <c r="N15" s="179" t="s">
        <v>175</v>
      </c>
      <c r="O15" s="179" t="s">
        <v>176</v>
      </c>
      <c r="P15" s="177" t="s">
        <v>177</v>
      </c>
      <c r="Q15" s="180" t="s">
        <v>292</v>
      </c>
      <c r="R15" s="181">
        <v>1110300</v>
      </c>
    </row>
    <row r="16" spans="2:18">
      <c r="B16" s="176">
        <v>46728</v>
      </c>
      <c r="C16" s="177" t="s">
        <v>198</v>
      </c>
      <c r="D16" s="178" t="s">
        <v>170</v>
      </c>
      <c r="E16" s="178" t="s">
        <v>171</v>
      </c>
      <c r="F16" s="134" t="s">
        <v>172</v>
      </c>
      <c r="G16" s="177">
        <v>2023</v>
      </c>
      <c r="H16" s="177">
        <v>2694</v>
      </c>
      <c r="I16" s="177">
        <v>900</v>
      </c>
      <c r="J16" s="177">
        <v>5</v>
      </c>
      <c r="K16" s="179" t="s">
        <v>199</v>
      </c>
      <c r="L16" s="179" t="s">
        <v>200</v>
      </c>
      <c r="M16" s="179" t="s">
        <v>200</v>
      </c>
      <c r="N16" s="179" t="s">
        <v>175</v>
      </c>
      <c r="O16" s="179" t="s">
        <v>176</v>
      </c>
      <c r="P16" s="177" t="s">
        <v>177</v>
      </c>
      <c r="Q16" s="180" t="s">
        <v>292</v>
      </c>
      <c r="R16" s="181">
        <v>1110300</v>
      </c>
    </row>
    <row r="17" spans="2:18">
      <c r="B17" s="176">
        <v>46728</v>
      </c>
      <c r="C17" s="177" t="s">
        <v>201</v>
      </c>
      <c r="D17" s="178" t="s">
        <v>170</v>
      </c>
      <c r="E17" s="178" t="s">
        <v>171</v>
      </c>
      <c r="F17" s="134" t="s">
        <v>172</v>
      </c>
      <c r="G17" s="177">
        <v>2023</v>
      </c>
      <c r="H17" s="177">
        <v>2694</v>
      </c>
      <c r="I17" s="177">
        <v>900</v>
      </c>
      <c r="J17" s="177">
        <v>5</v>
      </c>
      <c r="K17" s="179" t="s">
        <v>202</v>
      </c>
      <c r="L17" s="179" t="s">
        <v>203</v>
      </c>
      <c r="M17" s="179" t="s">
        <v>203</v>
      </c>
      <c r="N17" s="179" t="s">
        <v>175</v>
      </c>
      <c r="O17" s="179" t="s">
        <v>176</v>
      </c>
      <c r="P17" s="177" t="s">
        <v>177</v>
      </c>
      <c r="Q17" s="180" t="s">
        <v>292</v>
      </c>
      <c r="R17" s="181">
        <v>1110300</v>
      </c>
    </row>
    <row r="18" spans="2:18">
      <c r="B18" s="176">
        <v>46728</v>
      </c>
      <c r="C18" s="177" t="s">
        <v>204</v>
      </c>
      <c r="D18" s="182" t="s">
        <v>170</v>
      </c>
      <c r="E18" s="178" t="s">
        <v>171</v>
      </c>
      <c r="F18" s="134" t="s">
        <v>172</v>
      </c>
      <c r="G18" s="177">
        <v>2023</v>
      </c>
      <c r="H18" s="177">
        <v>2694</v>
      </c>
      <c r="I18" s="177">
        <v>900</v>
      </c>
      <c r="J18" s="177">
        <v>5</v>
      </c>
      <c r="K18" s="179" t="s">
        <v>205</v>
      </c>
      <c r="L18" s="179" t="s">
        <v>206</v>
      </c>
      <c r="M18" s="179" t="s">
        <v>206</v>
      </c>
      <c r="N18" s="179" t="s">
        <v>175</v>
      </c>
      <c r="O18" s="179" t="s">
        <v>176</v>
      </c>
      <c r="P18" s="177" t="s">
        <v>177</v>
      </c>
      <c r="Q18" s="180" t="s">
        <v>292</v>
      </c>
      <c r="R18" s="181">
        <v>1110300</v>
      </c>
    </row>
    <row r="19" spans="2:18">
      <c r="B19" s="176">
        <v>46728</v>
      </c>
      <c r="C19" s="177" t="s">
        <v>207</v>
      </c>
      <c r="D19" s="178" t="s">
        <v>170</v>
      </c>
      <c r="E19" s="178" t="s">
        <v>171</v>
      </c>
      <c r="F19" s="134" t="s">
        <v>172</v>
      </c>
      <c r="G19" s="177">
        <v>2023</v>
      </c>
      <c r="H19" s="177">
        <v>2694</v>
      </c>
      <c r="I19" s="177">
        <v>900</v>
      </c>
      <c r="J19" s="177">
        <v>5</v>
      </c>
      <c r="K19" s="179" t="s">
        <v>208</v>
      </c>
      <c r="L19" s="179" t="s">
        <v>209</v>
      </c>
      <c r="M19" s="179" t="s">
        <v>209</v>
      </c>
      <c r="N19" s="179" t="s">
        <v>175</v>
      </c>
      <c r="O19" s="179" t="s">
        <v>176</v>
      </c>
      <c r="P19" s="177" t="s">
        <v>177</v>
      </c>
      <c r="Q19" s="180" t="s">
        <v>292</v>
      </c>
      <c r="R19" s="181">
        <v>1110300</v>
      </c>
    </row>
    <row r="20" spans="2:18">
      <c r="B20" s="176">
        <v>46791</v>
      </c>
      <c r="C20" s="177" t="s">
        <v>236</v>
      </c>
      <c r="D20" s="178" t="s">
        <v>170</v>
      </c>
      <c r="E20" s="178" t="s">
        <v>171</v>
      </c>
      <c r="F20" s="134" t="s">
        <v>237</v>
      </c>
      <c r="G20" s="177">
        <v>2024</v>
      </c>
      <c r="H20" s="177">
        <v>1490</v>
      </c>
      <c r="I20" s="177">
        <v>475</v>
      </c>
      <c r="J20" s="177">
        <v>5</v>
      </c>
      <c r="K20" s="179" t="s">
        <v>238</v>
      </c>
      <c r="L20" s="179" t="s">
        <v>239</v>
      </c>
      <c r="M20" s="179" t="s">
        <v>239</v>
      </c>
      <c r="N20" s="179" t="s">
        <v>240</v>
      </c>
      <c r="O20" s="179" t="s">
        <v>227</v>
      </c>
      <c r="P20" s="177" t="s">
        <v>177</v>
      </c>
      <c r="Q20" s="180" t="s">
        <v>295</v>
      </c>
      <c r="R20" s="181">
        <v>792800</v>
      </c>
    </row>
    <row r="21" spans="2:18">
      <c r="B21" s="176">
        <v>46791</v>
      </c>
      <c r="C21" s="177" t="s">
        <v>242</v>
      </c>
      <c r="D21" s="178" t="s">
        <v>170</v>
      </c>
      <c r="E21" s="178" t="s">
        <v>171</v>
      </c>
      <c r="F21" s="134" t="s">
        <v>237</v>
      </c>
      <c r="G21" s="177">
        <v>2024</v>
      </c>
      <c r="H21" s="177">
        <v>1490</v>
      </c>
      <c r="I21" s="177">
        <v>475</v>
      </c>
      <c r="J21" s="177">
        <v>5</v>
      </c>
      <c r="K21" s="179" t="s">
        <v>243</v>
      </c>
      <c r="L21" s="179" t="s">
        <v>244</v>
      </c>
      <c r="M21" s="179" t="s">
        <v>244</v>
      </c>
      <c r="N21" s="179" t="s">
        <v>240</v>
      </c>
      <c r="O21" s="179" t="s">
        <v>227</v>
      </c>
      <c r="P21" s="177" t="s">
        <v>177</v>
      </c>
      <c r="Q21" s="180" t="s">
        <v>295</v>
      </c>
      <c r="R21" s="181">
        <v>792800</v>
      </c>
    </row>
    <row r="22" spans="2:18">
      <c r="B22" s="176">
        <v>46791</v>
      </c>
      <c r="C22" s="177" t="s">
        <v>245</v>
      </c>
      <c r="D22" s="178" t="s">
        <v>170</v>
      </c>
      <c r="E22" s="178" t="s">
        <v>171</v>
      </c>
      <c r="F22" s="134" t="s">
        <v>237</v>
      </c>
      <c r="G22" s="177">
        <v>2024</v>
      </c>
      <c r="H22" s="177">
        <v>1490</v>
      </c>
      <c r="I22" s="177">
        <v>475</v>
      </c>
      <c r="J22" s="177">
        <v>5</v>
      </c>
      <c r="K22" s="179" t="s">
        <v>246</v>
      </c>
      <c r="L22" s="179" t="s">
        <v>247</v>
      </c>
      <c r="M22" s="179" t="s">
        <v>247</v>
      </c>
      <c r="N22" s="179" t="s">
        <v>240</v>
      </c>
      <c r="O22" s="179" t="s">
        <v>227</v>
      </c>
      <c r="P22" s="177" t="s">
        <v>177</v>
      </c>
      <c r="Q22" s="180" t="s">
        <v>295</v>
      </c>
      <c r="R22" s="181">
        <v>792800</v>
      </c>
    </row>
    <row r="23" spans="2:18">
      <c r="B23" s="176">
        <v>46791</v>
      </c>
      <c r="C23" s="177" t="s">
        <v>248</v>
      </c>
      <c r="D23" s="178" t="s">
        <v>170</v>
      </c>
      <c r="E23" s="178" t="s">
        <v>171</v>
      </c>
      <c r="F23" s="134" t="s">
        <v>237</v>
      </c>
      <c r="G23" s="177">
        <v>2024</v>
      </c>
      <c r="H23" s="177">
        <v>1490</v>
      </c>
      <c r="I23" s="177"/>
      <c r="J23" s="177">
        <v>5</v>
      </c>
      <c r="K23" s="179" t="s">
        <v>249</v>
      </c>
      <c r="L23" s="179" t="s">
        <v>250</v>
      </c>
      <c r="M23" s="179" t="s">
        <v>250</v>
      </c>
      <c r="N23" s="179" t="s">
        <v>240</v>
      </c>
      <c r="O23" s="179" t="s">
        <v>227</v>
      </c>
      <c r="P23" s="177" t="s">
        <v>177</v>
      </c>
      <c r="Q23" s="180" t="s">
        <v>295</v>
      </c>
      <c r="R23" s="181">
        <v>792800</v>
      </c>
    </row>
    <row r="24" spans="2:18">
      <c r="B24" s="176">
        <v>46791</v>
      </c>
      <c r="C24" s="177" t="s">
        <v>251</v>
      </c>
      <c r="D24" s="178" t="s">
        <v>170</v>
      </c>
      <c r="E24" s="178" t="s">
        <v>171</v>
      </c>
      <c r="F24" s="134" t="s">
        <v>237</v>
      </c>
      <c r="G24" s="177">
        <v>2024</v>
      </c>
      <c r="H24" s="177">
        <v>1490</v>
      </c>
      <c r="I24" s="177">
        <v>475</v>
      </c>
      <c r="J24" s="177">
        <v>5</v>
      </c>
      <c r="K24" s="179" t="s">
        <v>252</v>
      </c>
      <c r="L24" s="179" t="s">
        <v>253</v>
      </c>
      <c r="M24" s="179" t="s">
        <v>253</v>
      </c>
      <c r="N24" s="179" t="s">
        <v>240</v>
      </c>
      <c r="O24" s="179" t="s">
        <v>227</v>
      </c>
      <c r="P24" s="177" t="s">
        <v>177</v>
      </c>
      <c r="Q24" s="180" t="s">
        <v>295</v>
      </c>
      <c r="R24" s="181">
        <v>792800</v>
      </c>
    </row>
    <row r="25" spans="2:18">
      <c r="B25" s="176">
        <v>46791</v>
      </c>
      <c r="C25" s="177" t="s">
        <v>254</v>
      </c>
      <c r="D25" s="178" t="s">
        <v>170</v>
      </c>
      <c r="E25" s="178" t="s">
        <v>171</v>
      </c>
      <c r="F25" s="134" t="s">
        <v>237</v>
      </c>
      <c r="G25" s="177">
        <v>2024</v>
      </c>
      <c r="H25" s="177">
        <v>1490</v>
      </c>
      <c r="I25" s="177"/>
      <c r="J25" s="177">
        <v>5</v>
      </c>
      <c r="K25" s="179" t="s">
        <v>255</v>
      </c>
      <c r="L25" s="179" t="s">
        <v>256</v>
      </c>
      <c r="M25" s="179" t="s">
        <v>256</v>
      </c>
      <c r="N25" s="179" t="s">
        <v>240</v>
      </c>
      <c r="O25" s="179" t="s">
        <v>227</v>
      </c>
      <c r="P25" s="177" t="s">
        <v>177</v>
      </c>
      <c r="Q25" s="180" t="s">
        <v>295</v>
      </c>
      <c r="R25" s="181">
        <v>792800</v>
      </c>
    </row>
    <row r="26" spans="2:18">
      <c r="B26" s="176">
        <v>46791</v>
      </c>
      <c r="C26" s="177" t="s">
        <v>257</v>
      </c>
      <c r="D26" s="178" t="s">
        <v>170</v>
      </c>
      <c r="E26" s="178" t="s">
        <v>171</v>
      </c>
      <c r="F26" s="134" t="s">
        <v>237</v>
      </c>
      <c r="G26" s="177">
        <v>2024</v>
      </c>
      <c r="H26" s="177">
        <v>1490</v>
      </c>
      <c r="I26" s="177"/>
      <c r="J26" s="177">
        <v>5</v>
      </c>
      <c r="K26" s="179" t="s">
        <v>258</v>
      </c>
      <c r="L26" s="179" t="s">
        <v>259</v>
      </c>
      <c r="M26" s="179" t="s">
        <v>259</v>
      </c>
      <c r="N26" s="179" t="s">
        <v>240</v>
      </c>
      <c r="O26" s="179" t="s">
        <v>227</v>
      </c>
      <c r="P26" s="177" t="s">
        <v>177</v>
      </c>
      <c r="Q26" s="180" t="s">
        <v>295</v>
      </c>
      <c r="R26" s="181">
        <v>792800</v>
      </c>
    </row>
    <row r="27" spans="2:18">
      <c r="B27" s="176">
        <v>46794</v>
      </c>
      <c r="C27" s="177" t="s">
        <v>229</v>
      </c>
      <c r="D27" s="178" t="s">
        <v>230</v>
      </c>
      <c r="E27" s="178" t="s">
        <v>231</v>
      </c>
      <c r="F27" s="134" t="s">
        <v>232</v>
      </c>
      <c r="G27" s="177">
        <v>2025</v>
      </c>
      <c r="H27" s="177">
        <v>2776</v>
      </c>
      <c r="I27" s="177"/>
      <c r="J27" s="177">
        <v>16</v>
      </c>
      <c r="K27" s="179">
        <v>77644177</v>
      </c>
      <c r="L27" s="179" t="s">
        <v>233</v>
      </c>
      <c r="M27" s="179" t="s">
        <v>233</v>
      </c>
      <c r="N27" s="179" t="s">
        <v>221</v>
      </c>
      <c r="O27" s="179" t="s">
        <v>234</v>
      </c>
      <c r="P27" s="177" t="s">
        <v>177</v>
      </c>
      <c r="Q27" s="183">
        <v>430</v>
      </c>
      <c r="R27" s="184">
        <v>1510600</v>
      </c>
    </row>
    <row r="28" spans="2:18">
      <c r="R28" s="185">
        <f>SUM(R6:R27)</f>
        <v>22951700</v>
      </c>
    </row>
    <row r="31" spans="2:18">
      <c r="B31" s="170" t="s">
        <v>296</v>
      </c>
      <c r="D31" s="186">
        <v>0.11700000000000001</v>
      </c>
    </row>
    <row r="32" spans="2:18">
      <c r="B32" s="170" t="s">
        <v>297</v>
      </c>
      <c r="D32" s="186">
        <v>0.184</v>
      </c>
      <c r="E32" s="144" t="s">
        <v>298</v>
      </c>
    </row>
    <row r="33" spans="2:5">
      <c r="B33" s="170" t="s">
        <v>299</v>
      </c>
      <c r="D33" s="186">
        <v>-8.6800000000000002E-2</v>
      </c>
      <c r="E33" s="144" t="s">
        <v>300</v>
      </c>
    </row>
    <row r="34" spans="2:5">
      <c r="B34" s="170" t="s">
        <v>301</v>
      </c>
      <c r="D34" s="186">
        <v>3.8E-3</v>
      </c>
      <c r="E34" s="144" t="s">
        <v>302</v>
      </c>
    </row>
    <row r="35" spans="2:5">
      <c r="B35" s="417" t="s">
        <v>303</v>
      </c>
      <c r="C35" s="417"/>
      <c r="D35" s="187">
        <f>AVERAGE(D31:D34)</f>
        <v>5.45E-2</v>
      </c>
    </row>
    <row r="36" spans="2:5">
      <c r="D36" s="188"/>
    </row>
    <row r="37" spans="2:5">
      <c r="B37" s="418" t="s">
        <v>271</v>
      </c>
      <c r="C37" s="418"/>
      <c r="D37" s="188"/>
    </row>
    <row r="38" spans="2:5">
      <c r="B38" s="189">
        <v>46053</v>
      </c>
      <c r="C38" s="190">
        <v>5.35</v>
      </c>
      <c r="D38" s="188"/>
    </row>
    <row r="39" spans="2:5">
      <c r="B39" s="189">
        <v>46081</v>
      </c>
      <c r="C39" s="190">
        <v>5.29</v>
      </c>
    </row>
    <row r="40" spans="2:5">
      <c r="B40" s="189">
        <v>46112</v>
      </c>
      <c r="C40" s="190">
        <v>5.56</v>
      </c>
    </row>
    <row r="41" spans="2:5">
      <c r="B41" s="189">
        <v>46142</v>
      </c>
      <c r="C41" s="190">
        <v>5.68</v>
      </c>
    </row>
    <row r="42" spans="2:5">
      <c r="B42" s="189">
        <v>46173</v>
      </c>
      <c r="C42" s="190">
        <v>5.84</v>
      </c>
    </row>
    <row r="43" spans="2:5">
      <c r="B43" s="189">
        <v>46203</v>
      </c>
      <c r="C43" s="190">
        <v>6.14</v>
      </c>
    </row>
    <row r="44" spans="2:5">
      <c r="B44" s="191">
        <v>46234</v>
      </c>
      <c r="C44" s="192">
        <v>6.03</v>
      </c>
    </row>
  </sheetData>
  <mergeCells count="4">
    <mergeCell ref="C2:O2"/>
    <mergeCell ref="C3:O3"/>
    <mergeCell ref="B35:C35"/>
    <mergeCell ref="B37:C37"/>
  </mergeCells>
  <dataValidations count="4">
    <dataValidation type="date" allowBlank="1" showInputMessage="1" showErrorMessage="1" sqref="B6:B27">
      <formula1>44927</formula1>
      <formula2>55153</formula2>
    </dataValidation>
    <dataValidation type="whole" allowBlank="1" showInputMessage="1" showErrorMessage="1" sqref="G6:G27">
      <formula1>1900</formula1>
      <formula2>2050</formula2>
    </dataValidation>
    <dataValidation type="whole" allowBlank="1" showInputMessage="1" showErrorMessage="1" sqref="H6:H27">
      <formula1>50</formula1>
      <formula2>10000</formula2>
    </dataValidation>
    <dataValidation type="whole" allowBlank="1" showInputMessage="1" showErrorMessage="1" sqref="J6:J27">
      <formula1>1</formula1>
      <formula2>1000</formula2>
    </dataValidation>
  </dataValidations>
  <hyperlinks>
    <hyperlink ref="E34" r:id="rId1"/>
    <hyperlink ref="E33" r:id="rId2"/>
    <hyperlink ref="E32" r:id="rId3"/>
  </hyperlinks>
  <pageMargins left="0.7" right="0.7" top="0.75" bottom="0.75" header="0.3" footer="0.3"/>
  <ignoredErrors>
    <ignoredError sqref="Q6:Q26" numberStoredAsText="1"/>
  </ignoredErrors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5"/>
  <sheetViews>
    <sheetView workbookViewId="0">
      <selection activeCell="A3" sqref="A3:Y3"/>
    </sheetView>
  </sheetViews>
  <sheetFormatPr baseColWidth="10" defaultRowHeight="15.75"/>
  <cols>
    <col min="24" max="24" width="15.125" bestFit="1" customWidth="1"/>
  </cols>
  <sheetData>
    <row r="2" spans="1:25" s="199" customFormat="1" ht="18">
      <c r="A2" s="419" t="s">
        <v>308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</row>
    <row r="3" spans="1:25" s="199" customFormat="1" ht="18">
      <c r="A3" s="419" t="s">
        <v>309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</row>
    <row r="4" spans="1:25" s="199" customFormat="1" ht="18">
      <c r="A4" s="419" t="s">
        <v>310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33">
      <c r="A5" s="193" t="s">
        <v>38</v>
      </c>
      <c r="B5" s="193" t="s">
        <v>39</v>
      </c>
      <c r="C5" s="193" t="s">
        <v>40</v>
      </c>
      <c r="D5" s="193" t="s">
        <v>41</v>
      </c>
      <c r="E5" s="193" t="s">
        <v>42</v>
      </c>
      <c r="F5" s="193" t="s">
        <v>43</v>
      </c>
      <c r="G5" s="193" t="s">
        <v>311</v>
      </c>
      <c r="H5" s="193" t="s">
        <v>44</v>
      </c>
      <c r="I5" s="193" t="s">
        <v>47</v>
      </c>
      <c r="J5" s="193" t="s">
        <v>48</v>
      </c>
      <c r="K5" s="193" t="s">
        <v>49</v>
      </c>
      <c r="L5" s="193" t="s">
        <v>56</v>
      </c>
      <c r="M5" s="193" t="s">
        <v>58</v>
      </c>
      <c r="N5" s="193" t="s">
        <v>59</v>
      </c>
      <c r="O5" s="193" t="s">
        <v>60</v>
      </c>
      <c r="P5" s="193" t="s">
        <v>312</v>
      </c>
      <c r="Q5" s="193" t="s">
        <v>61</v>
      </c>
      <c r="R5" s="193" t="s">
        <v>62</v>
      </c>
      <c r="S5" s="193" t="s">
        <v>63</v>
      </c>
      <c r="T5" s="193" t="s">
        <v>66</v>
      </c>
      <c r="U5" s="193" t="s">
        <v>70</v>
      </c>
      <c r="V5" s="193" t="s">
        <v>313</v>
      </c>
      <c r="W5" s="194" t="s">
        <v>314</v>
      </c>
      <c r="X5" s="195" t="s">
        <v>315</v>
      </c>
      <c r="Y5" s="193" t="s">
        <v>316</v>
      </c>
    </row>
    <row r="6" spans="1:25">
      <c r="A6" s="196" t="s">
        <v>317</v>
      </c>
      <c r="B6" s="196" t="s">
        <v>25</v>
      </c>
      <c r="C6" s="196" t="s">
        <v>25</v>
      </c>
      <c r="D6" s="196" t="s">
        <v>318</v>
      </c>
      <c r="E6" s="196" t="s">
        <v>319</v>
      </c>
      <c r="F6" s="196">
        <v>946</v>
      </c>
      <c r="G6" s="196" t="s">
        <v>320</v>
      </c>
      <c r="H6" s="196"/>
      <c r="I6" s="196">
        <v>86598</v>
      </c>
      <c r="J6" s="196">
        <v>2024</v>
      </c>
      <c r="K6" s="196">
        <v>3000528</v>
      </c>
      <c r="L6" s="196" t="s">
        <v>321</v>
      </c>
      <c r="M6" s="196" t="s">
        <v>322</v>
      </c>
      <c r="N6" s="196" t="s">
        <v>323</v>
      </c>
      <c r="O6" s="196" t="s">
        <v>324</v>
      </c>
      <c r="P6" s="196" t="s">
        <v>325</v>
      </c>
      <c r="Q6" s="196" t="s">
        <v>326</v>
      </c>
      <c r="R6" s="196" t="s">
        <v>327</v>
      </c>
      <c r="S6" s="196" t="s">
        <v>328</v>
      </c>
      <c r="T6" s="197" t="s">
        <v>329</v>
      </c>
      <c r="U6" s="198">
        <v>2413427</v>
      </c>
      <c r="V6" s="198">
        <v>0</v>
      </c>
      <c r="W6" s="198">
        <v>0</v>
      </c>
      <c r="X6" s="198">
        <v>2413427</v>
      </c>
      <c r="Y6" s="197" t="s">
        <v>330</v>
      </c>
    </row>
    <row r="7" spans="1:25">
      <c r="A7" s="196" t="s">
        <v>317</v>
      </c>
      <c r="B7" s="196" t="s">
        <v>25</v>
      </c>
      <c r="C7" s="196" t="s">
        <v>25</v>
      </c>
      <c r="D7" s="196" t="s">
        <v>318</v>
      </c>
      <c r="E7" s="196" t="s">
        <v>319</v>
      </c>
      <c r="F7" s="196">
        <v>946</v>
      </c>
      <c r="G7" s="196" t="s">
        <v>320</v>
      </c>
      <c r="H7" s="196"/>
      <c r="I7" s="196">
        <v>89857</v>
      </c>
      <c r="J7" s="196">
        <v>2025</v>
      </c>
      <c r="K7" s="196">
        <v>1012037</v>
      </c>
      <c r="L7" s="196" t="s">
        <v>82</v>
      </c>
      <c r="M7" s="196" t="s">
        <v>331</v>
      </c>
      <c r="N7" s="196" t="s">
        <v>332</v>
      </c>
      <c r="O7" s="196" t="s">
        <v>333</v>
      </c>
      <c r="P7" s="196" t="s">
        <v>334</v>
      </c>
      <c r="Q7" s="196" t="s">
        <v>326</v>
      </c>
      <c r="R7" s="196" t="s">
        <v>335</v>
      </c>
      <c r="S7" s="196" t="s">
        <v>328</v>
      </c>
      <c r="T7" s="197" t="s">
        <v>329</v>
      </c>
      <c r="U7" s="198">
        <v>824484.02</v>
      </c>
      <c r="V7" s="198">
        <v>0</v>
      </c>
      <c r="W7" s="198">
        <v>0</v>
      </c>
      <c r="X7" s="198">
        <v>824484.02</v>
      </c>
      <c r="Y7" s="197" t="s">
        <v>336</v>
      </c>
    </row>
    <row r="8" spans="1:25">
      <c r="A8" s="196" t="s">
        <v>317</v>
      </c>
      <c r="B8" s="196" t="s">
        <v>25</v>
      </c>
      <c r="C8" s="196" t="s">
        <v>25</v>
      </c>
      <c r="D8" s="196" t="s">
        <v>318</v>
      </c>
      <c r="E8" s="196" t="s">
        <v>319</v>
      </c>
      <c r="F8" s="196">
        <v>805</v>
      </c>
      <c r="G8" s="196" t="s">
        <v>337</v>
      </c>
      <c r="H8" s="196"/>
      <c r="I8" s="196">
        <v>82611</v>
      </c>
      <c r="J8" s="196">
        <v>2021</v>
      </c>
      <c r="K8" s="196">
        <v>1011493</v>
      </c>
      <c r="L8" s="196" t="s">
        <v>82</v>
      </c>
      <c r="M8" s="196" t="s">
        <v>338</v>
      </c>
      <c r="N8" s="196" t="s">
        <v>339</v>
      </c>
      <c r="O8" s="196" t="s">
        <v>340</v>
      </c>
      <c r="P8" s="196" t="s">
        <v>338</v>
      </c>
      <c r="Q8" s="196" t="s">
        <v>326</v>
      </c>
      <c r="R8" s="196" t="s">
        <v>341</v>
      </c>
      <c r="S8" s="196" t="s">
        <v>328</v>
      </c>
      <c r="T8" s="197" t="s">
        <v>329</v>
      </c>
      <c r="U8" s="198">
        <v>3206644</v>
      </c>
      <c r="V8" s="198">
        <v>0</v>
      </c>
      <c r="W8" s="198">
        <v>0</v>
      </c>
      <c r="X8" s="198">
        <v>3206644</v>
      </c>
      <c r="Y8" s="197" t="s">
        <v>342</v>
      </c>
    </row>
    <row r="9" spans="1:25">
      <c r="A9" s="196" t="s">
        <v>317</v>
      </c>
      <c r="B9" s="196" t="s">
        <v>25</v>
      </c>
      <c r="C9" s="196" t="s">
        <v>25</v>
      </c>
      <c r="D9" s="196" t="s">
        <v>318</v>
      </c>
      <c r="E9" s="196" t="s">
        <v>319</v>
      </c>
      <c r="F9" s="196">
        <v>946</v>
      </c>
      <c r="G9" s="196" t="s">
        <v>320</v>
      </c>
      <c r="H9" s="196"/>
      <c r="I9" s="196">
        <v>86534</v>
      </c>
      <c r="J9" s="196">
        <v>2024</v>
      </c>
      <c r="K9" s="196">
        <v>3000528</v>
      </c>
      <c r="L9" s="196" t="s">
        <v>82</v>
      </c>
      <c r="M9" s="196" t="s">
        <v>322</v>
      </c>
      <c r="N9" s="196" t="s">
        <v>323</v>
      </c>
      <c r="O9" s="196" t="s">
        <v>343</v>
      </c>
      <c r="P9" s="196" t="s">
        <v>344</v>
      </c>
      <c r="Q9" s="196" t="s">
        <v>326</v>
      </c>
      <c r="R9" s="196" t="s">
        <v>345</v>
      </c>
      <c r="S9" s="196" t="s">
        <v>328</v>
      </c>
      <c r="T9" s="197" t="s">
        <v>329</v>
      </c>
      <c r="U9" s="198">
        <v>515279</v>
      </c>
      <c r="V9" s="198">
        <v>0</v>
      </c>
      <c r="W9" s="198">
        <v>0</v>
      </c>
      <c r="X9" s="198">
        <v>515279</v>
      </c>
      <c r="Y9" s="197" t="s">
        <v>346</v>
      </c>
    </row>
    <row r="10" spans="1:25">
      <c r="A10" s="196" t="s">
        <v>317</v>
      </c>
      <c r="B10" s="196" t="s">
        <v>25</v>
      </c>
      <c r="C10" s="196" t="s">
        <v>25</v>
      </c>
      <c r="D10" s="196" t="s">
        <v>318</v>
      </c>
      <c r="E10" s="196" t="s">
        <v>319</v>
      </c>
      <c r="F10" s="196">
        <v>946</v>
      </c>
      <c r="G10" s="196" t="s">
        <v>320</v>
      </c>
      <c r="H10" s="196"/>
      <c r="I10" s="196">
        <v>92248</v>
      </c>
      <c r="J10" s="196">
        <v>2026</v>
      </c>
      <c r="K10" s="196">
        <v>1012038</v>
      </c>
      <c r="L10" s="196" t="s">
        <v>347</v>
      </c>
      <c r="M10" s="196" t="s">
        <v>332</v>
      </c>
      <c r="N10" s="196" t="s">
        <v>348</v>
      </c>
      <c r="O10" s="196" t="s">
        <v>349</v>
      </c>
      <c r="P10" s="196" t="s">
        <v>350</v>
      </c>
      <c r="Q10" s="196" t="s">
        <v>326</v>
      </c>
      <c r="R10" s="196" t="s">
        <v>351</v>
      </c>
      <c r="S10" s="196" t="s">
        <v>328</v>
      </c>
      <c r="T10" s="197" t="s">
        <v>352</v>
      </c>
      <c r="U10" s="198">
        <v>0</v>
      </c>
      <c r="V10" s="198">
        <v>3803190</v>
      </c>
      <c r="W10" s="198">
        <v>0</v>
      </c>
      <c r="X10" s="198">
        <v>3803190</v>
      </c>
      <c r="Y10" s="197" t="s">
        <v>353</v>
      </c>
    </row>
    <row r="11" spans="1:25">
      <c r="A11" s="196" t="s">
        <v>317</v>
      </c>
      <c r="B11" s="196" t="s">
        <v>25</v>
      </c>
      <c r="C11" s="196" t="s">
        <v>25</v>
      </c>
      <c r="D11" s="196" t="s">
        <v>318</v>
      </c>
      <c r="E11" s="196" t="s">
        <v>319</v>
      </c>
      <c r="F11" s="196">
        <v>946</v>
      </c>
      <c r="G11" s="196" t="s">
        <v>320</v>
      </c>
      <c r="H11" s="196"/>
      <c r="I11" s="196">
        <v>91224</v>
      </c>
      <c r="J11" s="196">
        <v>2026</v>
      </c>
      <c r="K11" s="196">
        <v>1012038</v>
      </c>
      <c r="L11" s="196" t="s">
        <v>354</v>
      </c>
      <c r="M11" s="196" t="s">
        <v>323</v>
      </c>
      <c r="N11" s="196" t="s">
        <v>332</v>
      </c>
      <c r="O11" s="196" t="s">
        <v>355</v>
      </c>
      <c r="P11" s="196" t="s">
        <v>356</v>
      </c>
      <c r="Q11" s="196" t="s">
        <v>326</v>
      </c>
      <c r="R11" s="196" t="s">
        <v>357</v>
      </c>
      <c r="S11" s="196" t="s">
        <v>328</v>
      </c>
      <c r="T11" s="197" t="s">
        <v>329</v>
      </c>
      <c r="U11" s="198">
        <v>1854810</v>
      </c>
      <c r="V11" s="198">
        <v>0</v>
      </c>
      <c r="W11" s="198">
        <v>0</v>
      </c>
      <c r="X11" s="198">
        <v>1854810</v>
      </c>
      <c r="Y11" s="197" t="s">
        <v>358</v>
      </c>
    </row>
    <row r="12" spans="1:25">
      <c r="A12" s="196" t="s">
        <v>317</v>
      </c>
      <c r="B12" s="196" t="s">
        <v>25</v>
      </c>
      <c r="C12" s="196" t="s">
        <v>25</v>
      </c>
      <c r="D12" s="196" t="s">
        <v>318</v>
      </c>
      <c r="E12" s="196" t="s">
        <v>319</v>
      </c>
      <c r="F12" s="196">
        <v>946</v>
      </c>
      <c r="G12" s="196" t="s">
        <v>320</v>
      </c>
      <c r="H12" s="196"/>
      <c r="I12" s="196">
        <v>90871</v>
      </c>
      <c r="J12" s="196">
        <v>2025</v>
      </c>
      <c r="K12" s="196">
        <v>1012038</v>
      </c>
      <c r="L12" s="196" t="s">
        <v>359</v>
      </c>
      <c r="M12" s="196" t="s">
        <v>323</v>
      </c>
      <c r="N12" s="196" t="s">
        <v>332</v>
      </c>
      <c r="O12" s="196" t="s">
        <v>360</v>
      </c>
      <c r="P12" s="196" t="s">
        <v>361</v>
      </c>
      <c r="Q12" s="196" t="s">
        <v>326</v>
      </c>
      <c r="R12" s="196" t="s">
        <v>362</v>
      </c>
      <c r="S12" s="196" t="s">
        <v>363</v>
      </c>
      <c r="T12" s="197" t="s">
        <v>364</v>
      </c>
      <c r="U12" s="198">
        <v>0</v>
      </c>
      <c r="V12" s="198">
        <v>0</v>
      </c>
      <c r="W12" s="198">
        <v>0</v>
      </c>
      <c r="X12" s="198">
        <v>0</v>
      </c>
      <c r="Y12" s="197" t="s">
        <v>365</v>
      </c>
    </row>
    <row r="13" spans="1:25">
      <c r="A13" s="196" t="s">
        <v>317</v>
      </c>
      <c r="B13" s="196" t="s">
        <v>25</v>
      </c>
      <c r="C13" s="196" t="s">
        <v>25</v>
      </c>
      <c r="D13" s="196" t="s">
        <v>318</v>
      </c>
      <c r="E13" s="196" t="s">
        <v>319</v>
      </c>
      <c r="F13" s="196">
        <v>946</v>
      </c>
      <c r="G13" s="196" t="s">
        <v>320</v>
      </c>
      <c r="H13" s="196"/>
      <c r="I13" s="196">
        <v>86598</v>
      </c>
      <c r="J13" s="196">
        <v>2024</v>
      </c>
      <c r="K13" s="196">
        <v>3000528</v>
      </c>
      <c r="L13" s="196" t="s">
        <v>321</v>
      </c>
      <c r="M13" s="196" t="s">
        <v>322</v>
      </c>
      <c r="N13" s="196" t="s">
        <v>323</v>
      </c>
      <c r="O13" s="196" t="s">
        <v>324</v>
      </c>
      <c r="P13" s="196" t="s">
        <v>325</v>
      </c>
      <c r="Q13" s="196" t="s">
        <v>326</v>
      </c>
      <c r="R13" s="196" t="s">
        <v>327</v>
      </c>
      <c r="S13" s="196" t="s">
        <v>366</v>
      </c>
      <c r="T13" s="197" t="s">
        <v>329</v>
      </c>
      <c r="U13" s="198">
        <v>2467226</v>
      </c>
      <c r="V13" s="198">
        <v>0</v>
      </c>
      <c r="W13" s="198">
        <v>0</v>
      </c>
      <c r="X13" s="198">
        <v>2467226</v>
      </c>
      <c r="Y13" s="197" t="s">
        <v>330</v>
      </c>
    </row>
    <row r="14" spans="1:25">
      <c r="A14" s="196" t="s">
        <v>317</v>
      </c>
      <c r="B14" s="196" t="s">
        <v>25</v>
      </c>
      <c r="C14" s="196" t="s">
        <v>25</v>
      </c>
      <c r="D14" s="196" t="s">
        <v>318</v>
      </c>
      <c r="E14" s="196" t="s">
        <v>319</v>
      </c>
      <c r="F14" s="196">
        <v>946</v>
      </c>
      <c r="G14" s="196" t="s">
        <v>320</v>
      </c>
      <c r="H14" s="196"/>
      <c r="I14" s="196">
        <v>91119</v>
      </c>
      <c r="J14" s="196">
        <v>2026</v>
      </c>
      <c r="K14" s="196">
        <v>1012038</v>
      </c>
      <c r="L14" s="196" t="s">
        <v>321</v>
      </c>
      <c r="M14" s="196" t="s">
        <v>323</v>
      </c>
      <c r="N14" s="196" t="s">
        <v>332</v>
      </c>
      <c r="O14" s="196" t="s">
        <v>367</v>
      </c>
      <c r="P14" s="196" t="s">
        <v>368</v>
      </c>
      <c r="Q14" s="196" t="s">
        <v>326</v>
      </c>
      <c r="R14" s="196" t="s">
        <v>369</v>
      </c>
      <c r="S14" s="196" t="s">
        <v>328</v>
      </c>
      <c r="T14" s="197" t="s">
        <v>329</v>
      </c>
      <c r="U14" s="198">
        <v>1528618.76</v>
      </c>
      <c r="V14" s="198">
        <v>0</v>
      </c>
      <c r="W14" s="198">
        <v>0</v>
      </c>
      <c r="X14" s="198">
        <v>1528618.76</v>
      </c>
      <c r="Y14" s="197" t="s">
        <v>370</v>
      </c>
    </row>
    <row r="15" spans="1:25">
      <c r="A15" s="196" t="s">
        <v>317</v>
      </c>
      <c r="B15" s="196" t="s">
        <v>25</v>
      </c>
      <c r="C15" s="196" t="s">
        <v>25</v>
      </c>
      <c r="D15" s="196" t="s">
        <v>318</v>
      </c>
      <c r="E15" s="196" t="s">
        <v>319</v>
      </c>
      <c r="F15" s="196">
        <v>946</v>
      </c>
      <c r="G15" s="196" t="s">
        <v>320</v>
      </c>
      <c r="H15" s="196"/>
      <c r="I15" s="196">
        <v>91204</v>
      </c>
      <c r="J15" s="196">
        <v>2026</v>
      </c>
      <c r="K15" s="196">
        <v>1012037</v>
      </c>
      <c r="L15" s="196" t="s">
        <v>82</v>
      </c>
      <c r="M15" s="196" t="s">
        <v>331</v>
      </c>
      <c r="N15" s="196" t="s">
        <v>332</v>
      </c>
      <c r="O15" s="196" t="s">
        <v>371</v>
      </c>
      <c r="P15" s="196" t="s">
        <v>372</v>
      </c>
      <c r="Q15" s="196" t="s">
        <v>326</v>
      </c>
      <c r="R15" s="196" t="s">
        <v>373</v>
      </c>
      <c r="S15" s="196" t="s">
        <v>328</v>
      </c>
      <c r="T15" s="197" t="s">
        <v>374</v>
      </c>
      <c r="U15" s="198">
        <v>0</v>
      </c>
      <c r="V15" s="198">
        <v>250000</v>
      </c>
      <c r="W15" s="198">
        <v>0</v>
      </c>
      <c r="X15" s="198">
        <v>250000</v>
      </c>
      <c r="Y15" s="197" t="s">
        <v>375</v>
      </c>
    </row>
    <row r="16" spans="1:25">
      <c r="A16" s="196" t="s">
        <v>317</v>
      </c>
      <c r="B16" s="196" t="s">
        <v>25</v>
      </c>
      <c r="C16" s="196" t="s">
        <v>25</v>
      </c>
      <c r="D16" s="196" t="s">
        <v>318</v>
      </c>
      <c r="E16" s="196" t="s">
        <v>319</v>
      </c>
      <c r="F16" s="196">
        <v>946</v>
      </c>
      <c r="G16" s="196" t="s">
        <v>320</v>
      </c>
      <c r="H16" s="196"/>
      <c r="I16" s="196">
        <v>91284</v>
      </c>
      <c r="J16" s="196">
        <v>2026</v>
      </c>
      <c r="K16" s="196">
        <v>1012037</v>
      </c>
      <c r="L16" s="196" t="s">
        <v>82</v>
      </c>
      <c r="M16" s="196" t="s">
        <v>331</v>
      </c>
      <c r="N16" s="196" t="s">
        <v>332</v>
      </c>
      <c r="O16" s="196" t="s">
        <v>376</v>
      </c>
      <c r="P16" s="196" t="s">
        <v>377</v>
      </c>
      <c r="Q16" s="196" t="s">
        <v>326</v>
      </c>
      <c r="R16" s="196" t="s">
        <v>378</v>
      </c>
      <c r="S16" s="196" t="s">
        <v>328</v>
      </c>
      <c r="T16" s="197" t="s">
        <v>329</v>
      </c>
      <c r="U16" s="198">
        <v>11969118</v>
      </c>
      <c r="V16" s="198">
        <v>0</v>
      </c>
      <c r="W16" s="198">
        <v>0</v>
      </c>
      <c r="X16" s="198">
        <v>11969118</v>
      </c>
      <c r="Y16" s="197" t="s">
        <v>379</v>
      </c>
    </row>
    <row r="17" spans="1:25">
      <c r="A17" s="196" t="s">
        <v>317</v>
      </c>
      <c r="B17" s="196" t="s">
        <v>25</v>
      </c>
      <c r="C17" s="196" t="s">
        <v>25</v>
      </c>
      <c r="D17" s="196" t="s">
        <v>318</v>
      </c>
      <c r="E17" s="196" t="s">
        <v>319</v>
      </c>
      <c r="F17" s="196">
        <v>946</v>
      </c>
      <c r="G17" s="196" t="s">
        <v>320</v>
      </c>
      <c r="H17" s="196"/>
      <c r="I17" s="196">
        <v>90986</v>
      </c>
      <c r="J17" s="196">
        <v>2026</v>
      </c>
      <c r="K17" s="196">
        <v>1012038</v>
      </c>
      <c r="L17" s="196" t="s">
        <v>380</v>
      </c>
      <c r="M17" s="196" t="s">
        <v>323</v>
      </c>
      <c r="N17" s="196" t="s">
        <v>332</v>
      </c>
      <c r="O17" s="196" t="s">
        <v>381</v>
      </c>
      <c r="P17" s="196" t="s">
        <v>382</v>
      </c>
      <c r="Q17" s="196" t="s">
        <v>326</v>
      </c>
      <c r="R17" s="196" t="s">
        <v>327</v>
      </c>
      <c r="S17" s="196" t="s">
        <v>328</v>
      </c>
      <c r="T17" s="197" t="s">
        <v>329</v>
      </c>
      <c r="U17" s="198">
        <v>730105</v>
      </c>
      <c r="V17" s="198">
        <v>0</v>
      </c>
      <c r="W17" s="198">
        <v>0</v>
      </c>
      <c r="X17" s="198">
        <v>730105</v>
      </c>
      <c r="Y17" s="197" t="s">
        <v>383</v>
      </c>
    </row>
    <row r="18" spans="1:25">
      <c r="A18" s="196" t="s">
        <v>317</v>
      </c>
      <c r="B18" s="196" t="s">
        <v>25</v>
      </c>
      <c r="C18" s="196" t="s">
        <v>25</v>
      </c>
      <c r="D18" s="196" t="s">
        <v>318</v>
      </c>
      <c r="E18" s="196" t="s">
        <v>319</v>
      </c>
      <c r="F18" s="196">
        <v>946</v>
      </c>
      <c r="G18" s="196" t="s">
        <v>320</v>
      </c>
      <c r="H18" s="196"/>
      <c r="I18" s="196">
        <v>90390</v>
      </c>
      <c r="J18" s="196">
        <v>2025</v>
      </c>
      <c r="K18" s="196">
        <v>1012037</v>
      </c>
      <c r="L18" s="196" t="s">
        <v>82</v>
      </c>
      <c r="M18" s="196" t="s">
        <v>331</v>
      </c>
      <c r="N18" s="196" t="s">
        <v>332</v>
      </c>
      <c r="O18" s="196" t="s">
        <v>384</v>
      </c>
      <c r="P18" s="196" t="s">
        <v>385</v>
      </c>
      <c r="Q18" s="196" t="s">
        <v>326</v>
      </c>
      <c r="R18" s="196" t="s">
        <v>373</v>
      </c>
      <c r="S18" s="196" t="s">
        <v>328</v>
      </c>
      <c r="T18" s="197" t="s">
        <v>329</v>
      </c>
      <c r="U18" s="198">
        <v>2185866.58</v>
      </c>
      <c r="V18" s="198">
        <v>0</v>
      </c>
      <c r="W18" s="198">
        <v>0</v>
      </c>
      <c r="X18" s="198">
        <v>2185866.58</v>
      </c>
      <c r="Y18" s="197" t="s">
        <v>386</v>
      </c>
    </row>
    <row r="19" spans="1:25">
      <c r="A19" s="196" t="s">
        <v>317</v>
      </c>
      <c r="B19" s="196" t="s">
        <v>25</v>
      </c>
      <c r="C19" s="196" t="s">
        <v>25</v>
      </c>
      <c r="D19" s="196" t="s">
        <v>318</v>
      </c>
      <c r="E19" s="196" t="s">
        <v>319</v>
      </c>
      <c r="F19" s="196">
        <v>805</v>
      </c>
      <c r="G19" s="196" t="s">
        <v>337</v>
      </c>
      <c r="H19" s="196"/>
      <c r="I19" s="196">
        <v>82632</v>
      </c>
      <c r="J19" s="196">
        <v>2021</v>
      </c>
      <c r="K19" s="196">
        <v>1011493</v>
      </c>
      <c r="L19" s="196" t="s">
        <v>321</v>
      </c>
      <c r="M19" s="196" t="s">
        <v>338</v>
      </c>
      <c r="N19" s="196" t="s">
        <v>339</v>
      </c>
      <c r="O19" s="196" t="s">
        <v>387</v>
      </c>
      <c r="P19" s="196" t="s">
        <v>388</v>
      </c>
      <c r="Q19" s="196" t="s">
        <v>326</v>
      </c>
      <c r="R19" s="196" t="s">
        <v>389</v>
      </c>
      <c r="S19" s="196" t="s">
        <v>328</v>
      </c>
      <c r="T19" s="197" t="s">
        <v>329</v>
      </c>
      <c r="U19" s="198">
        <v>1246500</v>
      </c>
      <c r="V19" s="198">
        <v>0</v>
      </c>
      <c r="W19" s="198">
        <v>0</v>
      </c>
      <c r="X19" s="198">
        <v>1246500</v>
      </c>
      <c r="Y19" s="197" t="s">
        <v>390</v>
      </c>
    </row>
    <row r="20" spans="1:25">
      <c r="A20" s="196" t="s">
        <v>317</v>
      </c>
      <c r="B20" s="196" t="s">
        <v>25</v>
      </c>
      <c r="C20" s="196" t="s">
        <v>25</v>
      </c>
      <c r="D20" s="196" t="s">
        <v>318</v>
      </c>
      <c r="E20" s="196" t="s">
        <v>319</v>
      </c>
      <c r="F20" s="196">
        <v>805</v>
      </c>
      <c r="G20" s="196" t="s">
        <v>337</v>
      </c>
      <c r="H20" s="196"/>
      <c r="I20" s="196">
        <v>83937</v>
      </c>
      <c r="J20" s="196">
        <v>2022</v>
      </c>
      <c r="K20" s="196">
        <v>1011493</v>
      </c>
      <c r="L20" s="196" t="s">
        <v>391</v>
      </c>
      <c r="M20" s="196" t="s">
        <v>338</v>
      </c>
      <c r="N20" s="196" t="s">
        <v>339</v>
      </c>
      <c r="O20" s="196" t="s">
        <v>392</v>
      </c>
      <c r="P20" s="196" t="s">
        <v>393</v>
      </c>
      <c r="Q20" s="196" t="s">
        <v>326</v>
      </c>
      <c r="R20" s="196" t="s">
        <v>394</v>
      </c>
      <c r="S20" s="196" t="s">
        <v>328</v>
      </c>
      <c r="T20" s="197" t="s">
        <v>329</v>
      </c>
      <c r="U20" s="198">
        <v>4775673</v>
      </c>
      <c r="V20" s="198">
        <v>0</v>
      </c>
      <c r="W20" s="198">
        <v>0</v>
      </c>
      <c r="X20" s="198">
        <v>4775673</v>
      </c>
      <c r="Y20" s="197" t="s">
        <v>395</v>
      </c>
    </row>
    <row r="21" spans="1:25">
      <c r="A21" s="196" t="s">
        <v>317</v>
      </c>
      <c r="B21" s="196" t="s">
        <v>25</v>
      </c>
      <c r="C21" s="196" t="s">
        <v>25</v>
      </c>
      <c r="D21" s="196" t="s">
        <v>318</v>
      </c>
      <c r="E21" s="196" t="s">
        <v>319</v>
      </c>
      <c r="F21" s="196">
        <v>946</v>
      </c>
      <c r="G21" s="196" t="s">
        <v>320</v>
      </c>
      <c r="H21" s="196"/>
      <c r="I21" s="196">
        <v>90871</v>
      </c>
      <c r="J21" s="196">
        <v>2025</v>
      </c>
      <c r="K21" s="196">
        <v>1012038</v>
      </c>
      <c r="L21" s="196" t="s">
        <v>359</v>
      </c>
      <c r="M21" s="196" t="s">
        <v>323</v>
      </c>
      <c r="N21" s="196" t="s">
        <v>332</v>
      </c>
      <c r="O21" s="196" t="s">
        <v>360</v>
      </c>
      <c r="P21" s="196" t="s">
        <v>361</v>
      </c>
      <c r="Q21" s="196" t="s">
        <v>326</v>
      </c>
      <c r="R21" s="196" t="s">
        <v>362</v>
      </c>
      <c r="S21" s="196" t="s">
        <v>328</v>
      </c>
      <c r="T21" s="197" t="s">
        <v>329</v>
      </c>
      <c r="U21" s="198">
        <v>2808427</v>
      </c>
      <c r="V21" s="198">
        <v>0</v>
      </c>
      <c r="W21" s="198">
        <v>0</v>
      </c>
      <c r="X21" s="198">
        <v>2808427</v>
      </c>
      <c r="Y21" s="197" t="s">
        <v>365</v>
      </c>
    </row>
    <row r="22" spans="1:25">
      <c r="A22" s="196" t="s">
        <v>317</v>
      </c>
      <c r="B22" s="196" t="s">
        <v>25</v>
      </c>
      <c r="C22" s="196" t="s">
        <v>25</v>
      </c>
      <c r="D22" s="196" t="s">
        <v>318</v>
      </c>
      <c r="E22" s="196" t="s">
        <v>319</v>
      </c>
      <c r="F22" s="196">
        <v>946</v>
      </c>
      <c r="G22" s="196" t="s">
        <v>320</v>
      </c>
      <c r="H22" s="196"/>
      <c r="I22" s="196">
        <v>90874</v>
      </c>
      <c r="J22" s="196">
        <v>2025</v>
      </c>
      <c r="K22" s="196">
        <v>1012038</v>
      </c>
      <c r="L22" s="196" t="s">
        <v>359</v>
      </c>
      <c r="M22" s="196" t="s">
        <v>323</v>
      </c>
      <c r="N22" s="196" t="s">
        <v>332</v>
      </c>
      <c r="O22" s="196" t="s">
        <v>360</v>
      </c>
      <c r="P22" s="196" t="s">
        <v>361</v>
      </c>
      <c r="Q22" s="196" t="s">
        <v>326</v>
      </c>
      <c r="R22" s="196" t="s">
        <v>362</v>
      </c>
      <c r="S22" s="196" t="s">
        <v>363</v>
      </c>
      <c r="T22" s="197" t="s">
        <v>396</v>
      </c>
      <c r="U22" s="198">
        <v>0</v>
      </c>
      <c r="V22" s="198">
        <v>0</v>
      </c>
      <c r="W22" s="198">
        <v>0</v>
      </c>
      <c r="X22" s="198">
        <v>0</v>
      </c>
      <c r="Y22" s="197" t="s">
        <v>397</v>
      </c>
    </row>
    <row r="23" spans="1:25">
      <c r="A23" s="196" t="s">
        <v>317</v>
      </c>
      <c r="B23" s="196" t="s">
        <v>25</v>
      </c>
      <c r="C23" s="196" t="s">
        <v>25</v>
      </c>
      <c r="D23" s="196" t="s">
        <v>318</v>
      </c>
      <c r="E23" s="196" t="s">
        <v>319</v>
      </c>
      <c r="F23" s="196">
        <v>946</v>
      </c>
      <c r="G23" s="196" t="s">
        <v>320</v>
      </c>
      <c r="H23" s="196"/>
      <c r="I23" s="196">
        <v>91176</v>
      </c>
      <c r="J23" s="196">
        <v>2026</v>
      </c>
      <c r="K23" s="196">
        <v>1012038</v>
      </c>
      <c r="L23" s="196" t="s">
        <v>398</v>
      </c>
      <c r="M23" s="196" t="s">
        <v>323</v>
      </c>
      <c r="N23" s="196" t="s">
        <v>332</v>
      </c>
      <c r="O23" s="196" t="s">
        <v>399</v>
      </c>
      <c r="P23" s="196" t="s">
        <v>400</v>
      </c>
      <c r="Q23" s="196" t="s">
        <v>326</v>
      </c>
      <c r="R23" s="196" t="s">
        <v>345</v>
      </c>
      <c r="S23" s="196" t="s">
        <v>328</v>
      </c>
      <c r="T23" s="197" t="s">
        <v>352</v>
      </c>
      <c r="U23" s="198">
        <v>0</v>
      </c>
      <c r="V23" s="198">
        <v>3575553</v>
      </c>
      <c r="W23" s="198">
        <v>0</v>
      </c>
      <c r="X23" s="198">
        <v>3575553</v>
      </c>
      <c r="Y23" s="197" t="s">
        <v>401</v>
      </c>
    </row>
    <row r="24" spans="1:25">
      <c r="A24" s="196" t="s">
        <v>317</v>
      </c>
      <c r="B24" s="196" t="s">
        <v>25</v>
      </c>
      <c r="C24" s="196" t="s">
        <v>25</v>
      </c>
      <c r="D24" s="196" t="s">
        <v>318</v>
      </c>
      <c r="E24" s="196" t="s">
        <v>319</v>
      </c>
      <c r="F24" s="196">
        <v>805</v>
      </c>
      <c r="G24" s="196" t="s">
        <v>337</v>
      </c>
      <c r="H24" s="196"/>
      <c r="I24" s="196">
        <v>83718</v>
      </c>
      <c r="J24" s="196">
        <v>2022</v>
      </c>
      <c r="K24" s="196">
        <v>1011493</v>
      </c>
      <c r="L24" s="196" t="s">
        <v>82</v>
      </c>
      <c r="M24" s="196" t="s">
        <v>338</v>
      </c>
      <c r="N24" s="196" t="s">
        <v>339</v>
      </c>
      <c r="O24" s="196" t="s">
        <v>402</v>
      </c>
      <c r="P24" s="196" t="s">
        <v>403</v>
      </c>
      <c r="Q24" s="196" t="s">
        <v>326</v>
      </c>
      <c r="R24" s="196" t="s">
        <v>404</v>
      </c>
      <c r="S24" s="196" t="s">
        <v>328</v>
      </c>
      <c r="T24" s="197" t="s">
        <v>364</v>
      </c>
      <c r="U24" s="198">
        <v>0</v>
      </c>
      <c r="V24" s="198">
        <v>0</v>
      </c>
      <c r="W24" s="198">
        <v>0</v>
      </c>
      <c r="X24" s="198">
        <v>0</v>
      </c>
      <c r="Y24" s="197" t="s">
        <v>405</v>
      </c>
    </row>
    <row r="25" spans="1:25">
      <c r="A25" s="196" t="s">
        <v>317</v>
      </c>
      <c r="B25" s="196" t="s">
        <v>25</v>
      </c>
      <c r="C25" s="196" t="s">
        <v>25</v>
      </c>
      <c r="D25" s="196" t="s">
        <v>318</v>
      </c>
      <c r="E25" s="196" t="s">
        <v>319</v>
      </c>
      <c r="F25" s="196">
        <v>805</v>
      </c>
      <c r="G25" s="196" t="s">
        <v>337</v>
      </c>
      <c r="H25" s="196"/>
      <c r="I25" s="196">
        <v>83811</v>
      </c>
      <c r="J25" s="196">
        <v>2022</v>
      </c>
      <c r="K25" s="196">
        <v>1011493</v>
      </c>
      <c r="L25" s="196" t="s">
        <v>82</v>
      </c>
      <c r="M25" s="196" t="s">
        <v>338</v>
      </c>
      <c r="N25" s="196" t="s">
        <v>339</v>
      </c>
      <c r="O25" s="196" t="s">
        <v>406</v>
      </c>
      <c r="P25" s="196" t="s">
        <v>407</v>
      </c>
      <c r="Q25" s="196" t="s">
        <v>326</v>
      </c>
      <c r="R25" s="196" t="s">
        <v>408</v>
      </c>
      <c r="S25" s="196" t="s">
        <v>328</v>
      </c>
      <c r="T25" s="197" t="s">
        <v>364</v>
      </c>
      <c r="U25" s="198">
        <v>549787</v>
      </c>
      <c r="V25" s="198">
        <v>0</v>
      </c>
      <c r="W25" s="198">
        <v>0</v>
      </c>
      <c r="X25" s="198">
        <v>549787</v>
      </c>
      <c r="Y25" s="197" t="s">
        <v>409</v>
      </c>
    </row>
    <row r="26" spans="1:25">
      <c r="A26" s="196" t="s">
        <v>317</v>
      </c>
      <c r="B26" s="196" t="s">
        <v>25</v>
      </c>
      <c r="C26" s="196" t="s">
        <v>25</v>
      </c>
      <c r="D26" s="196" t="s">
        <v>318</v>
      </c>
      <c r="E26" s="196" t="s">
        <v>319</v>
      </c>
      <c r="F26" s="196">
        <v>946</v>
      </c>
      <c r="G26" s="196" t="s">
        <v>320</v>
      </c>
      <c r="H26" s="196"/>
      <c r="I26" s="196">
        <v>86907</v>
      </c>
      <c r="J26" s="196">
        <v>2024</v>
      </c>
      <c r="K26" s="196">
        <v>3000528</v>
      </c>
      <c r="L26" s="196" t="s">
        <v>410</v>
      </c>
      <c r="M26" s="196" t="s">
        <v>322</v>
      </c>
      <c r="N26" s="196" t="s">
        <v>323</v>
      </c>
      <c r="O26" s="196" t="s">
        <v>411</v>
      </c>
      <c r="P26" s="196" t="s">
        <v>412</v>
      </c>
      <c r="Q26" s="196" t="s">
        <v>326</v>
      </c>
      <c r="R26" s="196" t="s">
        <v>351</v>
      </c>
      <c r="S26" s="196" t="s">
        <v>328</v>
      </c>
      <c r="T26" s="197" t="s">
        <v>329</v>
      </c>
      <c r="U26" s="198">
        <v>596310</v>
      </c>
      <c r="V26" s="198">
        <v>0</v>
      </c>
      <c r="W26" s="198">
        <v>0</v>
      </c>
      <c r="X26" s="198">
        <v>596310</v>
      </c>
      <c r="Y26" s="197" t="s">
        <v>413</v>
      </c>
    </row>
    <row r="27" spans="1:25">
      <c r="A27" s="196" t="s">
        <v>317</v>
      </c>
      <c r="B27" s="196" t="s">
        <v>25</v>
      </c>
      <c r="C27" s="196" t="s">
        <v>25</v>
      </c>
      <c r="D27" s="196" t="s">
        <v>318</v>
      </c>
      <c r="E27" s="196" t="s">
        <v>319</v>
      </c>
      <c r="F27" s="196">
        <v>946</v>
      </c>
      <c r="G27" s="196" t="s">
        <v>320</v>
      </c>
      <c r="H27" s="196"/>
      <c r="I27" s="196">
        <v>87735</v>
      </c>
      <c r="J27" s="196">
        <v>2024</v>
      </c>
      <c r="K27" s="196">
        <v>3000528</v>
      </c>
      <c r="L27" s="196" t="s">
        <v>398</v>
      </c>
      <c r="M27" s="196" t="s">
        <v>322</v>
      </c>
      <c r="N27" s="196" t="s">
        <v>323</v>
      </c>
      <c r="O27" s="196" t="s">
        <v>414</v>
      </c>
      <c r="P27" s="196" t="s">
        <v>415</v>
      </c>
      <c r="Q27" s="196" t="s">
        <v>326</v>
      </c>
      <c r="R27" s="196" t="s">
        <v>345</v>
      </c>
      <c r="S27" s="196" t="s">
        <v>328</v>
      </c>
      <c r="T27" s="197" t="s">
        <v>329</v>
      </c>
      <c r="U27" s="198">
        <v>1040230</v>
      </c>
      <c r="V27" s="198">
        <v>0</v>
      </c>
      <c r="W27" s="198">
        <v>0</v>
      </c>
      <c r="X27" s="198">
        <v>1040230</v>
      </c>
      <c r="Y27" s="197" t="s">
        <v>416</v>
      </c>
    </row>
    <row r="28" spans="1:25">
      <c r="A28" s="196" t="s">
        <v>317</v>
      </c>
      <c r="B28" s="196" t="s">
        <v>25</v>
      </c>
      <c r="C28" s="196" t="s">
        <v>25</v>
      </c>
      <c r="D28" s="196" t="s">
        <v>318</v>
      </c>
      <c r="E28" s="196" t="s">
        <v>319</v>
      </c>
      <c r="F28" s="196">
        <v>946</v>
      </c>
      <c r="G28" s="196" t="s">
        <v>320</v>
      </c>
      <c r="H28" s="196"/>
      <c r="I28" s="196">
        <v>90376</v>
      </c>
      <c r="J28" s="196">
        <v>2025</v>
      </c>
      <c r="K28" s="196">
        <v>1012038</v>
      </c>
      <c r="L28" s="196" t="s">
        <v>359</v>
      </c>
      <c r="M28" s="196" t="s">
        <v>323</v>
      </c>
      <c r="N28" s="196" t="s">
        <v>332</v>
      </c>
      <c r="O28" s="196" t="s">
        <v>417</v>
      </c>
      <c r="P28" s="196" t="s">
        <v>418</v>
      </c>
      <c r="Q28" s="196" t="s">
        <v>326</v>
      </c>
      <c r="R28" s="196" t="s">
        <v>419</v>
      </c>
      <c r="S28" s="196" t="s">
        <v>366</v>
      </c>
      <c r="T28" s="197" t="s">
        <v>329</v>
      </c>
      <c r="U28" s="198">
        <v>7491050</v>
      </c>
      <c r="V28" s="198">
        <v>0</v>
      </c>
      <c r="W28" s="198">
        <v>0</v>
      </c>
      <c r="X28" s="198">
        <v>7491050</v>
      </c>
      <c r="Y28" s="197" t="s">
        <v>420</v>
      </c>
    </row>
    <row r="29" spans="1:25">
      <c r="A29" s="196" t="s">
        <v>317</v>
      </c>
      <c r="B29" s="196" t="s">
        <v>25</v>
      </c>
      <c r="C29" s="196" t="s">
        <v>25</v>
      </c>
      <c r="D29" s="196" t="s">
        <v>318</v>
      </c>
      <c r="E29" s="196" t="s">
        <v>319</v>
      </c>
      <c r="F29" s="196">
        <v>946</v>
      </c>
      <c r="G29" s="196" t="s">
        <v>320</v>
      </c>
      <c r="H29" s="196"/>
      <c r="I29" s="196">
        <v>89638</v>
      </c>
      <c r="J29" s="196">
        <v>2025</v>
      </c>
      <c r="K29" s="196">
        <v>1012037</v>
      </c>
      <c r="L29" s="196" t="s">
        <v>82</v>
      </c>
      <c r="M29" s="196" t="s">
        <v>331</v>
      </c>
      <c r="N29" s="196" t="s">
        <v>332</v>
      </c>
      <c r="O29" s="196" t="s">
        <v>421</v>
      </c>
      <c r="P29" s="196" t="s">
        <v>422</v>
      </c>
      <c r="Q29" s="196" t="s">
        <v>326</v>
      </c>
      <c r="R29" s="196" t="s">
        <v>378</v>
      </c>
      <c r="S29" s="196" t="s">
        <v>328</v>
      </c>
      <c r="T29" s="197" t="s">
        <v>329</v>
      </c>
      <c r="U29" s="198">
        <v>1428863</v>
      </c>
      <c r="V29" s="198">
        <v>0</v>
      </c>
      <c r="W29" s="198">
        <v>0</v>
      </c>
      <c r="X29" s="198">
        <v>1428863</v>
      </c>
      <c r="Y29" s="197" t="s">
        <v>423</v>
      </c>
    </row>
    <row r="30" spans="1:25">
      <c r="A30" s="196" t="s">
        <v>317</v>
      </c>
      <c r="B30" s="196" t="s">
        <v>25</v>
      </c>
      <c r="C30" s="196" t="s">
        <v>25</v>
      </c>
      <c r="D30" s="196" t="s">
        <v>318</v>
      </c>
      <c r="E30" s="196" t="s">
        <v>319</v>
      </c>
      <c r="F30" s="196">
        <v>946</v>
      </c>
      <c r="G30" s="196" t="s">
        <v>320</v>
      </c>
      <c r="H30" s="196"/>
      <c r="I30" s="196">
        <v>92116</v>
      </c>
      <c r="J30" s="196">
        <v>2026</v>
      </c>
      <c r="K30" s="196">
        <v>1012037</v>
      </c>
      <c r="L30" s="196" t="s">
        <v>359</v>
      </c>
      <c r="M30" s="196" t="s">
        <v>332</v>
      </c>
      <c r="N30" s="196" t="s">
        <v>348</v>
      </c>
      <c r="O30" s="196" t="s">
        <v>424</v>
      </c>
      <c r="P30" s="196" t="s">
        <v>425</v>
      </c>
      <c r="Q30" s="196" t="s">
        <v>326</v>
      </c>
      <c r="R30" s="196" t="s">
        <v>335</v>
      </c>
      <c r="S30" s="196" t="s">
        <v>328</v>
      </c>
      <c r="T30" s="197" t="s">
        <v>352</v>
      </c>
      <c r="U30" s="198">
        <v>0</v>
      </c>
      <c r="V30" s="198">
        <v>664756</v>
      </c>
      <c r="W30" s="198">
        <v>0</v>
      </c>
      <c r="X30" s="198">
        <v>664756</v>
      </c>
      <c r="Y30" s="197" t="s">
        <v>426</v>
      </c>
    </row>
    <row r="31" spans="1:25">
      <c r="A31" s="196" t="s">
        <v>317</v>
      </c>
      <c r="B31" s="196" t="s">
        <v>25</v>
      </c>
      <c r="C31" s="196" t="s">
        <v>25</v>
      </c>
      <c r="D31" s="196" t="s">
        <v>318</v>
      </c>
      <c r="E31" s="196" t="s">
        <v>319</v>
      </c>
      <c r="F31" s="196">
        <v>805</v>
      </c>
      <c r="G31" s="196" t="s">
        <v>337</v>
      </c>
      <c r="H31" s="196"/>
      <c r="I31" s="196">
        <v>82614</v>
      </c>
      <c r="J31" s="196">
        <v>2021</v>
      </c>
      <c r="K31" s="196">
        <v>1011493</v>
      </c>
      <c r="L31" s="196" t="s">
        <v>82</v>
      </c>
      <c r="M31" s="196" t="s">
        <v>338</v>
      </c>
      <c r="N31" s="196" t="s">
        <v>339</v>
      </c>
      <c r="O31" s="196" t="s">
        <v>427</v>
      </c>
      <c r="P31" s="196" t="s">
        <v>428</v>
      </c>
      <c r="Q31" s="196" t="s">
        <v>326</v>
      </c>
      <c r="R31" s="196" t="s">
        <v>429</v>
      </c>
      <c r="S31" s="196" t="s">
        <v>328</v>
      </c>
      <c r="T31" s="197" t="s">
        <v>364</v>
      </c>
      <c r="U31" s="198">
        <v>2832632</v>
      </c>
      <c r="V31" s="198">
        <v>0</v>
      </c>
      <c r="W31" s="198">
        <v>0</v>
      </c>
      <c r="X31" s="198">
        <v>2832632</v>
      </c>
      <c r="Y31" s="197" t="s">
        <v>430</v>
      </c>
    </row>
    <row r="32" spans="1:25">
      <c r="A32" s="196" t="s">
        <v>317</v>
      </c>
      <c r="B32" s="196" t="s">
        <v>25</v>
      </c>
      <c r="C32" s="196" t="s">
        <v>25</v>
      </c>
      <c r="D32" s="196" t="s">
        <v>318</v>
      </c>
      <c r="E32" s="196" t="s">
        <v>319</v>
      </c>
      <c r="F32" s="196">
        <v>805</v>
      </c>
      <c r="G32" s="196" t="s">
        <v>337</v>
      </c>
      <c r="H32" s="196"/>
      <c r="I32" s="196">
        <v>83591</v>
      </c>
      <c r="J32" s="196">
        <v>2022</v>
      </c>
      <c r="K32" s="196">
        <v>1011493</v>
      </c>
      <c r="L32" s="196" t="s">
        <v>82</v>
      </c>
      <c r="M32" s="196" t="s">
        <v>338</v>
      </c>
      <c r="N32" s="196" t="s">
        <v>339</v>
      </c>
      <c r="O32" s="196" t="s">
        <v>431</v>
      </c>
      <c r="P32" s="196" t="s">
        <v>432</v>
      </c>
      <c r="Q32" s="196" t="s">
        <v>326</v>
      </c>
      <c r="R32" s="196" t="s">
        <v>433</v>
      </c>
      <c r="S32" s="196" t="s">
        <v>366</v>
      </c>
      <c r="T32" s="197" t="s">
        <v>364</v>
      </c>
      <c r="U32" s="198">
        <v>0</v>
      </c>
      <c r="V32" s="198">
        <v>0</v>
      </c>
      <c r="W32" s="198">
        <v>0</v>
      </c>
      <c r="X32" s="198">
        <v>0</v>
      </c>
      <c r="Y32" s="197" t="s">
        <v>434</v>
      </c>
    </row>
    <row r="33" spans="1:25">
      <c r="A33" s="196" t="s">
        <v>317</v>
      </c>
      <c r="B33" s="196" t="s">
        <v>25</v>
      </c>
      <c r="C33" s="196" t="s">
        <v>25</v>
      </c>
      <c r="D33" s="196" t="s">
        <v>318</v>
      </c>
      <c r="E33" s="196" t="s">
        <v>319</v>
      </c>
      <c r="F33" s="196">
        <v>805</v>
      </c>
      <c r="G33" s="196" t="s">
        <v>337</v>
      </c>
      <c r="H33" s="196"/>
      <c r="I33" s="196">
        <v>83897</v>
      </c>
      <c r="J33" s="196">
        <v>2022</v>
      </c>
      <c r="K33" s="196">
        <v>1011493</v>
      </c>
      <c r="L33" s="196" t="s">
        <v>82</v>
      </c>
      <c r="M33" s="196" t="s">
        <v>338</v>
      </c>
      <c r="N33" s="196" t="s">
        <v>339</v>
      </c>
      <c r="O33" s="196" t="s">
        <v>435</v>
      </c>
      <c r="P33" s="196" t="s">
        <v>436</v>
      </c>
      <c r="Q33" s="196" t="s">
        <v>326</v>
      </c>
      <c r="R33" s="196" t="s">
        <v>437</v>
      </c>
      <c r="S33" s="196" t="s">
        <v>328</v>
      </c>
      <c r="T33" s="197" t="s">
        <v>329</v>
      </c>
      <c r="U33" s="198">
        <v>2586123</v>
      </c>
      <c r="V33" s="198">
        <v>0</v>
      </c>
      <c r="W33" s="198">
        <v>0</v>
      </c>
      <c r="X33" s="198">
        <v>2586123</v>
      </c>
      <c r="Y33" s="197" t="s">
        <v>438</v>
      </c>
    </row>
    <row r="34" spans="1:25">
      <c r="A34" s="196" t="s">
        <v>317</v>
      </c>
      <c r="B34" s="196" t="s">
        <v>25</v>
      </c>
      <c r="C34" s="196" t="s">
        <v>25</v>
      </c>
      <c r="D34" s="196" t="s">
        <v>318</v>
      </c>
      <c r="E34" s="196" t="s">
        <v>319</v>
      </c>
      <c r="F34" s="196">
        <v>805</v>
      </c>
      <c r="G34" s="196" t="s">
        <v>337</v>
      </c>
      <c r="H34" s="196"/>
      <c r="I34" s="196">
        <v>84120</v>
      </c>
      <c r="J34" s="196">
        <v>2022</v>
      </c>
      <c r="K34" s="196">
        <v>1011493</v>
      </c>
      <c r="L34" s="196" t="s">
        <v>82</v>
      </c>
      <c r="M34" s="196" t="s">
        <v>338</v>
      </c>
      <c r="N34" s="196" t="s">
        <v>339</v>
      </c>
      <c r="O34" s="196" t="s">
        <v>439</v>
      </c>
      <c r="P34" s="196" t="s">
        <v>440</v>
      </c>
      <c r="Q34" s="196" t="s">
        <v>326</v>
      </c>
      <c r="R34" s="196" t="s">
        <v>441</v>
      </c>
      <c r="S34" s="196" t="s">
        <v>328</v>
      </c>
      <c r="T34" s="197" t="s">
        <v>329</v>
      </c>
      <c r="U34" s="198">
        <v>2184988</v>
      </c>
      <c r="V34" s="198">
        <v>0</v>
      </c>
      <c r="W34" s="198">
        <v>0</v>
      </c>
      <c r="X34" s="198">
        <v>2184988</v>
      </c>
      <c r="Y34" s="197" t="s">
        <v>442</v>
      </c>
    </row>
    <row r="35" spans="1:25">
      <c r="A35" s="196" t="s">
        <v>317</v>
      </c>
      <c r="B35" s="196" t="s">
        <v>25</v>
      </c>
      <c r="C35" s="196" t="s">
        <v>25</v>
      </c>
      <c r="D35" s="196" t="s">
        <v>318</v>
      </c>
      <c r="E35" s="196" t="s">
        <v>319</v>
      </c>
      <c r="F35" s="196">
        <v>946</v>
      </c>
      <c r="G35" s="196" t="s">
        <v>320</v>
      </c>
      <c r="H35" s="196"/>
      <c r="I35" s="196">
        <v>90467</v>
      </c>
      <c r="J35" s="196">
        <v>2025</v>
      </c>
      <c r="K35" s="196">
        <v>1012038</v>
      </c>
      <c r="L35" s="196" t="s">
        <v>443</v>
      </c>
      <c r="M35" s="196" t="s">
        <v>323</v>
      </c>
      <c r="N35" s="196" t="s">
        <v>332</v>
      </c>
      <c r="O35" s="196" t="s">
        <v>444</v>
      </c>
      <c r="P35" s="196" t="s">
        <v>445</v>
      </c>
      <c r="Q35" s="196" t="s">
        <v>326</v>
      </c>
      <c r="R35" s="196" t="s">
        <v>446</v>
      </c>
      <c r="S35" s="196" t="s">
        <v>328</v>
      </c>
      <c r="T35" s="197" t="s">
        <v>329</v>
      </c>
      <c r="U35" s="198">
        <v>2237204</v>
      </c>
      <c r="V35" s="198">
        <v>0</v>
      </c>
      <c r="W35" s="198">
        <v>0</v>
      </c>
      <c r="X35" s="198">
        <v>2237204</v>
      </c>
      <c r="Y35" s="197" t="s">
        <v>447</v>
      </c>
    </row>
    <row r="36" spans="1:25">
      <c r="A36" s="196" t="s">
        <v>317</v>
      </c>
      <c r="B36" s="196" t="s">
        <v>25</v>
      </c>
      <c r="C36" s="196" t="s">
        <v>25</v>
      </c>
      <c r="D36" s="196" t="s">
        <v>318</v>
      </c>
      <c r="E36" s="196" t="s">
        <v>319</v>
      </c>
      <c r="F36" s="196">
        <v>946</v>
      </c>
      <c r="G36" s="196" t="s">
        <v>320</v>
      </c>
      <c r="H36" s="196"/>
      <c r="I36" s="196">
        <v>86633</v>
      </c>
      <c r="J36" s="196">
        <v>2024</v>
      </c>
      <c r="K36" s="196">
        <v>3000528</v>
      </c>
      <c r="L36" s="196" t="s">
        <v>82</v>
      </c>
      <c r="M36" s="196" t="s">
        <v>322</v>
      </c>
      <c r="N36" s="196" t="s">
        <v>323</v>
      </c>
      <c r="O36" s="196" t="s">
        <v>448</v>
      </c>
      <c r="P36" s="196" t="s">
        <v>449</v>
      </c>
      <c r="Q36" s="196" t="s">
        <v>326</v>
      </c>
      <c r="R36" s="196" t="s">
        <v>362</v>
      </c>
      <c r="S36" s="196" t="s">
        <v>328</v>
      </c>
      <c r="T36" s="197" t="s">
        <v>352</v>
      </c>
      <c r="U36" s="198">
        <v>0</v>
      </c>
      <c r="V36" s="198">
        <v>1691755</v>
      </c>
      <c r="W36" s="198">
        <v>0</v>
      </c>
      <c r="X36" s="198">
        <v>1691755</v>
      </c>
      <c r="Y36" s="197" t="s">
        <v>450</v>
      </c>
    </row>
    <row r="37" spans="1:25">
      <c r="A37" s="196" t="s">
        <v>317</v>
      </c>
      <c r="B37" s="196" t="s">
        <v>457</v>
      </c>
      <c r="C37" s="196" t="s">
        <v>142</v>
      </c>
      <c r="D37" s="196" t="s">
        <v>318</v>
      </c>
      <c r="E37" s="196" t="s">
        <v>319</v>
      </c>
      <c r="F37" s="196">
        <v>946</v>
      </c>
      <c r="G37" s="196" t="s">
        <v>320</v>
      </c>
      <c r="H37" s="196"/>
      <c r="I37" s="196">
        <v>32641</v>
      </c>
      <c r="J37" s="196">
        <v>2025</v>
      </c>
      <c r="K37" s="196">
        <v>1009627</v>
      </c>
      <c r="L37" s="196" t="s">
        <v>82</v>
      </c>
      <c r="M37" s="196" t="s">
        <v>458</v>
      </c>
      <c r="N37" s="196" t="s">
        <v>331</v>
      </c>
      <c r="O37" s="196" t="s">
        <v>459</v>
      </c>
      <c r="P37" s="196" t="s">
        <v>460</v>
      </c>
      <c r="Q37" s="196" t="s">
        <v>461</v>
      </c>
      <c r="R37" s="196" t="s">
        <v>462</v>
      </c>
      <c r="S37" s="196" t="s">
        <v>463</v>
      </c>
      <c r="T37" s="197" t="s">
        <v>329</v>
      </c>
      <c r="U37" s="198">
        <v>20000000</v>
      </c>
      <c r="V37" s="198">
        <v>0</v>
      </c>
      <c r="W37" s="198">
        <v>0</v>
      </c>
      <c r="X37" s="198">
        <v>20000000</v>
      </c>
      <c r="Y37" s="197" t="s">
        <v>464</v>
      </c>
    </row>
    <row r="38" spans="1:25">
      <c r="A38" s="196" t="s">
        <v>317</v>
      </c>
      <c r="B38" s="196" t="s">
        <v>457</v>
      </c>
      <c r="C38" s="196" t="s">
        <v>142</v>
      </c>
      <c r="D38" s="196" t="s">
        <v>318</v>
      </c>
      <c r="E38" s="196" t="s">
        <v>319</v>
      </c>
      <c r="F38" s="196">
        <v>946</v>
      </c>
      <c r="G38" s="196" t="s">
        <v>320</v>
      </c>
      <c r="H38" s="196"/>
      <c r="I38" s="196">
        <v>32485</v>
      </c>
      <c r="J38" s="196">
        <v>2025</v>
      </c>
      <c r="K38" s="196">
        <v>1009627</v>
      </c>
      <c r="L38" s="196" t="s">
        <v>82</v>
      </c>
      <c r="M38" s="196" t="s">
        <v>458</v>
      </c>
      <c r="N38" s="196" t="s">
        <v>331</v>
      </c>
      <c r="O38" s="196" t="s">
        <v>465</v>
      </c>
      <c r="P38" s="196" t="s">
        <v>466</v>
      </c>
      <c r="Q38" s="196" t="s">
        <v>461</v>
      </c>
      <c r="R38" s="196" t="s">
        <v>462</v>
      </c>
      <c r="S38" s="196" t="s">
        <v>463</v>
      </c>
      <c r="T38" s="197" t="s">
        <v>329</v>
      </c>
      <c r="U38" s="198">
        <v>7500000</v>
      </c>
      <c r="V38" s="198">
        <v>0</v>
      </c>
      <c r="W38" s="198">
        <v>0</v>
      </c>
      <c r="X38" s="198">
        <v>7500000</v>
      </c>
      <c r="Y38" s="197" t="s">
        <v>467</v>
      </c>
    </row>
    <row r="39" spans="1:25">
      <c r="A39" s="196" t="s">
        <v>317</v>
      </c>
      <c r="B39" s="196" t="s">
        <v>457</v>
      </c>
      <c r="C39" s="196" t="s">
        <v>142</v>
      </c>
      <c r="D39" s="196" t="s">
        <v>318</v>
      </c>
      <c r="E39" s="196" t="s">
        <v>319</v>
      </c>
      <c r="F39" s="196">
        <v>946</v>
      </c>
      <c r="G39" s="196" t="s">
        <v>320</v>
      </c>
      <c r="H39" s="196"/>
      <c r="I39" s="196">
        <v>32511</v>
      </c>
      <c r="J39" s="196">
        <v>2025</v>
      </c>
      <c r="K39" s="196">
        <v>1009627</v>
      </c>
      <c r="L39" s="196" t="s">
        <v>82</v>
      </c>
      <c r="M39" s="196" t="s">
        <v>458</v>
      </c>
      <c r="N39" s="196" t="s">
        <v>331</v>
      </c>
      <c r="O39" s="196" t="s">
        <v>468</v>
      </c>
      <c r="P39" s="196" t="s">
        <v>466</v>
      </c>
      <c r="Q39" s="196" t="s">
        <v>461</v>
      </c>
      <c r="R39" s="196" t="s">
        <v>462</v>
      </c>
      <c r="S39" s="196" t="s">
        <v>463</v>
      </c>
      <c r="T39" s="197" t="s">
        <v>329</v>
      </c>
      <c r="U39" s="198">
        <v>7500000</v>
      </c>
      <c r="V39" s="198">
        <v>0</v>
      </c>
      <c r="W39" s="198">
        <v>0</v>
      </c>
      <c r="X39" s="198">
        <v>7500000</v>
      </c>
      <c r="Y39" s="197" t="s">
        <v>469</v>
      </c>
    </row>
    <row r="40" spans="1:25">
      <c r="A40" s="196" t="s">
        <v>317</v>
      </c>
      <c r="B40" s="196" t="s">
        <v>457</v>
      </c>
      <c r="C40" s="196" t="s">
        <v>142</v>
      </c>
      <c r="D40" s="196" t="s">
        <v>318</v>
      </c>
      <c r="E40" s="196" t="s">
        <v>319</v>
      </c>
      <c r="F40" s="196">
        <v>946</v>
      </c>
      <c r="G40" s="196" t="s">
        <v>320</v>
      </c>
      <c r="H40" s="196"/>
      <c r="I40" s="196">
        <v>32639</v>
      </c>
      <c r="J40" s="196">
        <v>2025</v>
      </c>
      <c r="K40" s="196">
        <v>1009627</v>
      </c>
      <c r="L40" s="196" t="s">
        <v>82</v>
      </c>
      <c r="M40" s="196" t="s">
        <v>458</v>
      </c>
      <c r="N40" s="196" t="s">
        <v>331</v>
      </c>
      <c r="O40" s="196" t="s">
        <v>470</v>
      </c>
      <c r="P40" s="196" t="s">
        <v>460</v>
      </c>
      <c r="Q40" s="196" t="s">
        <v>461</v>
      </c>
      <c r="R40" s="196" t="s">
        <v>462</v>
      </c>
      <c r="S40" s="196" t="s">
        <v>463</v>
      </c>
      <c r="T40" s="197" t="s">
        <v>471</v>
      </c>
      <c r="U40" s="198">
        <v>10000000</v>
      </c>
      <c r="V40" s="198">
        <v>10000000</v>
      </c>
      <c r="W40" s="198">
        <v>0</v>
      </c>
      <c r="X40" s="198">
        <v>20000000</v>
      </c>
      <c r="Y40" s="197" t="s">
        <v>472</v>
      </c>
    </row>
    <row r="41" spans="1:25">
      <c r="A41" s="196" t="s">
        <v>317</v>
      </c>
      <c r="B41" s="196" t="s">
        <v>457</v>
      </c>
      <c r="C41" s="196" t="s">
        <v>142</v>
      </c>
      <c r="D41" s="196" t="s">
        <v>318</v>
      </c>
      <c r="E41" s="196" t="s">
        <v>319</v>
      </c>
      <c r="F41" s="196">
        <v>946</v>
      </c>
      <c r="G41" s="196" t="s">
        <v>320</v>
      </c>
      <c r="H41" s="196"/>
      <c r="I41" s="196">
        <v>32640</v>
      </c>
      <c r="J41" s="196">
        <v>2025</v>
      </c>
      <c r="K41" s="196">
        <v>1009627</v>
      </c>
      <c r="L41" s="196" t="s">
        <v>82</v>
      </c>
      <c r="M41" s="196" t="s">
        <v>458</v>
      </c>
      <c r="N41" s="196" t="s">
        <v>331</v>
      </c>
      <c r="O41" s="196" t="s">
        <v>473</v>
      </c>
      <c r="P41" s="196" t="s">
        <v>460</v>
      </c>
      <c r="Q41" s="196" t="s">
        <v>461</v>
      </c>
      <c r="R41" s="196" t="s">
        <v>462</v>
      </c>
      <c r="S41" s="196" t="s">
        <v>463</v>
      </c>
      <c r="T41" s="197" t="s">
        <v>471</v>
      </c>
      <c r="U41" s="198">
        <v>10000000</v>
      </c>
      <c r="V41" s="198">
        <v>10000000</v>
      </c>
      <c r="W41" s="198">
        <v>0</v>
      </c>
      <c r="X41" s="198">
        <v>20000000</v>
      </c>
      <c r="Y41" s="197" t="s">
        <v>474</v>
      </c>
    </row>
    <row r="42" spans="1:25">
      <c r="A42" s="196" t="s">
        <v>317</v>
      </c>
      <c r="B42" s="196" t="s">
        <v>457</v>
      </c>
      <c r="C42" s="196" t="s">
        <v>142</v>
      </c>
      <c r="D42" s="196" t="s">
        <v>318</v>
      </c>
      <c r="E42" s="196" t="s">
        <v>319</v>
      </c>
      <c r="F42" s="196">
        <v>946</v>
      </c>
      <c r="G42" s="196" t="s">
        <v>320</v>
      </c>
      <c r="H42" s="196"/>
      <c r="I42" s="196">
        <v>32568</v>
      </c>
      <c r="J42" s="196">
        <v>2025</v>
      </c>
      <c r="K42" s="196">
        <v>1009627</v>
      </c>
      <c r="L42" s="196" t="s">
        <v>82</v>
      </c>
      <c r="M42" s="196" t="s">
        <v>458</v>
      </c>
      <c r="N42" s="196" t="s">
        <v>331</v>
      </c>
      <c r="O42" s="196" t="s">
        <v>475</v>
      </c>
      <c r="P42" s="196" t="s">
        <v>476</v>
      </c>
      <c r="Q42" s="196" t="s">
        <v>461</v>
      </c>
      <c r="R42" s="196" t="s">
        <v>462</v>
      </c>
      <c r="S42" s="196" t="s">
        <v>463</v>
      </c>
      <c r="T42" s="197" t="s">
        <v>471</v>
      </c>
      <c r="U42" s="198">
        <v>10000000</v>
      </c>
      <c r="V42" s="198">
        <v>10000000</v>
      </c>
      <c r="W42" s="198">
        <v>0</v>
      </c>
      <c r="X42" s="198">
        <v>20000000</v>
      </c>
      <c r="Y42" s="197" t="s">
        <v>477</v>
      </c>
    </row>
    <row r="43" spans="1:25">
      <c r="A43" s="196" t="s">
        <v>317</v>
      </c>
      <c r="B43" s="196" t="s">
        <v>457</v>
      </c>
      <c r="C43" s="196" t="s">
        <v>142</v>
      </c>
      <c r="D43" s="196" t="s">
        <v>318</v>
      </c>
      <c r="E43" s="196" t="s">
        <v>319</v>
      </c>
      <c r="F43" s="196">
        <v>946</v>
      </c>
      <c r="G43" s="196" t="s">
        <v>320</v>
      </c>
      <c r="H43" s="196"/>
      <c r="I43" s="196">
        <v>32586</v>
      </c>
      <c r="J43" s="196">
        <v>2025</v>
      </c>
      <c r="K43" s="196">
        <v>1009627</v>
      </c>
      <c r="L43" s="196" t="s">
        <v>82</v>
      </c>
      <c r="M43" s="196" t="s">
        <v>458</v>
      </c>
      <c r="N43" s="196" t="s">
        <v>331</v>
      </c>
      <c r="O43" s="196" t="s">
        <v>478</v>
      </c>
      <c r="P43" s="196" t="s">
        <v>479</v>
      </c>
      <c r="Q43" s="196" t="s">
        <v>461</v>
      </c>
      <c r="R43" s="196" t="s">
        <v>462</v>
      </c>
      <c r="S43" s="196" t="s">
        <v>463</v>
      </c>
      <c r="T43" s="197" t="s">
        <v>471</v>
      </c>
      <c r="U43" s="198">
        <v>10000000</v>
      </c>
      <c r="V43" s="198">
        <v>10000000</v>
      </c>
      <c r="W43" s="198">
        <v>0</v>
      </c>
      <c r="X43" s="198">
        <v>20000000</v>
      </c>
      <c r="Y43" s="197" t="s">
        <v>480</v>
      </c>
    </row>
    <row r="44" spans="1:25">
      <c r="A44" s="196" t="s">
        <v>317</v>
      </c>
      <c r="B44" s="196" t="s">
        <v>457</v>
      </c>
      <c r="C44" s="196" t="s">
        <v>142</v>
      </c>
      <c r="D44" s="196" t="s">
        <v>318</v>
      </c>
      <c r="E44" s="196" t="s">
        <v>319</v>
      </c>
      <c r="F44" s="196">
        <v>805</v>
      </c>
      <c r="G44" s="196" t="s">
        <v>337</v>
      </c>
      <c r="H44" s="196"/>
      <c r="I44" s="196">
        <v>29826</v>
      </c>
      <c r="J44" s="196">
        <v>2021</v>
      </c>
      <c r="K44" s="196">
        <v>1007632</v>
      </c>
      <c r="L44" s="196" t="s">
        <v>82</v>
      </c>
      <c r="M44" s="196" t="s">
        <v>481</v>
      </c>
      <c r="N44" s="196" t="s">
        <v>482</v>
      </c>
      <c r="O44" s="196" t="s">
        <v>483</v>
      </c>
      <c r="P44" s="196" t="s">
        <v>484</v>
      </c>
      <c r="Q44" s="196" t="s">
        <v>461</v>
      </c>
      <c r="R44" s="196" t="s">
        <v>485</v>
      </c>
      <c r="S44" s="196" t="s">
        <v>463</v>
      </c>
      <c r="T44" s="197" t="s">
        <v>352</v>
      </c>
      <c r="U44" s="198">
        <v>0</v>
      </c>
      <c r="V44" s="198">
        <v>35000000</v>
      </c>
      <c r="W44" s="198">
        <v>0</v>
      </c>
      <c r="X44" s="198">
        <v>35000000</v>
      </c>
      <c r="Y44" s="197" t="s">
        <v>486</v>
      </c>
    </row>
    <row r="45" spans="1:25">
      <c r="X45" s="207">
        <f>SUBTOTAL(9,X6:X44)</f>
        <v>217458619.36000001</v>
      </c>
    </row>
  </sheetData>
  <autoFilter ref="A5:Y5"/>
  <mergeCells count="3">
    <mergeCell ref="A2:Y2"/>
    <mergeCell ref="A4:Y4"/>
    <mergeCell ref="A3:Y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6"/>
  <sheetViews>
    <sheetView workbookViewId="0">
      <selection activeCell="E14" sqref="E14"/>
    </sheetView>
  </sheetViews>
  <sheetFormatPr baseColWidth="10" defaultRowHeight="15.75"/>
  <cols>
    <col min="1" max="1" width="11" style="70"/>
    <col min="2" max="2" width="44.875" style="70" customWidth="1"/>
    <col min="3" max="4" width="16" style="70" customWidth="1"/>
    <col min="5" max="5" width="21.25" style="70" customWidth="1"/>
    <col min="6" max="16384" width="11" style="70"/>
  </cols>
  <sheetData>
    <row r="1" spans="2:7" ht="15.75" customHeight="1"/>
    <row r="2" spans="2:7" ht="15.75" customHeight="1"/>
    <row r="3" spans="2:7" s="199" customFormat="1" ht="18">
      <c r="B3" s="421" t="s">
        <v>37</v>
      </c>
      <c r="C3" s="421"/>
      <c r="D3" s="421"/>
      <c r="E3" s="421"/>
      <c r="F3" s="421"/>
      <c r="G3" s="210"/>
    </row>
    <row r="4" spans="2:7" s="199" customFormat="1" ht="18">
      <c r="B4" s="420" t="s">
        <v>456</v>
      </c>
      <c r="C4" s="420"/>
      <c r="D4" s="420"/>
      <c r="E4" s="420"/>
      <c r="F4" s="420"/>
      <c r="G4" s="209"/>
    </row>
    <row r="5" spans="2:7" ht="16.5">
      <c r="B5" s="40"/>
      <c r="C5" s="40"/>
      <c r="D5" s="40"/>
      <c r="E5" s="40"/>
    </row>
    <row r="6" spans="2:7" ht="17.25" thickBot="1">
      <c r="B6" s="40"/>
      <c r="C6" s="40"/>
      <c r="D6" s="40"/>
      <c r="E6" s="40"/>
    </row>
    <row r="7" spans="2:7" ht="33">
      <c r="B7" s="211" t="s">
        <v>451</v>
      </c>
      <c r="C7" s="212" t="s">
        <v>105</v>
      </c>
      <c r="D7" s="213" t="s">
        <v>452</v>
      </c>
      <c r="E7" s="214" t="s">
        <v>106</v>
      </c>
    </row>
    <row r="8" spans="2:7" ht="16.5">
      <c r="B8" s="200" t="s">
        <v>453</v>
      </c>
      <c r="C8" s="201">
        <v>15000000</v>
      </c>
      <c r="D8" s="202">
        <f>137493125+74585312</f>
        <v>212078437</v>
      </c>
      <c r="E8" s="203">
        <f t="shared" ref="E8:E10" si="0">C8/D8</f>
        <v>7.0728548419092693E-2</v>
      </c>
    </row>
    <row r="9" spans="2:7" ht="16.5" customHeight="1">
      <c r="B9" s="200" t="s">
        <v>454</v>
      </c>
      <c r="C9" s="201">
        <v>17323087.600000001</v>
      </c>
      <c r="D9" s="202">
        <f>28286832+'[18]CONTRATO 927-2025'!$G$58</f>
        <v>42485031</v>
      </c>
      <c r="E9" s="203">
        <f t="shared" si="0"/>
        <v>0.40774567399986128</v>
      </c>
    </row>
    <row r="10" spans="2:7" ht="17.25" thickBot="1">
      <c r="B10" s="208" t="s">
        <v>455</v>
      </c>
      <c r="C10" s="204">
        <v>3803190</v>
      </c>
      <c r="D10" s="205">
        <f>71225571+'[18]CONTRATO 927-2025'!$G$57</f>
        <v>110878586.13</v>
      </c>
      <c r="E10" s="206">
        <f t="shared" si="0"/>
        <v>3.4300491490222795E-2</v>
      </c>
    </row>
    <row r="12" spans="2:7">
      <c r="C12" s="215"/>
      <c r="D12" s="215"/>
      <c r="E12" s="216"/>
    </row>
    <row r="14" spans="2:7">
      <c r="B14" s="70" t="s">
        <v>489</v>
      </c>
      <c r="C14" s="215">
        <f>+D9+D10</f>
        <v>153363617.13</v>
      </c>
    </row>
    <row r="15" spans="2:7">
      <c r="B15" s="70" t="s">
        <v>490</v>
      </c>
      <c r="C15" s="215">
        <f>+C9+C10</f>
        <v>21126277.600000001</v>
      </c>
    </row>
    <row r="16" spans="2:7">
      <c r="B16" s="70" t="s">
        <v>491</v>
      </c>
      <c r="C16" s="216">
        <f>C15/C14</f>
        <v>0.1377528646973169</v>
      </c>
    </row>
  </sheetData>
  <mergeCells count="2">
    <mergeCell ref="B4:F4"/>
    <mergeCell ref="B3:F3"/>
  </mergeCells>
  <pageMargins left="0.7" right="0.7" top="0.75" bottom="0.75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6"/>
  <sheetViews>
    <sheetView workbookViewId="0">
      <selection activeCell="E9" sqref="E9"/>
    </sheetView>
  </sheetViews>
  <sheetFormatPr baseColWidth="10" defaultColWidth="11" defaultRowHeight="15.75"/>
  <cols>
    <col min="1" max="1" width="16" style="70" bestFit="1" customWidth="1"/>
    <col min="2" max="2" width="23" style="70" bestFit="1" customWidth="1"/>
    <col min="3" max="3" width="16.875" style="70" hidden="1" customWidth="1"/>
    <col min="4" max="4" width="13.625" style="70" bestFit="1" customWidth="1"/>
    <col min="5" max="5" width="15.375" style="70" bestFit="1" customWidth="1"/>
    <col min="6" max="6" width="14.25" style="70" hidden="1" customWidth="1"/>
    <col min="7" max="7" width="12.25" style="70" hidden="1" customWidth="1"/>
    <col min="8" max="8" width="9" style="70" hidden="1" customWidth="1"/>
    <col min="9" max="9" width="32.125" style="70" hidden="1" customWidth="1"/>
    <col min="10" max="10" width="7.625" style="70" bestFit="1" customWidth="1"/>
    <col min="11" max="11" width="4.75" style="70" customWidth="1"/>
    <col min="12" max="12" width="11.75" style="70" bestFit="1" customWidth="1"/>
    <col min="13" max="13" width="6.25" style="70" bestFit="1" customWidth="1"/>
    <col min="14" max="14" width="13.25" style="70" bestFit="1" customWidth="1"/>
    <col min="15" max="15" width="6.375" style="70" bestFit="1" customWidth="1"/>
    <col min="16" max="16" width="13.5" style="70" hidden="1" customWidth="1"/>
    <col min="17" max="17" width="37.5" style="70" hidden="1" customWidth="1"/>
    <col min="18" max="18" width="18.625" style="70" hidden="1" customWidth="1"/>
    <col min="19" max="19" width="12.875" style="70" hidden="1" customWidth="1"/>
    <col min="20" max="20" width="14.625" style="70" hidden="1" customWidth="1"/>
    <col min="21" max="21" width="13.375" style="70" bestFit="1" customWidth="1"/>
    <col min="22" max="22" width="11.5" style="70" bestFit="1" customWidth="1"/>
    <col min="23" max="23" width="12.375" style="70" bestFit="1" customWidth="1"/>
    <col min="24" max="24" width="14.375" style="70" customWidth="1"/>
    <col min="25" max="25" width="46.125" style="70" bestFit="1" customWidth="1"/>
    <col min="26" max="26" width="20.75" style="70" customWidth="1"/>
    <col min="27" max="27" width="12.625" style="70" customWidth="1"/>
    <col min="28" max="28" width="6.375" style="70" bestFit="1" customWidth="1"/>
    <col min="29" max="29" width="13.75" style="70" bestFit="1" customWidth="1"/>
    <col min="30" max="30" width="13.5" style="71" bestFit="1" customWidth="1"/>
    <col min="31" max="31" width="13.5" style="71" customWidth="1"/>
    <col min="32" max="32" width="12" style="71" bestFit="1" customWidth="1"/>
    <col min="33" max="33" width="14.125" style="71" bestFit="1" customWidth="1"/>
    <col min="34" max="34" width="8.5" style="71" bestFit="1" customWidth="1"/>
    <col min="35" max="16384" width="11" style="70"/>
  </cols>
  <sheetData>
    <row r="2" spans="1:34">
      <c r="B2" s="423" t="s">
        <v>11</v>
      </c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</row>
    <row r="3" spans="1:34">
      <c r="B3" s="422" t="s">
        <v>117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</row>
    <row r="4" spans="1:34" ht="16.5" thickBot="1"/>
    <row r="5" spans="1:34" s="75" customFormat="1" ht="25.5">
      <c r="A5" s="72" t="s">
        <v>38</v>
      </c>
      <c r="B5" s="73" t="s">
        <v>39</v>
      </c>
      <c r="C5" s="73" t="s">
        <v>40</v>
      </c>
      <c r="D5" s="73" t="s">
        <v>41</v>
      </c>
      <c r="E5" s="73" t="s">
        <v>42</v>
      </c>
      <c r="F5" s="73" t="s">
        <v>43</v>
      </c>
      <c r="G5" s="73" t="s">
        <v>44</v>
      </c>
      <c r="H5" s="73" t="s">
        <v>45</v>
      </c>
      <c r="I5" s="73" t="s">
        <v>46</v>
      </c>
      <c r="J5" s="73" t="s">
        <v>47</v>
      </c>
      <c r="K5" s="73" t="s">
        <v>48</v>
      </c>
      <c r="L5" s="73" t="s">
        <v>49</v>
      </c>
      <c r="M5" s="73" t="s">
        <v>50</v>
      </c>
      <c r="N5" s="73" t="s">
        <v>51</v>
      </c>
      <c r="O5" s="73" t="s">
        <v>52</v>
      </c>
      <c r="P5" s="73" t="s">
        <v>53</v>
      </c>
      <c r="Q5" s="73" t="s">
        <v>54</v>
      </c>
      <c r="R5" s="73" t="s">
        <v>55</v>
      </c>
      <c r="S5" s="73" t="s">
        <v>56</v>
      </c>
      <c r="T5" s="73" t="s">
        <v>57</v>
      </c>
      <c r="U5" s="73" t="s">
        <v>58</v>
      </c>
      <c r="V5" s="73" t="s">
        <v>59</v>
      </c>
      <c r="W5" s="73" t="s">
        <v>60</v>
      </c>
      <c r="X5" s="73" t="s">
        <v>61</v>
      </c>
      <c r="Y5" s="73" t="s">
        <v>62</v>
      </c>
      <c r="Z5" s="73" t="s">
        <v>63</v>
      </c>
      <c r="AA5" s="73" t="s">
        <v>64</v>
      </c>
      <c r="AB5" s="73" t="s">
        <v>65</v>
      </c>
      <c r="AC5" s="73" t="s">
        <v>66</v>
      </c>
      <c r="AD5" s="74" t="s">
        <v>67</v>
      </c>
      <c r="AE5" s="74" t="s">
        <v>68</v>
      </c>
      <c r="AF5" s="74" t="s">
        <v>69</v>
      </c>
      <c r="AG5" s="74" t="s">
        <v>70</v>
      </c>
      <c r="AH5" s="74" t="s">
        <v>71</v>
      </c>
    </row>
    <row r="6" spans="1:34">
      <c r="A6" s="76" t="s">
        <v>72</v>
      </c>
      <c r="B6" s="77" t="s">
        <v>73</v>
      </c>
      <c r="C6" s="77" t="s">
        <v>25</v>
      </c>
      <c r="D6" s="77" t="s">
        <v>11</v>
      </c>
      <c r="E6" s="77" t="s">
        <v>7</v>
      </c>
      <c r="F6" s="77">
        <v>1142</v>
      </c>
      <c r="G6" s="77"/>
      <c r="H6" s="77">
        <v>7002</v>
      </c>
      <c r="I6" s="77" t="s">
        <v>74</v>
      </c>
      <c r="J6" s="77" t="s">
        <v>75</v>
      </c>
      <c r="K6" s="77">
        <v>2023</v>
      </c>
      <c r="L6" s="77" t="s">
        <v>76</v>
      </c>
      <c r="M6" s="77">
        <v>0</v>
      </c>
      <c r="N6" s="77" t="s">
        <v>77</v>
      </c>
      <c r="O6" s="77">
        <v>1</v>
      </c>
      <c r="P6" s="77" t="s">
        <v>78</v>
      </c>
      <c r="Q6" s="77" t="s">
        <v>79</v>
      </c>
      <c r="R6" s="77" t="s">
        <v>80</v>
      </c>
      <c r="S6" s="77" t="s">
        <v>81</v>
      </c>
      <c r="T6" s="77" t="s">
        <v>82</v>
      </c>
      <c r="U6" s="78">
        <v>44993</v>
      </c>
      <c r="V6" s="78">
        <v>45358</v>
      </c>
      <c r="W6" s="78">
        <v>45164</v>
      </c>
      <c r="X6" s="77" t="s">
        <v>83</v>
      </c>
      <c r="Y6" s="77" t="s">
        <v>84</v>
      </c>
      <c r="Z6" s="77" t="s">
        <v>85</v>
      </c>
      <c r="AA6" s="77" t="s">
        <v>86</v>
      </c>
      <c r="AB6" s="77" t="s">
        <v>87</v>
      </c>
      <c r="AC6" s="79" t="s">
        <v>88</v>
      </c>
      <c r="AD6" s="80">
        <v>130900000</v>
      </c>
      <c r="AE6" s="80">
        <f>AD6*10%</f>
        <v>13090000</v>
      </c>
      <c r="AF6" s="80">
        <f>AD6-AE6</f>
        <v>117810000</v>
      </c>
      <c r="AG6" s="80">
        <v>117810000</v>
      </c>
      <c r="AH6" s="81">
        <v>45784</v>
      </c>
    </row>
  </sheetData>
  <mergeCells count="2">
    <mergeCell ref="B3:X3"/>
    <mergeCell ref="B2:X2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showGridLines="0" workbookViewId="0">
      <selection activeCell="L19" sqref="L19"/>
    </sheetView>
  </sheetViews>
  <sheetFormatPr baseColWidth="10" defaultColWidth="11.25" defaultRowHeight="16.5"/>
  <cols>
    <col min="1" max="1" width="11.25" style="40"/>
    <col min="2" max="2" width="20.75" style="40" customWidth="1"/>
    <col min="3" max="3" width="8" style="40" customWidth="1"/>
    <col min="4" max="4" width="13.875" style="40" customWidth="1"/>
    <col min="5" max="5" width="15.25" style="40" customWidth="1"/>
    <col min="6" max="6" width="14" style="40" bestFit="1" customWidth="1"/>
    <col min="7" max="7" width="15" style="40" bestFit="1" customWidth="1"/>
    <col min="8" max="8" width="15.375" style="40" customWidth="1"/>
    <col min="9" max="16384" width="11.25" style="40"/>
  </cols>
  <sheetData>
    <row r="2" spans="2:8" ht="18.75">
      <c r="B2" s="420" t="s">
        <v>37</v>
      </c>
      <c r="C2" s="420"/>
      <c r="D2" s="420"/>
      <c r="E2" s="420"/>
      <c r="F2" s="420"/>
      <c r="G2" s="420"/>
      <c r="H2" s="420"/>
    </row>
    <row r="3" spans="2:8" ht="18.75">
      <c r="B3" s="428" t="s">
        <v>487</v>
      </c>
      <c r="C3" s="428"/>
      <c r="D3" s="428"/>
      <c r="E3" s="428"/>
      <c r="F3" s="428"/>
      <c r="G3" s="428"/>
      <c r="H3" s="428"/>
    </row>
    <row r="6" spans="2:8" s="41" customFormat="1" ht="49.5">
      <c r="D6" s="42" t="s">
        <v>102</v>
      </c>
      <c r="E6" s="42" t="s">
        <v>103</v>
      </c>
      <c r="F6" s="42" t="s">
        <v>104</v>
      </c>
      <c r="G6" s="42" t="s">
        <v>105</v>
      </c>
      <c r="H6" s="42" t="s">
        <v>106</v>
      </c>
    </row>
    <row r="7" spans="2:8">
      <c r="B7" s="429" t="s">
        <v>107</v>
      </c>
      <c r="C7" s="43" t="s">
        <v>101</v>
      </c>
      <c r="D7" s="43">
        <v>789.36</v>
      </c>
      <c r="E7" s="44">
        <f>D7*4744.95</f>
        <v>3745473.7319999998</v>
      </c>
      <c r="F7" s="430">
        <f>+E9+E12</f>
        <v>42041680.484999999</v>
      </c>
      <c r="G7" s="430">
        <v>117810000</v>
      </c>
      <c r="H7" s="431">
        <f>+G7/F7</f>
        <v>2.8022190987830111</v>
      </c>
    </row>
    <row r="8" spans="2:8">
      <c r="B8" s="429"/>
      <c r="C8" s="43" t="s">
        <v>86</v>
      </c>
      <c r="D8" s="43">
        <v>4086.58</v>
      </c>
      <c r="E8" s="44">
        <f>D8*4744.95</f>
        <v>19390617.770999998</v>
      </c>
      <c r="F8" s="430"/>
      <c r="G8" s="430"/>
      <c r="H8" s="431"/>
    </row>
    <row r="9" spans="2:8">
      <c r="B9" s="429"/>
      <c r="C9" s="43"/>
      <c r="D9" s="45" t="s">
        <v>112</v>
      </c>
      <c r="E9" s="46">
        <f>+E7+E8</f>
        <v>23136091.502999999</v>
      </c>
      <c r="F9" s="430"/>
      <c r="G9" s="430"/>
      <c r="H9" s="431"/>
    </row>
    <row r="10" spans="2:8">
      <c r="B10" s="429"/>
      <c r="C10" s="43" t="s">
        <v>101</v>
      </c>
      <c r="D10" s="43">
        <v>789.36</v>
      </c>
      <c r="E10" s="44">
        <f>D10*4744.95</f>
        <v>3745473.7319999998</v>
      </c>
      <c r="F10" s="430"/>
      <c r="G10" s="430"/>
      <c r="H10" s="431"/>
    </row>
    <row r="11" spans="2:8">
      <c r="B11" s="429"/>
      <c r="C11" s="43" t="s">
        <v>86</v>
      </c>
      <c r="D11" s="43">
        <v>3195</v>
      </c>
      <c r="E11" s="44">
        <f>D11*4744.95</f>
        <v>15160115.25</v>
      </c>
      <c r="F11" s="430"/>
      <c r="G11" s="430"/>
      <c r="H11" s="431"/>
    </row>
    <row r="12" spans="2:8">
      <c r="B12" s="429"/>
      <c r="C12" s="43"/>
      <c r="D12" s="45" t="s">
        <v>113</v>
      </c>
      <c r="E12" s="46">
        <f>+E10+E11</f>
        <v>18905588.982000001</v>
      </c>
      <c r="F12" s="430"/>
      <c r="G12" s="430"/>
      <c r="H12" s="431"/>
    </row>
    <row r="13" spans="2:8">
      <c r="B13" s="47"/>
      <c r="D13" s="48"/>
      <c r="E13" s="49"/>
      <c r="F13" s="50"/>
      <c r="G13" s="51"/>
      <c r="H13" s="52"/>
    </row>
    <row r="14" spans="2:8">
      <c r="B14" s="47"/>
      <c r="D14" s="48"/>
      <c r="E14" s="49"/>
      <c r="F14" s="53"/>
      <c r="G14" s="54"/>
      <c r="H14" s="55"/>
    </row>
    <row r="15" spans="2:8" ht="33">
      <c r="D15" s="42" t="s">
        <v>108</v>
      </c>
      <c r="E15" s="42" t="s">
        <v>104</v>
      </c>
      <c r="F15" s="56" t="s">
        <v>105</v>
      </c>
      <c r="G15" s="56" t="s">
        <v>106</v>
      </c>
    </row>
    <row r="16" spans="2:8">
      <c r="B16" s="424" t="s">
        <v>109</v>
      </c>
      <c r="C16" s="43" t="s">
        <v>110</v>
      </c>
      <c r="D16" s="44">
        <v>38949545</v>
      </c>
      <c r="E16" s="425">
        <f>+D16+D17</f>
        <v>62511545</v>
      </c>
      <c r="F16" s="426">
        <v>0</v>
      </c>
      <c r="G16" s="427">
        <f>F16/E16</f>
        <v>0</v>
      </c>
    </row>
    <row r="17" spans="2:7">
      <c r="B17" s="424"/>
      <c r="C17" s="43" t="s">
        <v>111</v>
      </c>
      <c r="D17" s="44">
        <v>23562000</v>
      </c>
      <c r="E17" s="426"/>
      <c r="F17" s="426"/>
      <c r="G17" s="427"/>
    </row>
  </sheetData>
  <mergeCells count="10">
    <mergeCell ref="B2:H2"/>
    <mergeCell ref="B7:B12"/>
    <mergeCell ref="F7:F12"/>
    <mergeCell ref="G7:G12"/>
    <mergeCell ref="H7:H12"/>
    <mergeCell ref="B16:B17"/>
    <mergeCell ref="E16:E17"/>
    <mergeCell ref="F16:F17"/>
    <mergeCell ref="G16:G17"/>
    <mergeCell ref="B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3</vt:i4>
      </vt:variant>
    </vt:vector>
  </HeadingPairs>
  <TitlesOfParts>
    <vt:vector size="13" baseType="lpstr">
      <vt:lpstr>ESTUDIO DE MERCADO</vt:lpstr>
      <vt:lpstr>ESTUDIO DE MERCADO INDIVIDUAL</vt:lpstr>
      <vt:lpstr>TASAS PROMEDIO</vt:lpstr>
      <vt:lpstr>DRONES</vt:lpstr>
      <vt:lpstr>RELACION AUTOMOVILES</vt:lpstr>
      <vt:lpstr>RELACION SOAT</vt:lpstr>
      <vt:lpstr>SINIESTRALIDAD AUTOS</vt:lpstr>
      <vt:lpstr>IND SINIESTRALIDAD AUTOS -RCSP </vt:lpstr>
      <vt:lpstr>SINIESTRALIDAD DRONES</vt:lpstr>
      <vt:lpstr>INDICE DE SINIESTALIDAD DRONES</vt:lpstr>
      <vt:lpstr>'ESTUDIO DE MERCADO'!Área_de_impresión</vt:lpstr>
      <vt:lpstr>'ESTUDIO DE MERCADO INDIVIDUAL'!Área_de_impresión</vt:lpstr>
      <vt:lpstr>'IND SINIESTRALIDAD AUTOS -RCSP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Víctor Alfonso Patiño Suarez</dc:creator>
  <cp:lastModifiedBy>Guillermo Alberto Castellanos</cp:lastModifiedBy>
  <cp:lastPrinted>2026-09-10T18:12:17Z</cp:lastPrinted>
  <dcterms:created xsi:type="dcterms:W3CDTF">2026-02-05T14:38:11Z</dcterms:created>
  <dcterms:modified xsi:type="dcterms:W3CDTF">2026-10-16T16:40:53Z</dcterms:modified>
</cp:coreProperties>
</file>