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uarios\carlos.ayap.DN0BOG01\Downloads\"/>
    </mc:Choice>
  </mc:AlternateContent>
  <xr:revisionPtr revIDLastSave="0" documentId="13_ncr:1_{9289BF0B-F647-4384-ABCF-79B5F7D55ADF}" xr6:coauthVersionLast="47" xr6:coauthVersionMax="47" xr10:uidLastSave="{00000000-0000-0000-0000-000000000000}"/>
  <bookViews>
    <workbookView xWindow="-120" yWindow="-120" windowWidth="29040" windowHeight="15720" firstSheet="1" activeTab="5" xr2:uid="{28EE0094-27D3-4341-9E91-2A337ECC2DB9}"/>
  </bookViews>
  <sheets>
    <sheet name="ANEXO 1 - F.H. 2026" sheetId="6" r:id="rId1"/>
    <sheet name="ANEXO 1.1 - F.H. 2027" sheetId="7" r:id="rId2"/>
    <sheet name="ANEXO 1,2 - F.H. 2028" sheetId="8" r:id="rId3"/>
    <sheet name="COTIZACIONES MEDIOS TECNOLOGICO" sheetId="2" r:id="rId4"/>
    <sheet name="HISTORICO Y CONSOLIDADO MED T" sheetId="3" r:id="rId5"/>
    <sheet name="TOTAL" sheetId="4" r:id="rId6"/>
  </sheets>
  <externalReferences>
    <externalReference r:id="rId7"/>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5" i="4" l="1"/>
  <c r="C30" i="4"/>
  <c r="D30" i="4"/>
  <c r="D32" i="4" s="1"/>
  <c r="E30" i="4"/>
  <c r="E32" i="4" s="1"/>
  <c r="F31" i="4"/>
  <c r="C32" i="4"/>
  <c r="C34" i="4"/>
  <c r="F34" i="4"/>
  <c r="L48" i="8"/>
  <c r="E13" i="4"/>
  <c r="E14" i="4" s="1"/>
  <c r="D13" i="4"/>
  <c r="D14" i="4" s="1"/>
  <c r="D9" i="4"/>
  <c r="L62" i="7"/>
  <c r="L55" i="8"/>
  <c r="L52" i="8"/>
  <c r="D52" i="8"/>
  <c r="K53" i="8"/>
  <c r="L75" i="7"/>
  <c r="D72" i="7"/>
  <c r="K73" i="7"/>
  <c r="G66" i="7"/>
  <c r="D50" i="6"/>
  <c r="H50" i="6"/>
  <c r="G50" i="6"/>
  <c r="K67" i="7"/>
  <c r="BE11" i="2"/>
  <c r="F32" i="4" l="1"/>
  <c r="F30" i="4"/>
  <c r="G52" i="8"/>
  <c r="H52" i="8" s="1"/>
  <c r="G72" i="7"/>
  <c r="H72" i="7" s="1"/>
  <c r="D10" i="4"/>
  <c r="V9" i="3"/>
  <c r="R9" i="3"/>
  <c r="R24" i="3"/>
  <c r="V10" i="3"/>
  <c r="W10" i="3" s="1"/>
  <c r="X10" i="3" s="1"/>
  <c r="V11" i="3"/>
  <c r="W11" i="3" s="1"/>
  <c r="X11" i="3" s="1"/>
  <c r="V12" i="3"/>
  <c r="W12" i="3"/>
  <c r="X12" i="3" s="1"/>
  <c r="V13" i="3"/>
  <c r="W13" i="3"/>
  <c r="X13" i="3"/>
  <c r="V14" i="3"/>
  <c r="W14" i="3" s="1"/>
  <c r="X14" i="3" s="1"/>
  <c r="V15" i="3"/>
  <c r="W15" i="3" s="1"/>
  <c r="X15" i="3" s="1"/>
  <c r="V16" i="3"/>
  <c r="W16" i="3"/>
  <c r="X16" i="3" s="1"/>
  <c r="V17" i="3"/>
  <c r="W17" i="3"/>
  <c r="X17" i="3"/>
  <c r="V18" i="3"/>
  <c r="W18" i="3" s="1"/>
  <c r="X18" i="3" s="1"/>
  <c r="V19" i="3"/>
  <c r="W19" i="3" s="1"/>
  <c r="X19" i="3" s="1"/>
  <c r="V20" i="3"/>
  <c r="W20" i="3"/>
  <c r="X20" i="3" s="1"/>
  <c r="V21" i="3"/>
  <c r="W21" i="3"/>
  <c r="X21" i="3"/>
  <c r="V22" i="3"/>
  <c r="W22" i="3" s="1"/>
  <c r="X22" i="3" s="1"/>
  <c r="V23" i="3"/>
  <c r="W23" i="3" s="1"/>
  <c r="X23" i="3" s="1"/>
  <c r="V24" i="3"/>
  <c r="W24" i="3" s="1"/>
  <c r="X24" i="3" s="1"/>
  <c r="R10" i="3"/>
  <c r="R11" i="3"/>
  <c r="R12" i="3"/>
  <c r="R13" i="3"/>
  <c r="R14" i="3"/>
  <c r="R15" i="3"/>
  <c r="R16" i="3"/>
  <c r="R17" i="3"/>
  <c r="R18" i="3"/>
  <c r="R19" i="3"/>
  <c r="R20" i="3"/>
  <c r="R21" i="3"/>
  <c r="R22" i="3"/>
  <c r="R23" i="3"/>
  <c r="N10" i="3"/>
  <c r="N11" i="3"/>
  <c r="N12" i="3"/>
  <c r="N13" i="3"/>
  <c r="O13" i="3" s="1"/>
  <c r="P13" i="3" s="1"/>
  <c r="N14" i="3"/>
  <c r="N15" i="3"/>
  <c r="N16" i="3"/>
  <c r="N17" i="3"/>
  <c r="O17" i="3" s="1"/>
  <c r="P17" i="3" s="1"/>
  <c r="N18" i="3"/>
  <c r="N19" i="3"/>
  <c r="N20" i="3"/>
  <c r="N21" i="3"/>
  <c r="O21" i="3" s="1"/>
  <c r="P21" i="3" s="1"/>
  <c r="N22" i="3"/>
  <c r="N23" i="3"/>
  <c r="N24" i="3"/>
  <c r="N9" i="3"/>
  <c r="K10" i="3"/>
  <c r="K11" i="3"/>
  <c r="K12" i="3"/>
  <c r="K13" i="3"/>
  <c r="K14" i="3"/>
  <c r="K15" i="3"/>
  <c r="K16" i="3"/>
  <c r="K17" i="3"/>
  <c r="K18" i="3"/>
  <c r="K19" i="3"/>
  <c r="K20" i="3"/>
  <c r="K21" i="3"/>
  <c r="K22" i="3"/>
  <c r="K23" i="3"/>
  <c r="K24" i="3"/>
  <c r="K9" i="3"/>
  <c r="O10" i="3"/>
  <c r="P10" i="3" s="1"/>
  <c r="O11" i="3"/>
  <c r="P11" i="3" s="1"/>
  <c r="O12" i="3"/>
  <c r="P12" i="3" s="1"/>
  <c r="O14" i="3"/>
  <c r="P14" i="3" s="1"/>
  <c r="O15" i="3"/>
  <c r="P15" i="3" s="1"/>
  <c r="O16" i="3"/>
  <c r="P16" i="3" s="1"/>
  <c r="O18" i="3"/>
  <c r="P18" i="3" s="1"/>
  <c r="O19" i="3"/>
  <c r="P19" i="3" s="1"/>
  <c r="O20" i="3"/>
  <c r="P20" i="3" s="1"/>
  <c r="O22" i="3"/>
  <c r="P22" i="3" s="1"/>
  <c r="O23" i="3"/>
  <c r="P23" i="3" s="1"/>
  <c r="O24" i="3"/>
  <c r="P24" i="3" s="1"/>
  <c r="O9" i="3"/>
  <c r="P9" i="3" s="1"/>
  <c r="I52" i="8" l="1"/>
  <c r="J52" i="8"/>
  <c r="L53" i="8" s="1"/>
  <c r="I72" i="7"/>
  <c r="J72" i="7" s="1"/>
  <c r="L72" i="7" s="1"/>
  <c r="L73" i="7" s="1"/>
  <c r="S10" i="3"/>
  <c r="T10" i="3" s="1"/>
  <c r="S11" i="3"/>
  <c r="T11" i="3" s="1"/>
  <c r="S12" i="3"/>
  <c r="T12" i="3" s="1"/>
  <c r="S13" i="3"/>
  <c r="T13" i="3" s="1"/>
  <c r="S14" i="3"/>
  <c r="T14" i="3" s="1"/>
  <c r="S15" i="3"/>
  <c r="T15" i="3" s="1"/>
  <c r="S16" i="3"/>
  <c r="T16" i="3" s="1"/>
  <c r="S17" i="3"/>
  <c r="T17" i="3" s="1"/>
  <c r="S18" i="3"/>
  <c r="T18" i="3" s="1"/>
  <c r="S19" i="3"/>
  <c r="T19" i="3" s="1"/>
  <c r="S21" i="3"/>
  <c r="T21" i="3" s="1"/>
  <c r="S22" i="3"/>
  <c r="T22" i="3" s="1"/>
  <c r="S23" i="3"/>
  <c r="T23" i="3" s="1"/>
  <c r="S9" i="3"/>
  <c r="T9" i="3" s="1"/>
  <c r="S20" i="3" l="1"/>
  <c r="T20" i="3" s="1"/>
  <c r="S24" i="3"/>
  <c r="T24" i="3" s="1"/>
  <c r="W9" i="3" l="1"/>
  <c r="X9" i="3" s="1"/>
  <c r="H10" i="3" l="1"/>
  <c r="H9" i="3"/>
  <c r="L41" i="8" l="1"/>
  <c r="L40" i="8"/>
  <c r="D46" i="8"/>
  <c r="D43" i="8"/>
  <c r="D42" i="8"/>
  <c r="D40" i="8"/>
  <c r="D5" i="8"/>
  <c r="D7" i="8"/>
  <c r="D9" i="8" s="1"/>
  <c r="K60" i="7"/>
  <c r="K47" i="8"/>
  <c r="H44" i="6" l="1"/>
  <c r="D44" i="6"/>
  <c r="D7" i="6"/>
  <c r="D9" i="6" l="1"/>
  <c r="J43" i="6"/>
  <c r="BM12" i="2"/>
  <c r="BM13" i="2"/>
  <c r="BM14" i="2"/>
  <c r="BM15" i="2"/>
  <c r="BM16" i="2"/>
  <c r="BM17" i="2"/>
  <c r="BM18" i="2"/>
  <c r="BM19" i="2"/>
  <c r="BM20" i="2"/>
  <c r="BM21" i="2"/>
  <c r="BM22" i="2"/>
  <c r="BM23" i="2"/>
  <c r="BM24" i="2"/>
  <c r="BM25" i="2"/>
  <c r="BM26" i="2"/>
  <c r="BM11" i="2"/>
  <c r="BI12" i="2"/>
  <c r="BI13" i="2"/>
  <c r="BI14" i="2"/>
  <c r="BI15" i="2"/>
  <c r="BI16" i="2"/>
  <c r="BI17" i="2"/>
  <c r="BI18" i="2"/>
  <c r="BI19" i="2"/>
  <c r="BI20" i="2"/>
  <c r="BI21" i="2"/>
  <c r="BI22" i="2"/>
  <c r="BI23" i="2"/>
  <c r="BI24" i="2"/>
  <c r="BI25" i="2"/>
  <c r="BI26" i="2"/>
  <c r="BI11" i="2"/>
  <c r="BE12" i="2"/>
  <c r="BE13" i="2"/>
  <c r="BE14" i="2"/>
  <c r="BE15" i="2"/>
  <c r="BE16" i="2"/>
  <c r="BE17" i="2"/>
  <c r="BE18" i="2"/>
  <c r="BE19" i="2"/>
  <c r="BE20" i="2"/>
  <c r="BE21" i="2"/>
  <c r="BE22" i="2"/>
  <c r="BE23" i="2"/>
  <c r="BE24" i="2"/>
  <c r="BE25" i="2"/>
  <c r="BE26" i="2"/>
  <c r="D5" i="7"/>
  <c r="K47" i="7"/>
  <c r="G43" i="6"/>
  <c r="K46" i="6"/>
  <c r="K51" i="6"/>
  <c r="D7" i="7" l="1"/>
  <c r="D9" i="7" s="1"/>
  <c r="E7" i="7"/>
  <c r="E9" i="7" s="1"/>
  <c r="D42" i="6"/>
  <c r="G42" i="6" s="1"/>
  <c r="H42" i="6" s="1"/>
  <c r="D45" i="6"/>
  <c r="G45" i="6" s="1"/>
  <c r="D41" i="6"/>
  <c r="G41" i="6" s="1"/>
  <c r="H41" i="6" s="1"/>
  <c r="B14" i="6"/>
  <c r="B13" i="6"/>
  <c r="D59" i="7" l="1"/>
  <c r="G59" i="7" s="1"/>
  <c r="H59" i="7" s="1"/>
  <c r="I59" i="7" s="1"/>
  <c r="J59" i="7" s="1"/>
  <c r="L59" i="7" s="1"/>
  <c r="D58" i="7"/>
  <c r="G58" i="7" s="1"/>
  <c r="H58" i="7" s="1"/>
  <c r="D55" i="7"/>
  <c r="G55" i="7" s="1"/>
  <c r="H55" i="7" s="1"/>
  <c r="D53" i="7"/>
  <c r="G53" i="7" s="1"/>
  <c r="H53" i="7" s="1"/>
  <c r="I53" i="7" s="1"/>
  <c r="J53" i="7" s="1"/>
  <c r="L53" i="7" s="1"/>
  <c r="D57" i="7"/>
  <c r="D54" i="7"/>
  <c r="G54" i="7" s="1"/>
  <c r="H54" i="7" s="1"/>
  <c r="J54" i="7" s="1"/>
  <c r="L54" i="7" s="1"/>
  <c r="D56" i="7"/>
  <c r="G56" i="7" s="1"/>
  <c r="H56" i="7" s="1"/>
  <c r="I56" i="7" s="1"/>
  <c r="J56" i="7" s="1"/>
  <c r="L56" i="7" s="1"/>
  <c r="B14" i="7"/>
  <c r="D40" i="7" s="1"/>
  <c r="D66" i="7"/>
  <c r="B15" i="7"/>
  <c r="D41" i="7" s="1"/>
  <c r="D45" i="7"/>
  <c r="D42" i="7"/>
  <c r="D46" i="7"/>
  <c r="D43" i="7"/>
  <c r="G43" i="7" s="1"/>
  <c r="D13" i="6"/>
  <c r="E13" i="6" s="1"/>
  <c r="D40" i="6"/>
  <c r="D39" i="6"/>
  <c r="D45" i="8"/>
  <c r="G39" i="6"/>
  <c r="H39" i="6" s="1"/>
  <c r="G40" i="6"/>
  <c r="H40" i="6" s="1"/>
  <c r="J40" i="6" s="1"/>
  <c r="L40" i="6" s="1"/>
  <c r="G44" i="6"/>
  <c r="I41" i="6"/>
  <c r="J41" i="6" s="1"/>
  <c r="L41" i="6" s="1"/>
  <c r="I42" i="6"/>
  <c r="J42" i="6" s="1"/>
  <c r="L42" i="6" s="1"/>
  <c r="H45" i="6"/>
  <c r="D14" i="6"/>
  <c r="E14" i="6" s="1"/>
  <c r="B15" i="8"/>
  <c r="D44" i="8" s="1"/>
  <c r="B14" i="8"/>
  <c r="I55" i="7" l="1"/>
  <c r="J55" i="7" s="1"/>
  <c r="L55" i="7" s="1"/>
  <c r="I58" i="7"/>
  <c r="J58" i="7" s="1"/>
  <c r="L58" i="7" s="1"/>
  <c r="H66" i="7"/>
  <c r="G57" i="7"/>
  <c r="H57" i="7" s="1"/>
  <c r="I57" i="7" s="1"/>
  <c r="J57" i="7" s="1"/>
  <c r="L57" i="7" s="1"/>
  <c r="D44" i="7"/>
  <c r="G44" i="7" s="1"/>
  <c r="H44" i="7" s="1"/>
  <c r="I44" i="7" s="1"/>
  <c r="J44" i="7" s="1"/>
  <c r="L44" i="7" s="1"/>
  <c r="G42" i="8"/>
  <c r="H42" i="8" s="1"/>
  <c r="G46" i="8"/>
  <c r="H46" i="8" s="1"/>
  <c r="G40" i="8"/>
  <c r="H40" i="8" s="1"/>
  <c r="G43" i="8"/>
  <c r="H43" i="8" s="1"/>
  <c r="D41" i="8"/>
  <c r="G45" i="8"/>
  <c r="H45" i="8" s="1"/>
  <c r="G42" i="7"/>
  <c r="H42" i="7" s="1"/>
  <c r="G45" i="7"/>
  <c r="H45" i="7" s="1"/>
  <c r="G40" i="7"/>
  <c r="H40" i="7" s="1"/>
  <c r="H43" i="7"/>
  <c r="G41" i="7"/>
  <c r="H41" i="7"/>
  <c r="J41" i="7" s="1"/>
  <c r="L41" i="7" s="1"/>
  <c r="G46" i="7"/>
  <c r="H46" i="7" s="1"/>
  <c r="I50" i="6"/>
  <c r="J50" i="6" s="1"/>
  <c r="L50" i="6" s="1"/>
  <c r="L51" i="6" s="1"/>
  <c r="C13" i="4" s="1"/>
  <c r="I45" i="6"/>
  <c r="H43" i="6"/>
  <c r="D14" i="8"/>
  <c r="E14" i="8" s="1"/>
  <c r="D15" i="8"/>
  <c r="E15" i="8" s="1"/>
  <c r="D15" i="7"/>
  <c r="E15" i="7" s="1"/>
  <c r="D14" i="7"/>
  <c r="E14" i="7" s="1"/>
  <c r="I66" i="7" l="1"/>
  <c r="J66" i="7" s="1"/>
  <c r="L60" i="7"/>
  <c r="J45" i="6"/>
  <c r="L45" i="6" s="1"/>
  <c r="I43" i="8"/>
  <c r="J43" i="8" s="1"/>
  <c r="L43" i="8" s="1"/>
  <c r="I45" i="8"/>
  <c r="J45" i="8" s="1"/>
  <c r="L45" i="8" s="1"/>
  <c r="I40" i="8"/>
  <c r="J40" i="8" s="1"/>
  <c r="I42" i="8"/>
  <c r="J42" i="8" s="1"/>
  <c r="L42" i="8" s="1"/>
  <c r="I46" i="8"/>
  <c r="J46" i="8" s="1"/>
  <c r="L46" i="8" s="1"/>
  <c r="G41" i="8"/>
  <c r="H41" i="8" s="1"/>
  <c r="J41" i="8" s="1"/>
  <c r="G44" i="8"/>
  <c r="H44" i="8" s="1"/>
  <c r="I40" i="7"/>
  <c r="J40" i="7" s="1"/>
  <c r="L40" i="7" s="1"/>
  <c r="I45" i="7"/>
  <c r="J45" i="7" s="1"/>
  <c r="L45" i="7" s="1"/>
  <c r="I46" i="7"/>
  <c r="J46" i="7" s="1"/>
  <c r="L46" i="7" s="1"/>
  <c r="I43" i="7"/>
  <c r="J43" i="7" s="1"/>
  <c r="L43" i="7" s="1"/>
  <c r="I42" i="7"/>
  <c r="J42" i="7" s="1"/>
  <c r="L42" i="7" s="1"/>
  <c r="I43" i="6"/>
  <c r="L43" i="6" s="1"/>
  <c r="I39" i="6"/>
  <c r="J39" i="6" s="1"/>
  <c r="L39" i="6" s="1"/>
  <c r="I44" i="6"/>
  <c r="L66" i="7" l="1"/>
  <c r="L67" i="7" s="1"/>
  <c r="L47" i="7"/>
  <c r="J44" i="6"/>
  <c r="L44" i="6" s="1"/>
  <c r="L46" i="6" s="1"/>
  <c r="I44" i="8"/>
  <c r="J44" i="8" s="1"/>
  <c r="L44" i="8" s="1"/>
  <c r="L47" i="8" s="1"/>
  <c r="E9" i="4" s="1"/>
  <c r="C9" i="4" l="1"/>
  <c r="N47" i="6"/>
  <c r="L54" i="6"/>
  <c r="F13" i="4"/>
  <c r="F14" i="4" s="1"/>
  <c r="H24" i="3"/>
  <c r="H11" i="3"/>
  <c r="H12" i="3"/>
  <c r="H13" i="3"/>
  <c r="H14" i="3"/>
  <c r="H15" i="3"/>
  <c r="H16" i="3"/>
  <c r="H17" i="3"/>
  <c r="H18" i="3"/>
  <c r="H19" i="3"/>
  <c r="H20" i="3"/>
  <c r="H21" i="3"/>
  <c r="H22" i="3"/>
  <c r="H23" i="3"/>
  <c r="F9" i="4" l="1"/>
  <c r="C35" i="4"/>
  <c r="C14" i="4"/>
  <c r="D21" i="4" s="1"/>
  <c r="E36" i="4"/>
  <c r="D36" i="4"/>
  <c r="L9" i="3"/>
  <c r="C36" i="4" l="1"/>
  <c r="F36" i="4" s="1"/>
  <c r="F25" i="3" l="1"/>
  <c r="L20" i="3"/>
  <c r="L18" i="3"/>
  <c r="D25" i="3"/>
  <c r="BN12" i="2"/>
  <c r="BO12" i="2" s="1"/>
  <c r="BN13" i="2"/>
  <c r="BO13" i="2" s="1"/>
  <c r="BN14" i="2"/>
  <c r="BO14" i="2" s="1"/>
  <c r="BN15" i="2"/>
  <c r="BO15" i="2" s="1"/>
  <c r="BN16" i="2"/>
  <c r="BO16" i="2" s="1"/>
  <c r="BN17" i="2"/>
  <c r="BO17" i="2" s="1"/>
  <c r="BN18" i="2"/>
  <c r="BO18" i="2" s="1"/>
  <c r="BN19" i="2"/>
  <c r="BO19" i="2" s="1"/>
  <c r="BN20" i="2"/>
  <c r="BO20" i="2" s="1"/>
  <c r="BN21" i="2"/>
  <c r="BO21" i="2" s="1"/>
  <c r="BN22" i="2"/>
  <c r="BO22" i="2" s="1"/>
  <c r="BN23" i="2"/>
  <c r="BO23" i="2" s="1"/>
  <c r="BN24" i="2"/>
  <c r="BO24" i="2" s="1"/>
  <c r="BN25" i="2"/>
  <c r="BO25" i="2" s="1"/>
  <c r="BN26" i="2"/>
  <c r="BO26" i="2" s="1"/>
  <c r="BJ12" i="2"/>
  <c r="BK12" i="2" s="1"/>
  <c r="BJ13" i="2"/>
  <c r="BK13" i="2" s="1"/>
  <c r="BJ14" i="2"/>
  <c r="BK14" i="2" s="1"/>
  <c r="BJ15" i="2"/>
  <c r="BK15" i="2" s="1"/>
  <c r="BJ16" i="2"/>
  <c r="BK16" i="2" s="1"/>
  <c r="BJ17" i="2"/>
  <c r="BK17" i="2" s="1"/>
  <c r="BJ18" i="2"/>
  <c r="BK18" i="2" s="1"/>
  <c r="BJ19" i="2"/>
  <c r="BK19" i="2" s="1"/>
  <c r="BJ20" i="2"/>
  <c r="BK20" i="2" s="1"/>
  <c r="BJ21" i="2"/>
  <c r="BK21" i="2" s="1"/>
  <c r="BJ22" i="2"/>
  <c r="BK22" i="2" s="1"/>
  <c r="BJ23" i="2"/>
  <c r="BK23" i="2" s="1"/>
  <c r="BJ24" i="2"/>
  <c r="BK24" i="2" s="1"/>
  <c r="BJ25" i="2"/>
  <c r="BK25" i="2" s="1"/>
  <c r="BJ26" i="2"/>
  <c r="BK26" i="2" s="1"/>
  <c r="BF12" i="2"/>
  <c r="BG12" i="2" s="1"/>
  <c r="BF13" i="2"/>
  <c r="BG13" i="2" s="1"/>
  <c r="BF14" i="2"/>
  <c r="BG14" i="2" s="1"/>
  <c r="BF15" i="2"/>
  <c r="BG15" i="2" s="1"/>
  <c r="BF16" i="2"/>
  <c r="BG16" i="2"/>
  <c r="BF17" i="2"/>
  <c r="BG17" i="2" s="1"/>
  <c r="BF18" i="2"/>
  <c r="BG18" i="2" s="1"/>
  <c r="BF19" i="2"/>
  <c r="BG19" i="2" s="1"/>
  <c r="BF20" i="2"/>
  <c r="BG20" i="2" s="1"/>
  <c r="BF21" i="2"/>
  <c r="BG21" i="2" s="1"/>
  <c r="BF22" i="2"/>
  <c r="BG22" i="2" s="1"/>
  <c r="BF23" i="2"/>
  <c r="BG23" i="2"/>
  <c r="BF24" i="2"/>
  <c r="BG24" i="2" s="1"/>
  <c r="BF25" i="2"/>
  <c r="BG25" i="2" s="1"/>
  <c r="BF26" i="2"/>
  <c r="BG26" i="2" s="1"/>
  <c r="BJ11" i="2"/>
  <c r="BK11" i="2" s="1"/>
  <c r="BF11" i="2"/>
  <c r="BG11" i="2" s="1"/>
  <c r="AZ12" i="2"/>
  <c r="BC12" i="2" s="1"/>
  <c r="BA12" i="2"/>
  <c r="BB12" i="2"/>
  <c r="AZ13" i="2"/>
  <c r="BA13" i="2"/>
  <c r="BB13" i="2"/>
  <c r="BC13" i="2"/>
  <c r="AZ14" i="2"/>
  <c r="BA14" i="2"/>
  <c r="BB14" i="2"/>
  <c r="BC14" i="2"/>
  <c r="AZ15" i="2"/>
  <c r="BA15" i="2"/>
  <c r="BB15" i="2"/>
  <c r="BC15" i="2"/>
  <c r="AZ16" i="2"/>
  <c r="BC16" i="2" s="1"/>
  <c r="BA16" i="2"/>
  <c r="BB16" i="2"/>
  <c r="AZ17" i="2"/>
  <c r="BA17" i="2"/>
  <c r="BB17" i="2"/>
  <c r="BC17" i="2"/>
  <c r="AZ18" i="2"/>
  <c r="BA18" i="2"/>
  <c r="BB18" i="2"/>
  <c r="BC18" i="2"/>
  <c r="AZ19" i="2"/>
  <c r="BA19" i="2"/>
  <c r="BB19" i="2"/>
  <c r="BC19" i="2"/>
  <c r="AZ20" i="2"/>
  <c r="BC20" i="2" s="1"/>
  <c r="BA20" i="2"/>
  <c r="BB20" i="2"/>
  <c r="AZ21" i="2"/>
  <c r="BA21" i="2"/>
  <c r="BB21" i="2"/>
  <c r="BC21" i="2"/>
  <c r="AZ22" i="2"/>
  <c r="BA22" i="2"/>
  <c r="BB22" i="2"/>
  <c r="BC22" i="2"/>
  <c r="AZ23" i="2"/>
  <c r="BA23" i="2"/>
  <c r="BB23" i="2"/>
  <c r="BC23" i="2" s="1"/>
  <c r="AZ24" i="2"/>
  <c r="BC24" i="2" s="1"/>
  <c r="BA24" i="2"/>
  <c r="BB24" i="2"/>
  <c r="AZ25" i="2"/>
  <c r="BA25" i="2"/>
  <c r="BB25" i="2"/>
  <c r="BC25" i="2"/>
  <c r="AZ26" i="2"/>
  <c r="BA26" i="2"/>
  <c r="BB26" i="2"/>
  <c r="BC26" i="2"/>
  <c r="AX26" i="2"/>
  <c r="AU12" i="2"/>
  <c r="AV12" i="2"/>
  <c r="AW12" i="2"/>
  <c r="AX12" i="2" s="1"/>
  <c r="AU13" i="2"/>
  <c r="AV13" i="2"/>
  <c r="AW13" i="2"/>
  <c r="AX13" i="2"/>
  <c r="AU14" i="2"/>
  <c r="AV14" i="2"/>
  <c r="AW14" i="2"/>
  <c r="AX14" i="2"/>
  <c r="AU15" i="2"/>
  <c r="AV15" i="2"/>
  <c r="AW15" i="2"/>
  <c r="AX15" i="2" s="1"/>
  <c r="AU16" i="2"/>
  <c r="AV16" i="2"/>
  <c r="AW16" i="2"/>
  <c r="AX16" i="2"/>
  <c r="AU17" i="2"/>
  <c r="AV17" i="2"/>
  <c r="AW17" i="2"/>
  <c r="AX17" i="2"/>
  <c r="AU18" i="2"/>
  <c r="AV18" i="2"/>
  <c r="AW18" i="2"/>
  <c r="AX18" i="2"/>
  <c r="AU19" i="2"/>
  <c r="AV19" i="2"/>
  <c r="AW19" i="2"/>
  <c r="AX19" i="2"/>
  <c r="AU20" i="2"/>
  <c r="AV20" i="2"/>
  <c r="AW20" i="2"/>
  <c r="AX20" i="2" s="1"/>
  <c r="AU21" i="2"/>
  <c r="AV21" i="2"/>
  <c r="AW21" i="2"/>
  <c r="AX21" i="2"/>
  <c r="AU22" i="2"/>
  <c r="AV22" i="2"/>
  <c r="AW22" i="2"/>
  <c r="AX22" i="2" s="1"/>
  <c r="AU23" i="2"/>
  <c r="AV23" i="2"/>
  <c r="AW23" i="2"/>
  <c r="AX23" i="2"/>
  <c r="AU24" i="2"/>
  <c r="AV24" i="2"/>
  <c r="AW24" i="2"/>
  <c r="AX24" i="2"/>
  <c r="AU25" i="2"/>
  <c r="AV25" i="2"/>
  <c r="AW25" i="2"/>
  <c r="AX25" i="2"/>
  <c r="AU26" i="2"/>
  <c r="AV26" i="2"/>
  <c r="AW26" i="2"/>
  <c r="AP12" i="2"/>
  <c r="AQ12" i="2"/>
  <c r="AR12" i="2"/>
  <c r="AS12" i="2" s="1"/>
  <c r="AP13" i="2"/>
  <c r="AQ13" i="2"/>
  <c r="AR13" i="2"/>
  <c r="AS13" i="2"/>
  <c r="AP14" i="2"/>
  <c r="AQ14" i="2"/>
  <c r="AR14" i="2"/>
  <c r="AS14" i="2"/>
  <c r="AP15" i="2"/>
  <c r="AQ15" i="2"/>
  <c r="AR15" i="2"/>
  <c r="AS15" i="2" s="1"/>
  <c r="AP16" i="2"/>
  <c r="AQ16" i="2"/>
  <c r="AR16" i="2"/>
  <c r="AS16" i="2"/>
  <c r="AP17" i="2"/>
  <c r="AQ17" i="2"/>
  <c r="AR17" i="2"/>
  <c r="AS17" i="2"/>
  <c r="AP18" i="2"/>
  <c r="AQ18" i="2"/>
  <c r="AR18" i="2"/>
  <c r="AS18" i="2"/>
  <c r="AP19" i="2"/>
  <c r="AQ19" i="2"/>
  <c r="AR19" i="2"/>
  <c r="AS19" i="2" s="1"/>
  <c r="AP20" i="2"/>
  <c r="AQ20" i="2"/>
  <c r="AR20" i="2"/>
  <c r="AS20" i="2"/>
  <c r="AP21" i="2"/>
  <c r="AS21" i="2" s="1"/>
  <c r="AQ21" i="2"/>
  <c r="AR21" i="2"/>
  <c r="AP22" i="2"/>
  <c r="AQ22" i="2"/>
  <c r="AR22" i="2"/>
  <c r="AS22" i="2"/>
  <c r="AP23" i="2"/>
  <c r="AQ23" i="2"/>
  <c r="AR23" i="2"/>
  <c r="AS23" i="2"/>
  <c r="AP24" i="2"/>
  <c r="AQ24" i="2"/>
  <c r="AR24" i="2"/>
  <c r="AS24" i="2"/>
  <c r="AP25" i="2"/>
  <c r="AQ25" i="2"/>
  <c r="AR25" i="2"/>
  <c r="AS25" i="2" s="1"/>
  <c r="AP26" i="2"/>
  <c r="AS26" i="2" s="1"/>
  <c r="AQ26" i="2"/>
  <c r="AR26" i="2"/>
  <c r="AR11" i="2"/>
  <c r="AQ11" i="2"/>
  <c r="AP11" i="2"/>
  <c r="L11" i="3" l="1"/>
  <c r="L23" i="3"/>
  <c r="L12" i="3"/>
  <c r="L16" i="3"/>
  <c r="L24" i="3"/>
  <c r="L14" i="3"/>
  <c r="L22" i="3"/>
  <c r="L15" i="3"/>
  <c r="L19" i="3"/>
  <c r="L13" i="3"/>
  <c r="L17" i="3"/>
  <c r="L21" i="3"/>
  <c r="L10" i="3"/>
  <c r="K25" i="3"/>
  <c r="H25" i="3"/>
  <c r="AM26" i="2"/>
  <c r="AN26" i="2" s="1"/>
  <c r="AI26" i="2"/>
  <c r="AJ26" i="2" s="1"/>
  <c r="AE26" i="2"/>
  <c r="AF26" i="2" s="1"/>
  <c r="AM25" i="2"/>
  <c r="AN25" i="2" s="1"/>
  <c r="AI25" i="2"/>
  <c r="AJ25" i="2" s="1"/>
  <c r="AE25" i="2"/>
  <c r="AF25" i="2" s="1"/>
  <c r="AM24" i="2"/>
  <c r="AN24" i="2" s="1"/>
  <c r="AI24" i="2"/>
  <c r="AJ24" i="2" s="1"/>
  <c r="AE24" i="2"/>
  <c r="AF24" i="2" s="1"/>
  <c r="AM23" i="2"/>
  <c r="AN23" i="2" s="1"/>
  <c r="AI23" i="2"/>
  <c r="AJ23" i="2" s="1"/>
  <c r="AE23" i="2"/>
  <c r="AF23" i="2" s="1"/>
  <c r="AM22" i="2"/>
  <c r="AN22" i="2" s="1"/>
  <c r="AI22" i="2"/>
  <c r="AJ22" i="2" s="1"/>
  <c r="AE22" i="2"/>
  <c r="AF22" i="2" s="1"/>
  <c r="AM21" i="2"/>
  <c r="AN21" i="2" s="1"/>
  <c r="AI21" i="2"/>
  <c r="AJ21" i="2" s="1"/>
  <c r="AE21" i="2"/>
  <c r="AF21" i="2" s="1"/>
  <c r="AM20" i="2"/>
  <c r="AN20" i="2" s="1"/>
  <c r="AI20" i="2"/>
  <c r="AJ20" i="2" s="1"/>
  <c r="AE20" i="2"/>
  <c r="AF20" i="2" s="1"/>
  <c r="AM19" i="2"/>
  <c r="AN19" i="2" s="1"/>
  <c r="AI19" i="2"/>
  <c r="AJ19" i="2" s="1"/>
  <c r="AE19" i="2"/>
  <c r="AF19" i="2" s="1"/>
  <c r="AM18" i="2"/>
  <c r="AN18" i="2" s="1"/>
  <c r="AI18" i="2"/>
  <c r="AJ18" i="2" s="1"/>
  <c r="AE18" i="2"/>
  <c r="AF18" i="2" s="1"/>
  <c r="AM17" i="2"/>
  <c r="AN17" i="2" s="1"/>
  <c r="AI17" i="2"/>
  <c r="AJ17" i="2" s="1"/>
  <c r="AE17" i="2"/>
  <c r="AF17" i="2" s="1"/>
  <c r="AM16" i="2"/>
  <c r="AN16" i="2" s="1"/>
  <c r="AI16" i="2"/>
  <c r="AJ16" i="2" s="1"/>
  <c r="AE16" i="2"/>
  <c r="AF16" i="2" s="1"/>
  <c r="AM15" i="2"/>
  <c r="AN15" i="2" s="1"/>
  <c r="AI15" i="2"/>
  <c r="AJ15" i="2" s="1"/>
  <c r="AE15" i="2"/>
  <c r="AF15" i="2" s="1"/>
  <c r="AM14" i="2"/>
  <c r="AN14" i="2" s="1"/>
  <c r="AI14" i="2"/>
  <c r="AJ14" i="2" s="1"/>
  <c r="AE14" i="2"/>
  <c r="AF14" i="2" s="1"/>
  <c r="AM13" i="2"/>
  <c r="AN13" i="2" s="1"/>
  <c r="AI13" i="2"/>
  <c r="AJ13" i="2" s="1"/>
  <c r="AE13" i="2"/>
  <c r="AF13" i="2" s="1"/>
  <c r="AM12" i="2"/>
  <c r="AN12" i="2" s="1"/>
  <c r="AI12" i="2"/>
  <c r="AJ12" i="2" s="1"/>
  <c r="AE12" i="2"/>
  <c r="AF12" i="2" s="1"/>
  <c r="AM11" i="2"/>
  <c r="AN11" i="2" s="1"/>
  <c r="AI11" i="2"/>
  <c r="AJ11" i="2" s="1"/>
  <c r="AE11" i="2"/>
  <c r="AF11" i="2" s="1"/>
  <c r="AA12" i="2"/>
  <c r="AB12" i="2" s="1"/>
  <c r="AA13" i="2"/>
  <c r="AB13" i="2" s="1"/>
  <c r="AA14" i="2"/>
  <c r="AB14" i="2" s="1"/>
  <c r="AA15" i="2"/>
  <c r="AB15" i="2" s="1"/>
  <c r="AA16" i="2"/>
  <c r="AB16" i="2" s="1"/>
  <c r="AA17" i="2"/>
  <c r="AB17" i="2" s="1"/>
  <c r="AA18" i="2"/>
  <c r="AB18" i="2" s="1"/>
  <c r="AA19" i="2"/>
  <c r="AB19" i="2" s="1"/>
  <c r="AA20" i="2"/>
  <c r="AB20" i="2" s="1"/>
  <c r="AA21" i="2"/>
  <c r="AB21" i="2" s="1"/>
  <c r="AA22" i="2"/>
  <c r="AB22" i="2" s="1"/>
  <c r="AA23" i="2"/>
  <c r="AB23" i="2" s="1"/>
  <c r="AA24" i="2"/>
  <c r="AB24" i="2" s="1"/>
  <c r="AA25" i="2"/>
  <c r="AB25" i="2" s="1"/>
  <c r="AA26" i="2"/>
  <c r="AB26" i="2" s="1"/>
  <c r="AA11" i="2"/>
  <c r="AB11" i="2" s="1"/>
  <c r="W12" i="2"/>
  <c r="X12" i="2" s="1"/>
  <c r="W13" i="2"/>
  <c r="X13" i="2" s="1"/>
  <c r="W14" i="2"/>
  <c r="X14" i="2" s="1"/>
  <c r="W15" i="2"/>
  <c r="X15" i="2" s="1"/>
  <c r="W16" i="2"/>
  <c r="X16" i="2" s="1"/>
  <c r="W17" i="2"/>
  <c r="X17" i="2" s="1"/>
  <c r="W18" i="2"/>
  <c r="X18" i="2" s="1"/>
  <c r="W19" i="2"/>
  <c r="X19" i="2" s="1"/>
  <c r="W20" i="2"/>
  <c r="X20" i="2" s="1"/>
  <c r="W21" i="2"/>
  <c r="X21" i="2" s="1"/>
  <c r="W22" i="2"/>
  <c r="X22" i="2" s="1"/>
  <c r="W23" i="2"/>
  <c r="X23" i="2" s="1"/>
  <c r="W24" i="2"/>
  <c r="X24" i="2" s="1"/>
  <c r="W25" i="2"/>
  <c r="X25" i="2" s="1"/>
  <c r="W26" i="2"/>
  <c r="X26" i="2" s="1"/>
  <c r="W11" i="2"/>
  <c r="X11" i="2" s="1"/>
  <c r="S12" i="2"/>
  <c r="T12" i="2" s="1"/>
  <c r="S13" i="2"/>
  <c r="T13" i="2" s="1"/>
  <c r="S14" i="2"/>
  <c r="T14" i="2" s="1"/>
  <c r="S15" i="2"/>
  <c r="T15" i="2" s="1"/>
  <c r="S16" i="2"/>
  <c r="T16" i="2" s="1"/>
  <c r="S17" i="2"/>
  <c r="T17" i="2" s="1"/>
  <c r="S18" i="2"/>
  <c r="T18" i="2" s="1"/>
  <c r="S19" i="2"/>
  <c r="T19" i="2" s="1"/>
  <c r="S20" i="2"/>
  <c r="T20" i="2" s="1"/>
  <c r="S21" i="2"/>
  <c r="T21" i="2" s="1"/>
  <c r="S22" i="2"/>
  <c r="T22" i="2" s="1"/>
  <c r="S23" i="2"/>
  <c r="T23" i="2" s="1"/>
  <c r="S24" i="2"/>
  <c r="T24" i="2" s="1"/>
  <c r="S25" i="2"/>
  <c r="T25" i="2" s="1"/>
  <c r="S26" i="2"/>
  <c r="T26" i="2" s="1"/>
  <c r="S11" i="2"/>
  <c r="T11" i="2" s="1"/>
  <c r="L25" i="3" l="1"/>
  <c r="AN27" i="2"/>
  <c r="AJ27" i="2"/>
  <c r="AF27" i="2"/>
  <c r="O12" i="2"/>
  <c r="P12" i="2" s="1"/>
  <c r="O13" i="2"/>
  <c r="P13" i="2" s="1"/>
  <c r="O14" i="2"/>
  <c r="P14" i="2" s="1"/>
  <c r="O15" i="2"/>
  <c r="P15" i="2" s="1"/>
  <c r="O16" i="2"/>
  <c r="P16" i="2" s="1"/>
  <c r="O17" i="2"/>
  <c r="P17" i="2" s="1"/>
  <c r="O18" i="2"/>
  <c r="P18" i="2"/>
  <c r="O19" i="2"/>
  <c r="P19" i="2" s="1"/>
  <c r="O20" i="2"/>
  <c r="P20" i="2" s="1"/>
  <c r="O21" i="2"/>
  <c r="P21" i="2" s="1"/>
  <c r="O22" i="2"/>
  <c r="P22" i="2" s="1"/>
  <c r="O23" i="2"/>
  <c r="P23" i="2" s="1"/>
  <c r="O24" i="2"/>
  <c r="P24" i="2" s="1"/>
  <c r="O25" i="2"/>
  <c r="P25" i="2" s="1"/>
  <c r="O26" i="2"/>
  <c r="P26" i="2" s="1"/>
  <c r="O11" i="2"/>
  <c r="P11" i="2" s="1"/>
  <c r="K12" i="2"/>
  <c r="L12" i="2" s="1"/>
  <c r="K13" i="2"/>
  <c r="L13" i="2" s="1"/>
  <c r="K14" i="2"/>
  <c r="L14" i="2" s="1"/>
  <c r="K15" i="2"/>
  <c r="L15" i="2" s="1"/>
  <c r="K16" i="2"/>
  <c r="L16" i="2" s="1"/>
  <c r="K17" i="2"/>
  <c r="L17" i="2" s="1"/>
  <c r="K18" i="2"/>
  <c r="L18" i="2" s="1"/>
  <c r="K19" i="2"/>
  <c r="L19" i="2" s="1"/>
  <c r="K20" i="2"/>
  <c r="L20" i="2" s="1"/>
  <c r="K21" i="2"/>
  <c r="L21" i="2" s="1"/>
  <c r="K22" i="2"/>
  <c r="L22" i="2" s="1"/>
  <c r="K23" i="2"/>
  <c r="L23" i="2" s="1"/>
  <c r="K24" i="2"/>
  <c r="L24" i="2" s="1"/>
  <c r="K25" i="2"/>
  <c r="L25" i="2" s="1"/>
  <c r="K26" i="2"/>
  <c r="L26" i="2" s="1"/>
  <c r="G25" i="2"/>
  <c r="H25" i="2" s="1"/>
  <c r="G26" i="2"/>
  <c r="H26"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12" i="2"/>
  <c r="H12" i="2" s="1"/>
  <c r="G11" i="2"/>
  <c r="H11" i="2" s="1"/>
  <c r="D27" i="2" l="1"/>
  <c r="BB11" i="2"/>
  <c r="BA11" i="2"/>
  <c r="AZ11" i="2"/>
  <c r="AW11" i="2"/>
  <c r="AV11" i="2"/>
  <c r="AU11" i="2"/>
  <c r="AB27" i="2"/>
  <c r="X27" i="2"/>
  <c r="T27" i="2"/>
  <c r="K11" i="2"/>
  <c r="H27" i="2"/>
  <c r="L11" i="2" l="1"/>
  <c r="L27" i="2" s="1"/>
  <c r="AX11" i="2"/>
  <c r="BK27" i="2" s="1"/>
  <c r="BC11" i="2"/>
  <c r="BN11" i="2" s="1"/>
  <c r="AS11" i="2"/>
  <c r="BG27" i="2" s="1"/>
  <c r="P27" i="2"/>
  <c r="BO11" i="2" l="1"/>
  <c r="BO27" i="2" s="1"/>
  <c r="P25" i="3" l="1"/>
  <c r="X25" i="3"/>
  <c r="X27" i="3" l="1"/>
  <c r="E10" i="4" s="1"/>
  <c r="E11" i="4" s="1"/>
  <c r="P27" i="3"/>
  <c r="C10" i="4" s="1"/>
  <c r="F10" i="4" s="1"/>
  <c r="T25" i="3"/>
  <c r="T27" i="3" s="1"/>
  <c r="D23" i="4" l="1"/>
  <c r="E15" i="4"/>
  <c r="D11" i="4"/>
  <c r="D15" i="4" s="1"/>
  <c r="C11" i="4"/>
  <c r="C15" i="4" s="1"/>
  <c r="D22" i="4" l="1"/>
  <c r="F11" i="4"/>
  <c r="D20" i="4"/>
</calcChain>
</file>

<file path=xl/sharedStrings.xml><?xml version="1.0" encoding="utf-8"?>
<sst xmlns="http://schemas.openxmlformats.org/spreadsheetml/2006/main" count="515" uniqueCount="171">
  <si>
    <t>OBJETO</t>
  </si>
  <si>
    <t>IVA</t>
  </si>
  <si>
    <t>TARIFA MINIMA SECTOR PUBLICO</t>
  </si>
  <si>
    <t>VALOR TARIFA MINIMA SECTOR PUBLICO</t>
  </si>
  <si>
    <t>MODALIDAD DE MEDIO, TARIFA, PORCENTAJE  ADMINISTRACION  Y SUPERVISION.</t>
  </si>
  <si>
    <t>MODALIDAD MEDIO</t>
  </si>
  <si>
    <t>TARIFA</t>
  </si>
  <si>
    <t xml:space="preserve">PORCENTAJE A Y S </t>
  </si>
  <si>
    <t>VALOR A Y S</t>
  </si>
  <si>
    <t>TARIFA + A Y S</t>
  </si>
  <si>
    <t>24 HORAS 30 DIAS AL MES MEDIO HUMANO SIN ARMA</t>
  </si>
  <si>
    <t>24 HORAS 30 DIAS AL MES MEDIO HUMANO CON  ARMA</t>
  </si>
  <si>
    <t>DIAS A TENER EN CUENTA PARA EL COBRO DE LAS TARIFAS MINIMAS EN LA PRESTACION DE LOS SERVICIOS DE VIGILANCIA Y SEGURIDAD PRIVADA PARA 2024</t>
  </si>
  <si>
    <t xml:space="preserve">LUNES A VIERNES SIN FESTIVOS </t>
  </si>
  <si>
    <t>LUNES A VIERNES CON FESTIVOS</t>
  </si>
  <si>
    <t>LUNES A SABADO SIN FESTIVOS</t>
  </si>
  <si>
    <t>LUNES A SABADO CON FESTIVOS</t>
  </si>
  <si>
    <t>FESTIVOS</t>
  </si>
  <si>
    <t>SABADOS Y DOMINGOS</t>
  </si>
  <si>
    <t>SABADOS, DOMINGOS Y FESTIVOS</t>
  </si>
  <si>
    <t>VARIABLE DE PROPORCIONALIDAD SOBRE EL VALOR DEL SERVICIO ESTABLECIDO PARA UN SERVICIO DE VEINTICUATRO (24) HORAS Y TREINTA (30) DÍAS AL MES Y EN LOS TÉRMINOS DE LA JORNADA LABORAL VIGENTE.</t>
  </si>
  <si>
    <t xml:space="preserve">JORNADA LABORAL  </t>
  </si>
  <si>
    <t>VARIABLE DE PROPORCIONALIDAD</t>
  </si>
  <si>
    <t>JORNADA LABORAL</t>
  </si>
  <si>
    <t xml:space="preserve">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t>
  </si>
  <si>
    <t>Lo anterior, corresponde a la aplicación de la siguiente fórmula matemática:  (SMLMV x TARIFA DE SERVICIOS) x VARIABLE PROPORCIONALIDAD) /30) x DÍAS
QUE SE REQUIERE EL SERVICIO) /JORNADA LABORAL) x HORAS REQUERIDAS DEL SERVICIO.</t>
  </si>
  <si>
    <t>SEGURIDAD CAMALEÓN LTDA.</t>
  </si>
  <si>
    <t>ITEM</t>
  </si>
  <si>
    <t>DESCRIPCION</t>
  </si>
  <si>
    <t xml:space="preserve">UBICACIÓN </t>
  </si>
  <si>
    <t xml:space="preserve">CANTIDAD </t>
  </si>
  <si>
    <t>COTIZACIÓN 1</t>
  </si>
  <si>
    <t>COTIZACIÓN 2</t>
  </si>
  <si>
    <t>ANÁLISIS DE VARIABLES</t>
  </si>
  <si>
    <t>VALORES TOMADOS</t>
  </si>
  <si>
    <t>VALORES DEFINITIVOS  2026 INCLUIDO AIU E IVA</t>
  </si>
  <si>
    <t>VALORES DEFINITIVOS  2027 INCLUIDO AIU E IVA</t>
  </si>
  <si>
    <t>VALORES DEFINITIVOS  2028 INCLUIDO AIU E IVA</t>
  </si>
  <si>
    <t>VALOR UNITARIO CON AIU E IVA
2026</t>
  </si>
  <si>
    <t>VALOR UNITARIO CON AIU E IVA
2027</t>
  </si>
  <si>
    <t>VALOR UNITARIO CON AIU E IVA
2028</t>
  </si>
  <si>
    <t>MESES</t>
  </si>
  <si>
    <t>SUBTOTAL UNITARIO MENSUAL  INCLUIDO  AIU   E  IVA</t>
  </si>
  <si>
    <t>SUBTOTAL MES POR TOTALES  REQUERIDOS INCLUIDO  AIU   E  IVA</t>
  </si>
  <si>
    <t>VALOR TOTAL 1 MES  INCLUIDO  AIU   E  IVA</t>
  </si>
  <si>
    <t>VALOR TOTAL 12 MESES   INCLUIDO  AIU   E  IVA</t>
  </si>
  <si>
    <t>VALOR TOTAL 11 MESES   INCLUIDO  AIU   E  IVA</t>
  </si>
  <si>
    <t>COTIZACIÓN MÁS BAJA</t>
  </si>
  <si>
    <t>COTIZACIÓN MÁS ALTA</t>
  </si>
  <si>
    <t>PROMEDIO</t>
  </si>
  <si>
    <t>MEDIA ARITMÉTICA BAJA</t>
  </si>
  <si>
    <t>CONFORME A LO ESPECIFICADO EN LA FICHA TECNICA</t>
  </si>
  <si>
    <r>
      <t>MONITOR DE 43" LED FULL HD</t>
    </r>
    <r>
      <rPr>
        <sz val="12"/>
        <color theme="1"/>
        <rFont val="Arial"/>
        <family val="2"/>
      </rPr>
      <t>, Resolución: Full HD 1920x1080, Brillo de 400 cd/m2, Entradas HDMI, VGA, USB. Salida de audio.  Capacidad de trabajo 7/24.</t>
    </r>
  </si>
  <si>
    <r>
      <t xml:space="preserve">CAMARAS IP TIPO MINI DOMO </t>
    </r>
    <r>
      <rPr>
        <sz val="12"/>
        <color theme="1"/>
        <rFont val="Arial"/>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</si>
  <si>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t xml:space="preserve">CAMARAS IP TIPO BALA </t>
    </r>
    <r>
      <rPr>
        <sz val="12"/>
        <color rgb="FF000000"/>
        <rFont val="Arial"/>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</si>
  <si>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t xml:space="preserve">CIBERDOMO IP PTZ </t>
    </r>
    <r>
      <rPr>
        <sz val="12"/>
        <color rgb="FF000000"/>
        <rFont val="Arial"/>
        <family val="2"/>
      </rPr>
      <t>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r>
  </si>
  <si>
    <r>
      <t>GRABADOR DE 8/16/32 CANALES PENTAHIBRIDO</t>
    </r>
    <r>
      <rPr>
        <sz val="12"/>
        <color rgb="FF000000"/>
        <rFont val="Arial"/>
        <family val="2"/>
      </rPr>
      <t xml:space="preserve">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</si>
  <si>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t>CONTROL JOYSTICK</t>
    </r>
    <r>
      <rPr>
        <sz val="12"/>
        <color rgb="FF000000"/>
        <rFont val="Arial"/>
        <family val="2"/>
      </rPr>
      <t>. Joystick tridimensional para el control de Cámaras PTZ. Funciones: Posición Predeterminada, Auto Scan, Auto Pan, Auto Tour.</t>
    </r>
  </si>
  <si>
    <r>
      <t>SISTEMA DE IDENTIFICACIÓN BIOMÉTRICA PARA INGRESO DE FUNCIONARIOS.</t>
    </r>
    <r>
      <rPr>
        <sz val="12"/>
        <color rgb="FF000000"/>
        <rFont val="Arial"/>
        <family val="2"/>
      </rPr>
      <t xml:space="preserve">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</si>
  <si>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t>SISTEMA DE REGISTRO Y CONTROL DE ACCESO DE VISITANTES.</t>
    </r>
    <r>
      <rPr>
        <sz val="12"/>
        <color rgb="FF000000"/>
        <rFont val="Arial"/>
        <family val="2"/>
      </rPr>
      <t xml:space="preserve">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</si>
  <si>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t xml:space="preserve">ARCO DETECTOR DE METALES </t>
    </r>
    <r>
      <rPr>
        <sz val="12"/>
        <color rgb="FF000000"/>
        <rFont val="Arial"/>
        <family val="2"/>
      </rPr>
      <t>18</t>
    </r>
    <r>
      <rPr>
        <b/>
        <sz val="12"/>
        <color rgb="FF000000"/>
        <rFont val="Arial"/>
        <family val="2"/>
      </rPr>
      <t xml:space="preserve"> </t>
    </r>
    <r>
      <rPr>
        <sz val="12"/>
        <color rgb="FF000000"/>
        <rFont val="Arial"/>
        <family val="2"/>
      </rPr>
      <t>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 inflamable. Función de autodiagnóstico al encenderse, sin necesidad de calibración inicial o periódica. Batería de respaldo con duración de 4-8 horas. Inofensivo para el cuerpo humano, personas con marcapasos, colgantes magnéticos, prótesis, mujeres embarazadas, etc.</t>
    </r>
  </si>
  <si>
    <r>
      <t>UPS RESPALDO DE ENERGIA DE 3KVA PARA SOPORTAR SISTEMA DE CCTV</t>
    </r>
    <r>
      <rPr>
        <sz val="12"/>
        <color rgb="FF000000"/>
        <rFont val="Arial"/>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FUIDO ELÉCTRICO.</t>
    </r>
  </si>
  <si>
    <r>
      <t xml:space="preserve">DISCO DURO </t>
    </r>
    <r>
      <rPr>
        <sz val="12"/>
        <color rgb="FF000000"/>
        <rFont val="Arial"/>
        <family val="2"/>
      </rPr>
      <t>MULTIMARCA QUE SOPORTE FUNCION RAID PARA CCTV.</t>
    </r>
  </si>
  <si>
    <r>
      <t xml:space="preserve">MOLINETE BIDIRECCIONAL: </t>
    </r>
    <r>
      <rPr>
        <sz val="12"/>
        <color rgb="FF000000"/>
        <rFont val="Arial"/>
        <family val="2"/>
      </rPr>
      <t>Molinete bidireccional para tráfico continuo, Brazo abatible. Pulsador de liberación de emergencia. De acuerdo con el caso de uso (Sistema ingreso funcionarios o Sistema ingreso de visitantes) Debe contar con espacio para la instalación de lectoras apropiadas.</t>
    </r>
    <r>
      <rPr>
        <b/>
        <sz val="12"/>
        <color rgb="FF000000"/>
        <rFont val="Arial"/>
        <family val="2"/>
      </rPr>
      <t xml:space="preserve"> EL NÚMERO DE MOLINETES A INSTALAR DEPENDERÁ DE LA NECESIDAD DE CADA SEDE.</t>
    </r>
  </si>
  <si>
    <r>
      <t>SCANER DE RAYOS X</t>
    </r>
    <r>
      <rPr>
        <sz val="12"/>
        <color rgb="FF000000"/>
        <rFont val="Arial"/>
        <family val="2"/>
      </rPr>
      <t>. 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t>
    </r>
  </si>
  <si>
    <r>
      <t>KIT DE ALARMA BASICO</t>
    </r>
    <r>
      <rPr>
        <sz val="12"/>
        <color rgb="FF000000"/>
        <rFont val="Arial"/>
        <family val="2"/>
      </rPr>
      <t>•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r>
  </si>
  <si>
    <t>REGIONAL CARIBE</t>
  </si>
  <si>
    <t>SUBTOTAL REGIONAL CARIBE</t>
  </si>
  <si>
    <t>COMPAÑÍA DE VIGILANCIA VIASERVIN LTDA</t>
  </si>
  <si>
    <t>COTIZACIÓN No. 3</t>
  </si>
  <si>
    <t>VALORES DEFINITIVOS  VIGENCIAS 2026-2028</t>
  </si>
  <si>
    <t>MONITOR DE 43" LED FULL HD, Resolución: Full HD 1920x1080, Brillo de 400 cd/m2, Entradas HDMI, VGA, USB. Salida de audio.  Capacidad de trabajo 7/24.</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</si>
  <si>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</si>
  <si>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</si>
  <si>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DISCO DURO MULTIMARCA QUE SOPORTE FUNCION RAID PARA CCTV.</t>
  </si>
  <si>
    <t>CONTROL JOYSTICK. Joystick tridimensional para el control de Cámaras PTZ. Funciones: Posición Predeterminada, Auto Scan, Auto Pan, Auto Tour.</t>
  </si>
  <si>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</si>
  <si>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KIT DE ALARMA BASICO•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</si>
  <si>
    <t>SISTEMA DE IDENTIFICACIÓN BIOMÉTRICA PARA INGRESO DE FUNCIONARIOS.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</si>
  <si>
    <t>CAMARAS IP TIPO MINI DOMO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</si>
  <si>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CAMARAS IP TIPO BALA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</si>
  <si>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</si>
  <si>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 inflamable. Función de autodiagnóstico al encenderse, sin necesidad de calibración inicial o periódica. Batería de respaldo con duración de 4-8 horas. Inofensivo para el cuerpo humano, personas con marcapasos, colgantes magnéticos, prótesis, mujeres embarazadas, etc.</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</si>
  <si>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</si>
  <si>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UPS RESPALDO DE ENERGIA DE 3KVA PARA SOPORTAR SISTEMA DE CCTV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FUIDO ELÉCTRICO.</t>
  </si>
  <si>
    <t>MOLINETE BIDIRECCIONAL: Molinete bidireccional para tráfico continuo,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</si>
  <si>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SCANER DE RAYOS X. 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t>
  </si>
  <si>
    <t>REGIONAL CABIBE</t>
  </si>
  <si>
    <t xml:space="preserve">PROYECCIÓN  VALOR UNITARIO SIN IVA (IPC / Indices - Serie de empalme) </t>
  </si>
  <si>
    <r>
      <t xml:space="preserve">VALOR UNITARIO INCLUIDO AIU E IVA
</t>
    </r>
    <r>
      <rPr>
        <b/>
        <u/>
        <sz val="12"/>
        <rFont val="Arial Narrow"/>
        <family val="2"/>
      </rPr>
      <t>ESTUDIO DEL SECTOR 2024</t>
    </r>
  </si>
  <si>
    <t>VALOR UNITARIO INCLUIDO AIU E IVA</t>
  </si>
  <si>
    <t>JULIO. 2024</t>
  </si>
  <si>
    <t>ANÁLISIS PROYECCIÓN COSTOS HISTÓRICOS</t>
  </si>
  <si>
    <t>HISTORICO</t>
  </si>
  <si>
    <t>VALOR TOTAL INCLUIDO AIU E IVA</t>
  </si>
  <si>
    <t>TOTALES</t>
  </si>
  <si>
    <t xml:space="preserve">DESCRIPCIÓN </t>
  </si>
  <si>
    <t>VALOR TOTAL 2026</t>
  </si>
  <si>
    <t>TOTAL X ÌTEM</t>
  </si>
  <si>
    <t>FACTOR HUMANO-FGN</t>
  </si>
  <si>
    <t xml:space="preserve">MEDIOS TECNOLOGICOS </t>
  </si>
  <si>
    <t>TOTAL FGN</t>
  </si>
  <si>
    <t>FACTOR HUMANO-FEAB</t>
  </si>
  <si>
    <t>N.A</t>
  </si>
  <si>
    <t>VALOR TOTAL FEAB</t>
  </si>
  <si>
    <t>VALOR TOTAL PRESUPUESTO OFICIAL VIGENCIAS 2024 - 2025 - 2026</t>
  </si>
  <si>
    <t>DIFERENCIA FRENTE A RESULTADO ESTUDIO DE MERCADO</t>
  </si>
  <si>
    <t>PRESUPUESTO FGN 2026:</t>
  </si>
  <si>
    <t>PRESUPUESTO FEAB 2026:</t>
  </si>
  <si>
    <t>PRESUPUESTO 2027:</t>
  </si>
  <si>
    <t>PRESUPUESTO 2028:</t>
  </si>
  <si>
    <t>VALOR TOTAL 2027</t>
  </si>
  <si>
    <t>VALOR TOTAL 2028</t>
  </si>
  <si>
    <t>N/A</t>
  </si>
  <si>
    <t>PRESTAR LOS SERVICIOS DE VIGILANCIA Y SEGURIDAD PRIVADA FIJA Y MÓVIL, CON MEDIOS TECNOLÓGICOS Y PERSONAL UNIFORMADO CON Y SIN ARMAS, PARA LA ADECUADA PROTECCIÓN, CUSTODIA, AMPARO Y SALVAGUARDA DE LAS PERSONAS QUE LABORAN E INGRESAN A LAS INSTALACIONES Y DE LOS BIENES MUEBLES E INMUEBLES DE LA FISCALÍA GENERAL DE LA NACIÓN Y DEL FONDO ESPECIAL PARA LA ADMINISTRACIÓN DE BIENES (FEAB), EN LA REGIONAL CARIBE, CONFORMADA POR LAS SECCIONALES: I) LA GUAJIRA, II) CESAR, III) MAGDALENA, IV) ATLÁNTICO Y V) BOLÍVAR, SAN ANDRÉS Y PROVIDENCIA.</t>
  </si>
  <si>
    <t>ANÁLISIS DE COTIZACIONES  2026  - 2028 - MEDIOS TECNOLOGICOS</t>
  </si>
  <si>
    <t xml:space="preserve"> PROCESO 
FGN-RCA-IPSE-0090-2024</t>
  </si>
  <si>
    <t>ANEXO 1 - FACTOR HUMANO - VIGENCIA 2026 (1 MES)</t>
  </si>
  <si>
    <t>VARIABLES ESTABLECIDAS POR LA  SUPERINTENDENCIA DE VIGILANCIA Y SEGURIDAD PARA EL AÑO 2026 SEGÚN CIRCULAR EXTERNA Nº 202513000001105CS DEL 30 DE DICIEMBRE DE 2025</t>
  </si>
  <si>
    <t>SALARIO MINIMO 2026</t>
  </si>
  <si>
    <t>VALOR PRIMA SEGURO DE VIDA</t>
  </si>
  <si>
    <t>VALOR TARIFA MÍNIMA MAS PRIMA SEGURO DE VIDA</t>
  </si>
  <si>
    <t>DIAS A TENER EN CUENTA PARA EL COBRO DE LAS TARIFAS MINIMAS EN LA PRESTACION DE LOS SERVICIOS DE VIGILANCIA Y SEGURIDAD PRIVADA PARA 2026</t>
  </si>
  <si>
    <t>6:00:00 a. m. a 7:00 p.m. (Turno de 13 horas Diurnas)</t>
  </si>
  <si>
    <t>7:00 a 6:00 a.m. (Turno de 11 horas Nocturnas)</t>
  </si>
  <si>
    <t>NECESIDAD FGN ( VALORES UNITARIOS  MES)</t>
  </si>
  <si>
    <t>VALIDACION TOTAL DE CIFRAS</t>
  </si>
  <si>
    <t>MODALIDAD /MEDIO</t>
  </si>
  <si>
    <t xml:space="preserve">DIAS  AL MES SEGÚN CIRCULAR DE SUPERVIGILANCIA </t>
  </si>
  <si>
    <t>VALOR MES</t>
  </si>
  <si>
    <t>%  ADMINISTRACION Y SUPERVISION</t>
  </si>
  <si>
    <t>VALOR MES  ADMINISTRACION Y SUPERVISION</t>
  </si>
  <si>
    <t>VALOR MES INCLUIDO  ADMINISTRACION Y SUPERVISION</t>
  </si>
  <si>
    <t>VALOR MES INCLUIDO AYS E IVA</t>
  </si>
  <si>
    <t xml:space="preserve">CONSOLIDADO PUESTOS </t>
  </si>
  <si>
    <t>VALOR 2026
 1 MES</t>
  </si>
  <si>
    <t>24 HRS CON ARMA</t>
  </si>
  <si>
    <t>DOMINGO A DOMINGO</t>
  </si>
  <si>
    <t>24 HRS SIN  ARMA</t>
  </si>
  <si>
    <t>LUNES A VIERNES SIN FESTIVOS</t>
  </si>
  <si>
    <t>NECESIDAD FEAB ( VALORES UNITARIOS  MES)</t>
  </si>
  <si>
    <t>VALOR 2026
  1 MES</t>
  </si>
  <si>
    <t>ANEXO 1.1. - FACTOR HUMANO - VIGENCIA 2027 (12 MESES)</t>
  </si>
  <si>
    <t>NECESIDAD DE LA ENTIDAD ( VALORES UNITARIOS  MES)</t>
  </si>
  <si>
    <t>VALOR TOTAL 2028
11 MESES</t>
  </si>
  <si>
    <t xml:space="preserve">PRESTAR LOS SERVICIOS DE VIGILANCIA Y SEGURIDAD PRIVADA FIJA Y MÓVIL, CON MEDIOS TECNOLÓGICOS Y PERSONAL UNIFORMADO CON Y SIN ARMAS, PARA LA ADECUADA PROTECCIÓN, CUSTODIA, AMPARO Y SALVAGUARDA DE LAS PERSONAS QUE LABORAN E INGRESAN A LAS INSTALACIONES Y DE LOS BIENES MUEBLES E INMUEBLES DE LA FISCALÍA GENERAL DE LA NACIÓN Y DEL FONDO ESPECIAL PARA LA ADMINISTRACIÓN DE BIENES (FEAB), EN LA REGIONAL CARIBE, CONFORMADA POR LAS SECCIONALES: I) LA GUAJIRA, II) CESAR, III) MAGDALENA, IV) ATLÁNTICO Y V) BOLÍVAR, SAN ANDRÉS Y PROVIDENCIA.
</t>
  </si>
  <si>
    <t>24 HRS CON ARMA SAN ANDRÉS SIN IVA</t>
  </si>
  <si>
    <t>12 HRS DIURNO CON ARMA</t>
  </si>
  <si>
    <t>12 HRS DIURNO CON  ARMA</t>
  </si>
  <si>
    <t xml:space="preserve">12 HRS DIURNO CON ARMA </t>
  </si>
  <si>
    <t>12 HRS DIURNO SIN ARMA</t>
  </si>
  <si>
    <t>LUNES A VIERNE SIN FESTIVOS</t>
  </si>
  <si>
    <t>ANEXO 1.1. - FACTOR HUMANO - VIGENCIA 2027 (11 MESES)</t>
  </si>
  <si>
    <t xml:space="preserve">TOTAL </t>
  </si>
  <si>
    <t>Presupuesto CDP</t>
  </si>
  <si>
    <t xml:space="preserve">DIFERENCIA </t>
  </si>
  <si>
    <t xml:space="preserve">VALORES DE ENERO A JUNIO </t>
  </si>
  <si>
    <t>VALORES DE JULIO A DICIEMBRE</t>
  </si>
  <si>
    <t xml:space="preserve">VALOR 2027
  6 MESES </t>
  </si>
  <si>
    <r>
      <t>SWITCH DE 8/16/24 PUERTOS POE</t>
    </r>
    <r>
      <rPr>
        <sz val="12"/>
        <color rgb="FF000000"/>
        <rFont val="Arial"/>
        <family val="2"/>
      </rPr>
      <t xml:space="preserve"> Puertos giga. Full poe ,700w. 2 puertos SFP. Apilable, QOS, ESTANDARES: IEEE 802.3 10BASE-T Ethernet, IEEE 802.3u 100BASE-TX Fast Ethernet, IEEE 802.3ab 1000BASE- T Gigabit Ethernet. DEBE INCLUIR PATCH PANEL MINIMO CAT 6, ORGANIZADORES DE CABLES, ACCESORIOS Y TORNILLERIA PARA MONTAJE EN RACK.</t>
    </r>
  </si>
  <si>
    <r>
      <t>RACK DE PISO O EMPOTRABLE,</t>
    </r>
    <r>
      <rPr>
        <sz val="12"/>
        <color rgb="FF000000"/>
        <rFont val="Arial"/>
        <family val="2"/>
      </rPr>
      <t xml:space="preserve">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r>
  </si>
  <si>
    <t>SEPTIEMBRE 2026</t>
  </si>
  <si>
    <t>VALOR 2027
 6 MESES</t>
  </si>
  <si>
    <t>VALORES DE ENERO A JUNIO FEAB</t>
  </si>
  <si>
    <t>VALORES DE JUNIO A DICIEMBRE FEAB</t>
  </si>
  <si>
    <t>TOTAL FEAB 2027</t>
  </si>
  <si>
    <t>TOTAL FISCALIA 2027</t>
  </si>
  <si>
    <t>VALORES DE ENERO A NOVIEMBRE 2028 FEAB</t>
  </si>
  <si>
    <t>VALOR 2027
 11 MESES</t>
  </si>
  <si>
    <t>TOTAL FEAB 2028</t>
  </si>
  <si>
    <t xml:space="preserve">TOTAL FISCALIA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</si>
</sst>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4" formatCode="_-&quot;$&quot;\ * #,##0.00_-;\-&quot;$&quot;\ * #,##0.00_-;_-&quot;$&quot;\ * &quot;-&quot;??_-;_-@_-"/>
    <numFmt numFmtId="43" formatCode="_-* #,##0.00_-;\-* #,##0.00_-;_-* &quot;-&quot;??_-;_-@_-"/>
    <numFmt numFmtId="164" formatCode="_-* #,##0_-;\-* #,##0_-;_-* &quot;-&quot;??_-;_-@_-"/>
    <numFmt numFmtId="165" formatCode="&quot;$&quot;\ #,##0"/>
    <numFmt numFmtId="166" formatCode="0.000%"/>
    <numFmt numFmtId="167" formatCode="&quot;$&quot;#,##0"/>
    <numFmt numFmtId="168" formatCode="#,##0.0"/>
    <numFmt numFmtId="169" formatCode="0.000"/>
    <numFmt numFmtId="170" formatCode="_-&quot;$&quot;* #,##0.00_-;\-&quot;$&quot;* #,##0.00_-;_-&quot;$&quot;* &quot;-&quot;??_-;_-@_-"/>
    <numFmt numFmtId="171" formatCode="_(&quot;$&quot;\ * #,##0_);_(&quot;$&quot;\ * \(#,##0\);_(&quot;$&quot;\ * &quot;-&quot;??_);_(@_)"/>
    <numFmt numFmtId="172" formatCode="&quot;$&quot;\ #,##0.00"/>
    <numFmt numFmtId="173" formatCode="_(&quot;$&quot;\ * #,##0.00_);_(&quot;$&quot;\ * \(#,##0.00\);_(&quot;$&quot;\ * &quot;-&quot;??_);_(@_)"/>
    <numFmt numFmtId="174" formatCode="0.0%"/>
    <numFmt numFmtId="175" formatCode="_-&quot;$&quot;\ * #,##0_-;\-&quot;$&quot;\ * #,##0_-;_-&quot;$&quot;\ * &quot;-&quot;??_-;_-@_-"/>
    <numFmt numFmtId="176" formatCode="&quot;$&quot;#,##0.00"/>
    <numFmt numFmtId="177" formatCode="&quot;$&quot;\ #,##0.0"/>
  </numFmts>
  <fonts count="43" x14ac:knownFonts="1">
    <font>
      <sz val="11"/>
      <color theme="1"/>
      <name val="Aptos Narrow"/>
      <family val="2"/>
      <scheme val="minor"/>
    </font>
    <font>
      <sz val="11"/>
      <color theme="1"/>
      <name val="Aptos Narrow"/>
      <family val="2"/>
      <scheme val="minor"/>
    </font>
    <font>
      <b/>
      <sz val="11"/>
      <color theme="1"/>
      <name val="Arial"/>
      <family val="2"/>
    </font>
    <font>
      <sz val="11"/>
      <color theme="1"/>
      <name val="Arial Narrow"/>
      <family val="2"/>
    </font>
    <font>
      <b/>
      <sz val="11"/>
      <color theme="1"/>
      <name val="Arial Narrow"/>
      <family val="2"/>
    </font>
    <font>
      <b/>
      <sz val="14"/>
      <color theme="1"/>
      <name val="Arial Narrow"/>
      <family val="2"/>
    </font>
    <font>
      <b/>
      <sz val="10"/>
      <color theme="1"/>
      <name val="Arial Narrow"/>
      <family val="2"/>
    </font>
    <font>
      <b/>
      <sz val="13"/>
      <color theme="1"/>
      <name val="Arial Narrow"/>
      <family val="2"/>
    </font>
    <font>
      <sz val="13"/>
      <color theme="1"/>
      <name val="Arial Narrow"/>
      <family val="2"/>
    </font>
    <font>
      <b/>
      <sz val="14"/>
      <name val="Arial Narrow"/>
      <family val="2"/>
    </font>
    <font>
      <sz val="12"/>
      <color theme="1"/>
      <name val="Arial Narrow"/>
      <family val="2"/>
    </font>
    <font>
      <b/>
      <sz val="12"/>
      <color theme="1"/>
      <name val="Arial Narrow"/>
      <family val="2"/>
    </font>
    <font>
      <sz val="12"/>
      <name val="Arial Narrow"/>
      <family val="2"/>
    </font>
    <font>
      <sz val="12"/>
      <color theme="0"/>
      <name val="Arial Narrow"/>
      <family val="2"/>
    </font>
    <font>
      <b/>
      <sz val="12"/>
      <name val="Arial Narrow"/>
      <family val="2"/>
    </font>
    <font>
      <sz val="10"/>
      <name val="Arial"/>
      <family val="2"/>
    </font>
    <font>
      <sz val="12"/>
      <color rgb="FF000000"/>
      <name val="Arial Narrow"/>
      <family val="2"/>
    </font>
    <font>
      <b/>
      <sz val="10"/>
      <name val="Arial Narrow"/>
      <family val="2"/>
    </font>
    <font>
      <b/>
      <sz val="12"/>
      <color rgb="FF000000"/>
      <name val="Arial Narrow"/>
      <family val="2"/>
    </font>
    <font>
      <b/>
      <sz val="12"/>
      <color rgb="FF000000"/>
      <name val="Arial"/>
      <family val="2"/>
    </font>
    <font>
      <sz val="12"/>
      <color theme="1"/>
      <name val="Arial"/>
      <family val="2"/>
    </font>
    <font>
      <sz val="12"/>
      <color rgb="FF000000"/>
      <name val="Arial"/>
      <family val="2"/>
    </font>
    <font>
      <b/>
      <sz val="12"/>
      <color theme="0"/>
      <name val="Arial Narrow"/>
      <family val="2"/>
    </font>
    <font>
      <sz val="10"/>
      <color theme="1"/>
      <name val="Arial Narrow"/>
      <family val="2"/>
    </font>
    <font>
      <b/>
      <u/>
      <sz val="12"/>
      <name val="Arial Narrow"/>
      <family val="2"/>
    </font>
    <font>
      <sz val="14"/>
      <name val="Arial Narrow"/>
      <family val="2"/>
    </font>
    <font>
      <sz val="12"/>
      <color indexed="8"/>
      <name val="Arial Narrow"/>
      <family val="2"/>
    </font>
    <font>
      <b/>
      <sz val="12"/>
      <color rgb="FFFF0000"/>
      <name val="Arial Narrow"/>
      <family val="2"/>
    </font>
    <font>
      <sz val="10"/>
      <color theme="1"/>
      <name val="Arial"/>
      <family val="2"/>
    </font>
    <font>
      <b/>
      <sz val="16"/>
      <color rgb="FF000000"/>
      <name val="Arial Narrow"/>
      <family val="2"/>
    </font>
    <font>
      <sz val="12"/>
      <color theme="1"/>
      <name val="Aptos Narrow"/>
      <family val="2"/>
      <scheme val="minor"/>
    </font>
    <font>
      <b/>
      <sz val="11"/>
      <name val="Arial Narrow"/>
      <family val="2"/>
    </font>
    <font>
      <b/>
      <sz val="14"/>
      <color rgb="FFC00000"/>
      <name val="Arial Narrow"/>
      <family val="2"/>
    </font>
    <font>
      <b/>
      <sz val="12"/>
      <color rgb="FFC00000"/>
      <name val="Arial Narrow"/>
      <family val="2"/>
    </font>
    <font>
      <sz val="16"/>
      <color theme="1"/>
      <name val="Arial Narrow"/>
      <family val="2"/>
    </font>
    <font>
      <sz val="16"/>
      <color theme="1"/>
      <name val="Aptos Narrow"/>
      <family val="2"/>
      <scheme val="minor"/>
    </font>
    <font>
      <b/>
      <sz val="11"/>
      <color theme="1"/>
      <name val="Aptos Narrow"/>
      <family val="2"/>
      <scheme val="minor"/>
    </font>
    <font>
      <sz val="14"/>
      <color theme="1"/>
      <name val="Aptos Narrow"/>
      <family val="2"/>
      <scheme val="minor"/>
    </font>
    <font>
      <sz val="16"/>
      <color rgb="FF000000"/>
      <name val="Aptos Narrow"/>
      <family val="2"/>
      <scheme val="minor"/>
    </font>
    <font>
      <b/>
      <sz val="12"/>
      <color theme="0"/>
      <name val="Aptos Narrow"/>
      <family val="2"/>
      <scheme val="minor"/>
    </font>
    <font>
      <sz val="14"/>
      <color theme="0"/>
      <name val="Aptos Narrow"/>
      <family val="2"/>
      <scheme val="minor"/>
    </font>
    <font>
      <b/>
      <sz val="14"/>
      <color theme="0"/>
      <name val="Aptos Narrow"/>
      <family val="2"/>
      <scheme val="minor"/>
    </font>
    <font>
      <b/>
      <sz val="14"/>
      <color rgb="FFFF0000"/>
      <name val="Arial Narrow"/>
      <family val="2"/>
    </font>
  </fonts>
  <fills count="24">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3" tint="0.79989013336588644"/>
        <bgColor indexed="64"/>
      </patternFill>
    </fill>
    <fill>
      <patternFill patternType="solid">
        <fgColor theme="0"/>
        <bgColor indexed="64"/>
      </patternFill>
    </fill>
    <fill>
      <patternFill patternType="solid">
        <fgColor theme="0" tint="-0.14990691854609822"/>
        <bgColor indexed="64"/>
      </patternFill>
    </fill>
    <fill>
      <patternFill patternType="solid">
        <fgColor indexed="2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3" tint="0.749992370372631"/>
        <bgColor indexed="64"/>
      </patternFill>
    </fill>
    <fill>
      <patternFill patternType="solid">
        <fgColor theme="3" tint="0.89999084444715716"/>
        <bgColor indexed="64"/>
      </patternFill>
    </fill>
    <fill>
      <patternFill patternType="solid">
        <fgColor rgb="FF002060"/>
        <bgColor indexed="64"/>
      </patternFill>
    </fill>
    <fill>
      <patternFill patternType="solid">
        <fgColor theme="1" tint="0.14999847407452621"/>
        <bgColor indexed="64"/>
      </patternFill>
    </fill>
    <fill>
      <patternFill patternType="solid">
        <fgColor theme="2" tint="-0.749992370372631"/>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2"/>
        <bgColor indexed="64"/>
      </patternFill>
    </fill>
    <fill>
      <patternFill patternType="solid">
        <fgColor theme="4" tint="0.79998168889431442"/>
        <bgColor indexed="64"/>
      </patternFill>
    </fill>
    <fill>
      <patternFill patternType="solid">
        <fgColor theme="8" tint="0.79998168889431442"/>
        <bgColor indexed="64"/>
      </patternFill>
    </fill>
  </fills>
  <borders count="43">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rgb="FF000000"/>
      </left>
      <right style="medium">
        <color rgb="FF000000"/>
      </right>
      <top/>
      <bottom style="medium">
        <color rgb="FF000000"/>
      </bottom>
      <diagonal/>
    </border>
    <border>
      <left style="thin">
        <color indexed="64"/>
      </left>
      <right/>
      <top style="thin">
        <color indexed="64"/>
      </top>
      <bottom style="medium">
        <color indexed="64"/>
      </bottom>
      <diagonal/>
    </border>
    <border>
      <left style="medium">
        <color rgb="FF000000"/>
      </left>
      <right/>
      <top style="medium">
        <color rgb="FF000000"/>
      </top>
      <bottom style="medium">
        <color rgb="FF000000"/>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5" fillId="0" borderId="0"/>
    <xf numFmtId="170" fontId="1" fillId="0" borderId="0" applyFont="0" applyFill="0" applyBorder="0" applyAlignment="0" applyProtection="0"/>
    <xf numFmtId="44" fontId="1" fillId="0" borderId="0" applyFont="0" applyFill="0" applyBorder="0" applyAlignment="0" applyProtection="0"/>
  </cellStyleXfs>
  <cellXfs count="447">
    <xf numFmtId="0" fontId="0" fillId="0" borderId="0" xfId="0"/>
    <xf numFmtId="0" fontId="3" fillId="0" borderId="0" xfId="0" applyFont="1"/>
    <xf numFmtId="0" fontId="5" fillId="0" borderId="0" xfId="0" applyFont="1" applyAlignment="1">
      <alignment horizontal="center" wrapText="1"/>
    </xf>
    <xf numFmtId="167" fontId="3" fillId="0" borderId="0" xfId="0" applyNumberFormat="1" applyFont="1" applyAlignment="1">
      <alignment horizontal="center" vertical="center"/>
    </xf>
    <xf numFmtId="0" fontId="3" fillId="0" borderId="0" xfId="0" applyFont="1" applyAlignment="1">
      <alignment vertical="center"/>
    </xf>
    <xf numFmtId="168" fontId="3" fillId="0" borderId="0" xfId="0" applyNumberFormat="1" applyFont="1" applyAlignment="1">
      <alignment horizontal="center"/>
    </xf>
    <xf numFmtId="167" fontId="3" fillId="0" borderId="0" xfId="0" applyNumberFormat="1" applyFont="1" applyAlignment="1">
      <alignment horizontal="center"/>
    </xf>
    <xf numFmtId="0" fontId="4" fillId="0" borderId="6" xfId="0" applyFont="1" applyBorder="1" applyAlignment="1">
      <alignment horizontal="left"/>
    </xf>
    <xf numFmtId="0" fontId="4" fillId="0" borderId="0" xfId="0" applyFont="1" applyAlignment="1">
      <alignment horizontal="left"/>
    </xf>
    <xf numFmtId="167" fontId="3" fillId="0" borderId="7" xfId="0" applyNumberFormat="1" applyFont="1" applyBorder="1" applyAlignment="1">
      <alignment horizontal="center"/>
    </xf>
    <xf numFmtId="0" fontId="5" fillId="0" borderId="0" xfId="0" applyFont="1" applyAlignment="1">
      <alignment horizontal="center"/>
    </xf>
    <xf numFmtId="0" fontId="6" fillId="0" borderId="21" xfId="0" applyFont="1" applyBorder="1"/>
    <xf numFmtId="0" fontId="6" fillId="0" borderId="21" xfId="0" applyFont="1" applyBorder="1" applyAlignment="1">
      <alignment horizontal="center" wrapText="1"/>
    </xf>
    <xf numFmtId="0" fontId="6" fillId="0" borderId="0" xfId="0" applyFont="1"/>
    <xf numFmtId="0" fontId="3" fillId="0" borderId="22" xfId="0" applyFont="1" applyBorder="1" applyAlignment="1">
      <alignment wrapText="1"/>
    </xf>
    <xf numFmtId="167" fontId="3" fillId="0" borderId="23" xfId="0" applyNumberFormat="1" applyFont="1" applyBorder="1" applyAlignment="1">
      <alignment horizontal="center" vertical="center"/>
    </xf>
    <xf numFmtId="9" fontId="3" fillId="0" borderId="23" xfId="0" applyNumberFormat="1" applyFont="1" applyBorder="1" applyAlignment="1">
      <alignment horizontal="center" vertical="center"/>
    </xf>
    <xf numFmtId="167" fontId="3" fillId="0" borderId="0" xfId="0" applyNumberFormat="1" applyFont="1"/>
    <xf numFmtId="0" fontId="3" fillId="0" borderId="24" xfId="0" applyFont="1" applyBorder="1" applyAlignment="1">
      <alignment wrapText="1"/>
    </xf>
    <xf numFmtId="167" fontId="3" fillId="0" borderId="25" xfId="0" applyNumberFormat="1" applyFont="1" applyBorder="1" applyAlignment="1">
      <alignment horizontal="center" vertical="center"/>
    </xf>
    <xf numFmtId="9" fontId="3" fillId="0" borderId="25" xfId="0" applyNumberFormat="1" applyFont="1" applyBorder="1" applyAlignment="1">
      <alignment horizontal="center" vertical="center"/>
    </xf>
    <xf numFmtId="0" fontId="3" fillId="0" borderId="6" xfId="0" applyFont="1" applyBorder="1" applyAlignment="1">
      <alignment wrapText="1"/>
    </xf>
    <xf numFmtId="0" fontId="3" fillId="0" borderId="0" xfId="0" applyFont="1" applyAlignment="1">
      <alignment horizontal="center"/>
    </xf>
    <xf numFmtId="0" fontId="4" fillId="0" borderId="0" xfId="0" applyFont="1" applyAlignment="1">
      <alignment wrapText="1"/>
    </xf>
    <xf numFmtId="0" fontId="4" fillId="0" borderId="0" xfId="0" applyFont="1" applyAlignment="1">
      <alignment horizontal="center" vertical="center"/>
    </xf>
    <xf numFmtId="0" fontId="4" fillId="0" borderId="0" xfId="0" applyFont="1" applyAlignment="1">
      <alignment horizontal="left" wrapText="1"/>
    </xf>
    <xf numFmtId="0" fontId="0" fillId="0" borderId="0" xfId="0" applyAlignment="1">
      <alignment horizontal="center"/>
    </xf>
    <xf numFmtId="0" fontId="10" fillId="0" borderId="0" xfId="0" applyFont="1" applyAlignment="1">
      <alignment horizontal="center"/>
    </xf>
    <xf numFmtId="0" fontId="11" fillId="0" borderId="0" xfId="0" applyFont="1" applyAlignment="1">
      <alignment horizontal="center" vertical="center" wrapText="1"/>
    </xf>
    <xf numFmtId="0" fontId="5" fillId="0" borderId="0" xfId="0" applyFont="1" applyAlignment="1">
      <alignment horizontal="center" vertical="center" wrapText="1"/>
    </xf>
    <xf numFmtId="0" fontId="12" fillId="0" borderId="0" xfId="0" applyFont="1" applyAlignment="1">
      <alignment horizontal="center"/>
    </xf>
    <xf numFmtId="0" fontId="12" fillId="0" borderId="0" xfId="0" applyFont="1"/>
    <xf numFmtId="167" fontId="13" fillId="9" borderId="0" xfId="0" applyNumberFormat="1" applyFont="1" applyFill="1" applyAlignment="1">
      <alignment horizontal="center" vertical="center" wrapText="1"/>
    </xf>
    <xf numFmtId="0" fontId="14" fillId="0" borderId="0" xfId="0" applyFont="1" applyAlignment="1">
      <alignment horizontal="left" wrapText="1"/>
    </xf>
    <xf numFmtId="0" fontId="14" fillId="0" borderId="0" xfId="0" applyFont="1" applyAlignment="1">
      <alignment horizontal="center" wrapText="1"/>
    </xf>
    <xf numFmtId="0" fontId="14" fillId="0" borderId="0" xfId="0" applyFont="1" applyAlignment="1">
      <alignment horizontal="center" vertical="center"/>
    </xf>
    <xf numFmtId="165" fontId="14" fillId="0" borderId="0" xfId="0" applyNumberFormat="1" applyFont="1" applyAlignment="1">
      <alignment horizontal="center" vertical="center" wrapText="1"/>
    </xf>
    <xf numFmtId="0" fontId="14" fillId="0" borderId="0" xfId="0" applyFont="1" applyAlignment="1">
      <alignment horizontal="center" vertical="center" wrapText="1"/>
    </xf>
    <xf numFmtId="0" fontId="12" fillId="0" borderId="0" xfId="0" applyFont="1" applyAlignment="1">
      <alignment horizontal="center" vertical="center" wrapText="1"/>
    </xf>
    <xf numFmtId="0" fontId="14" fillId="12" borderId="21" xfId="0" applyFont="1" applyFill="1" applyBorder="1" applyAlignment="1">
      <alignment horizontal="center" vertical="center" wrapText="1"/>
    </xf>
    <xf numFmtId="167" fontId="13" fillId="9" borderId="0" xfId="0" applyNumberFormat="1" applyFont="1" applyFill="1" applyAlignment="1">
      <alignment vertical="center" wrapText="1"/>
    </xf>
    <xf numFmtId="165" fontId="11" fillId="12" borderId="21" xfId="0" applyNumberFormat="1" applyFont="1" applyFill="1" applyBorder="1" applyAlignment="1">
      <alignment horizontal="center" vertical="center" wrapText="1"/>
    </xf>
    <xf numFmtId="165" fontId="11" fillId="0" borderId="0" xfId="0" applyNumberFormat="1" applyFont="1" applyAlignment="1">
      <alignment horizontal="center" vertical="center" wrapText="1"/>
    </xf>
    <xf numFmtId="165" fontId="11" fillId="9" borderId="0" xfId="0" applyNumberFormat="1" applyFont="1" applyFill="1" applyAlignment="1">
      <alignment horizontal="center" vertical="center" wrapText="1"/>
    </xf>
    <xf numFmtId="0" fontId="12" fillId="11" borderId="21" xfId="4" applyFont="1" applyFill="1" applyBorder="1" applyAlignment="1">
      <alignment horizontal="center" vertical="center" wrapText="1"/>
    </xf>
    <xf numFmtId="0" fontId="12" fillId="0" borderId="0" xfId="0" applyFont="1" applyAlignment="1">
      <alignment vertical="center"/>
    </xf>
    <xf numFmtId="165" fontId="11" fillId="0" borderId="21" xfId="0" applyNumberFormat="1" applyFont="1" applyBorder="1" applyAlignment="1">
      <alignment horizontal="center" vertical="center" wrapText="1"/>
    </xf>
    <xf numFmtId="165" fontId="11" fillId="0" borderId="12" xfId="0" applyNumberFormat="1" applyFont="1" applyBorder="1" applyAlignment="1">
      <alignment wrapText="1"/>
    </xf>
    <xf numFmtId="165" fontId="11" fillId="0" borderId="13" xfId="0" applyNumberFormat="1" applyFont="1" applyBorder="1" applyAlignment="1">
      <alignment wrapText="1"/>
    </xf>
    <xf numFmtId="165" fontId="11" fillId="0" borderId="0" xfId="0" applyNumberFormat="1" applyFont="1" applyAlignment="1">
      <alignment wrapText="1"/>
    </xf>
    <xf numFmtId="169" fontId="11" fillId="0" borderId="0" xfId="0" applyNumberFormat="1" applyFont="1" applyAlignment="1">
      <alignment wrapText="1"/>
    </xf>
    <xf numFmtId="165" fontId="11" fillId="0" borderId="6" xfId="0" applyNumberFormat="1" applyFont="1" applyBorder="1" applyAlignment="1">
      <alignment wrapText="1"/>
    </xf>
    <xf numFmtId="0" fontId="11" fillId="0" borderId="5" xfId="0" applyFont="1" applyBorder="1" applyAlignment="1">
      <alignment wrapText="1"/>
    </xf>
    <xf numFmtId="171" fontId="12" fillId="0" borderId="0" xfId="5" applyNumberFormat="1" applyFont="1" applyFill="1" applyBorder="1" applyAlignment="1">
      <alignment horizontal="center" vertical="center" wrapText="1"/>
    </xf>
    <xf numFmtId="165" fontId="11" fillId="0" borderId="2" xfId="0" applyNumberFormat="1" applyFont="1" applyBorder="1" applyAlignment="1">
      <alignment wrapText="1"/>
    </xf>
    <xf numFmtId="165" fontId="11" fillId="0" borderId="3" xfId="0" applyNumberFormat="1" applyFont="1" applyBorder="1" applyAlignment="1">
      <alignment wrapText="1"/>
    </xf>
    <xf numFmtId="0" fontId="10" fillId="0" borderId="15" xfId="0" applyFont="1" applyBorder="1" applyAlignment="1">
      <alignment vertical="center" wrapText="1"/>
    </xf>
    <xf numFmtId="0" fontId="16" fillId="0" borderId="8" xfId="0" applyFont="1" applyBorder="1" applyAlignment="1">
      <alignment horizontal="center" vertical="center"/>
    </xf>
    <xf numFmtId="167" fontId="13" fillId="0" borderId="0" xfId="0" applyNumberFormat="1" applyFont="1" applyAlignment="1">
      <alignment horizontal="center" vertical="center" wrapText="1"/>
    </xf>
    <xf numFmtId="165" fontId="16" fillId="0" borderId="0" xfId="0" applyNumberFormat="1" applyFont="1" applyAlignment="1">
      <alignment horizontal="center" vertical="center"/>
    </xf>
    <xf numFmtId="173" fontId="12" fillId="0" borderId="30" xfId="5" applyNumberFormat="1" applyFont="1" applyFill="1" applyBorder="1" applyAlignment="1">
      <alignment horizontal="center" vertical="center" wrapText="1"/>
    </xf>
    <xf numFmtId="173" fontId="12" fillId="0" borderId="33" xfId="5" applyNumberFormat="1" applyFont="1" applyFill="1" applyBorder="1" applyAlignment="1">
      <alignment horizontal="center" vertical="center" wrapText="1"/>
    </xf>
    <xf numFmtId="173" fontId="12" fillId="0" borderId="32" xfId="5" applyNumberFormat="1" applyFont="1" applyFill="1" applyBorder="1" applyAlignment="1">
      <alignment horizontal="center" vertical="center" wrapText="1"/>
    </xf>
    <xf numFmtId="0" fontId="10" fillId="0" borderId="33" xfId="0" applyFont="1" applyBorder="1" applyAlignment="1">
      <alignment vertical="center" wrapText="1"/>
    </xf>
    <xf numFmtId="0" fontId="16" fillId="0" borderId="21" xfId="0" applyFont="1" applyBorder="1" applyAlignment="1">
      <alignment horizontal="center" vertical="center"/>
    </xf>
    <xf numFmtId="0" fontId="10" fillId="0" borderId="21" xfId="0" applyFont="1" applyBorder="1" applyAlignment="1">
      <alignment vertical="center" wrapText="1"/>
    </xf>
    <xf numFmtId="0" fontId="16" fillId="9" borderId="21" xfId="0" applyFont="1" applyFill="1" applyBorder="1" applyAlignment="1">
      <alignment horizontal="center" vertical="center"/>
    </xf>
    <xf numFmtId="172" fontId="16" fillId="0" borderId="0" xfId="0" applyNumberFormat="1" applyFont="1" applyAlignment="1">
      <alignment horizontal="center" vertical="center"/>
    </xf>
    <xf numFmtId="172" fontId="18" fillId="12" borderId="8" xfId="0" applyNumberFormat="1" applyFont="1" applyFill="1" applyBorder="1" applyAlignment="1">
      <alignment horizontal="center" vertical="center"/>
    </xf>
    <xf numFmtId="165" fontId="16" fillId="9" borderId="0" xfId="0" applyNumberFormat="1" applyFont="1" applyFill="1" applyAlignment="1">
      <alignment horizontal="center" vertical="center"/>
    </xf>
    <xf numFmtId="172" fontId="18" fillId="12" borderId="21" xfId="0" applyNumberFormat="1" applyFont="1" applyFill="1" applyBorder="1" applyAlignment="1">
      <alignment horizontal="center" vertical="center"/>
    </xf>
    <xf numFmtId="165" fontId="18" fillId="0" borderId="0" xfId="0" applyNumberFormat="1" applyFont="1" applyAlignment="1">
      <alignment horizontal="center" vertical="center"/>
    </xf>
    <xf numFmtId="173" fontId="12" fillId="0" borderId="0" xfId="5" applyNumberFormat="1" applyFont="1" applyFill="1" applyBorder="1" applyAlignment="1">
      <alignment horizontal="center" vertical="center" wrapText="1"/>
    </xf>
    <xf numFmtId="172" fontId="16" fillId="0" borderId="6" xfId="0" applyNumberFormat="1" applyFont="1" applyBorder="1" applyAlignment="1">
      <alignment horizontal="center" vertical="center"/>
    </xf>
    <xf numFmtId="0" fontId="0" fillId="0" borderId="10" xfId="0" applyBorder="1"/>
    <xf numFmtId="0" fontId="10" fillId="0" borderId="8" xfId="0" applyFont="1" applyBorder="1" applyAlignment="1">
      <alignment horizontal="center" vertical="center"/>
    </xf>
    <xf numFmtId="4" fontId="16" fillId="15" borderId="30" xfId="0" applyNumberFormat="1" applyFont="1" applyFill="1" applyBorder="1" applyAlignment="1">
      <alignment horizontal="center" vertical="center"/>
    </xf>
    <xf numFmtId="172" fontId="16" fillId="15" borderId="31" xfId="0" applyNumberFormat="1" applyFont="1" applyFill="1" applyBorder="1" applyAlignment="1">
      <alignment horizontal="center" vertical="center"/>
    </xf>
    <xf numFmtId="172" fontId="16" fillId="15" borderId="32" xfId="0" applyNumberFormat="1" applyFont="1" applyFill="1" applyBorder="1" applyAlignment="1">
      <alignment horizontal="center" vertical="center"/>
    </xf>
    <xf numFmtId="4" fontId="16" fillId="15" borderId="17" xfId="0" applyNumberFormat="1" applyFont="1" applyFill="1" applyBorder="1" applyAlignment="1">
      <alignment horizontal="center" vertical="center"/>
    </xf>
    <xf numFmtId="165" fontId="16" fillId="15" borderId="31" xfId="0" applyNumberFormat="1" applyFont="1" applyFill="1" applyBorder="1" applyAlignment="1">
      <alignment horizontal="center" vertical="center"/>
    </xf>
    <xf numFmtId="165" fontId="16" fillId="15" borderId="32" xfId="0" applyNumberFormat="1" applyFont="1" applyFill="1" applyBorder="1" applyAlignment="1">
      <alignment horizontal="center" vertical="center"/>
    </xf>
    <xf numFmtId="172" fontId="16" fillId="15" borderId="33" xfId="0" applyNumberFormat="1" applyFont="1" applyFill="1" applyBorder="1" applyAlignment="1">
      <alignment horizontal="center" vertical="center"/>
    </xf>
    <xf numFmtId="4" fontId="16" fillId="15" borderId="24" xfId="0" applyNumberFormat="1" applyFont="1" applyFill="1" applyBorder="1" applyAlignment="1">
      <alignment horizontal="center" vertical="center"/>
    </xf>
    <xf numFmtId="165" fontId="16" fillId="15" borderId="36" xfId="0" applyNumberFormat="1" applyFont="1" applyFill="1" applyBorder="1" applyAlignment="1">
      <alignment horizontal="center" vertical="center"/>
    </xf>
    <xf numFmtId="165" fontId="16" fillId="15" borderId="21" xfId="0" applyNumberFormat="1" applyFont="1" applyFill="1" applyBorder="1" applyAlignment="1">
      <alignment horizontal="center" vertical="center"/>
    </xf>
    <xf numFmtId="165" fontId="16" fillId="5" borderId="8" xfId="0" applyNumberFormat="1" applyFont="1" applyFill="1" applyBorder="1" applyAlignment="1">
      <alignment horizontal="center" vertical="center"/>
    </xf>
    <xf numFmtId="172" fontId="16" fillId="5" borderId="33" xfId="0" applyNumberFormat="1" applyFont="1" applyFill="1" applyBorder="1" applyAlignment="1">
      <alignment horizontal="center" vertical="center"/>
    </xf>
    <xf numFmtId="172" fontId="16" fillId="5" borderId="32" xfId="0" applyNumberFormat="1" applyFont="1" applyFill="1" applyBorder="1" applyAlignment="1">
      <alignment horizontal="center" vertical="center"/>
    </xf>
    <xf numFmtId="172" fontId="22" fillId="16" borderId="8" xfId="0" applyNumberFormat="1" applyFont="1" applyFill="1" applyBorder="1" applyAlignment="1">
      <alignment horizontal="center" vertical="center"/>
    </xf>
    <xf numFmtId="0" fontId="3" fillId="0" borderId="13" xfId="0" applyFont="1" applyBorder="1" applyAlignment="1">
      <alignment horizontal="center"/>
    </xf>
    <xf numFmtId="0" fontId="5" fillId="7" borderId="3" xfId="0" applyFont="1" applyFill="1" applyBorder="1" applyAlignment="1">
      <alignment horizontal="center"/>
    </xf>
    <xf numFmtId="165" fontId="16" fillId="5" borderId="32" xfId="0" applyNumberFormat="1" applyFont="1" applyFill="1" applyBorder="1" applyAlignment="1">
      <alignment horizontal="center" vertical="center"/>
    </xf>
    <xf numFmtId="165" fontId="16" fillId="5" borderId="30" xfId="0" applyNumberFormat="1" applyFont="1" applyFill="1" applyBorder="1" applyAlignment="1">
      <alignment horizontal="center" vertical="center"/>
    </xf>
    <xf numFmtId="165" fontId="16" fillId="5" borderId="17" xfId="0" applyNumberFormat="1" applyFont="1" applyFill="1" applyBorder="1" applyAlignment="1">
      <alignment horizontal="center" vertical="center"/>
    </xf>
    <xf numFmtId="0" fontId="14" fillId="9" borderId="0" xfId="0" applyFont="1" applyFill="1" applyAlignment="1">
      <alignment horizontal="center" vertical="center" wrapText="1"/>
    </xf>
    <xf numFmtId="0" fontId="11" fillId="9" borderId="0" xfId="0" applyFont="1" applyFill="1" applyAlignment="1">
      <alignment vertical="center" wrapText="1"/>
    </xf>
    <xf numFmtId="169" fontId="11" fillId="0" borderId="7" xfId="0" applyNumberFormat="1" applyFont="1" applyBorder="1" applyAlignment="1">
      <alignment wrapText="1"/>
    </xf>
    <xf numFmtId="0" fontId="11" fillId="0" borderId="0" xfId="0" applyFont="1" applyAlignment="1">
      <alignment wrapText="1"/>
    </xf>
    <xf numFmtId="172" fontId="16" fillId="5" borderId="20" xfId="0" applyNumberFormat="1" applyFont="1" applyFill="1" applyBorder="1" applyAlignment="1">
      <alignment horizontal="center" vertical="center"/>
    </xf>
    <xf numFmtId="172" fontId="16" fillId="5" borderId="29" xfId="0" applyNumberFormat="1" applyFont="1" applyFill="1" applyBorder="1" applyAlignment="1">
      <alignment horizontal="center" vertical="center"/>
    </xf>
    <xf numFmtId="0" fontId="11" fillId="0" borderId="10" xfId="0" applyFont="1" applyBorder="1" applyAlignment="1">
      <alignment wrapText="1"/>
    </xf>
    <xf numFmtId="165" fontId="16" fillId="5" borderId="29" xfId="0" applyNumberFormat="1" applyFont="1" applyFill="1" applyBorder="1" applyAlignment="1">
      <alignment horizontal="center" vertical="center"/>
    </xf>
    <xf numFmtId="165" fontId="16" fillId="0" borderId="10" xfId="0" applyNumberFormat="1" applyFont="1" applyBorder="1" applyAlignment="1">
      <alignment horizontal="center" vertical="center"/>
    </xf>
    <xf numFmtId="165" fontId="16" fillId="5" borderId="34" xfId="0" applyNumberFormat="1" applyFont="1" applyFill="1" applyBorder="1" applyAlignment="1">
      <alignment horizontal="center" vertical="center"/>
    </xf>
    <xf numFmtId="165" fontId="16" fillId="3" borderId="8" xfId="0" applyNumberFormat="1" applyFont="1" applyFill="1" applyBorder="1" applyAlignment="1">
      <alignment horizontal="center" vertical="center"/>
    </xf>
    <xf numFmtId="172" fontId="16" fillId="3" borderId="33" xfId="0" applyNumberFormat="1" applyFont="1" applyFill="1" applyBorder="1" applyAlignment="1">
      <alignment horizontal="center" vertical="center"/>
    </xf>
    <xf numFmtId="172" fontId="16" fillId="3" borderId="32" xfId="0" applyNumberFormat="1" applyFont="1" applyFill="1" applyBorder="1" applyAlignment="1">
      <alignment horizontal="center" vertical="center"/>
    </xf>
    <xf numFmtId="172" fontId="16" fillId="3" borderId="20" xfId="0" applyNumberFormat="1" applyFont="1" applyFill="1" applyBorder="1" applyAlignment="1">
      <alignment horizontal="center" vertical="center"/>
    </xf>
    <xf numFmtId="172" fontId="16" fillId="3" borderId="29" xfId="0" applyNumberFormat="1" applyFont="1" applyFill="1" applyBorder="1" applyAlignment="1">
      <alignment horizontal="center" vertical="center"/>
    </xf>
    <xf numFmtId="165" fontId="16" fillId="3" borderId="32" xfId="0" applyNumberFormat="1" applyFont="1" applyFill="1" applyBorder="1" applyAlignment="1">
      <alignment horizontal="center" vertical="center"/>
    </xf>
    <xf numFmtId="165" fontId="16" fillId="3" borderId="29" xfId="0" applyNumberFormat="1" applyFont="1" applyFill="1" applyBorder="1" applyAlignment="1">
      <alignment horizontal="center" vertical="center"/>
    </xf>
    <xf numFmtId="165" fontId="16" fillId="3" borderId="30" xfId="0" applyNumberFormat="1" applyFont="1" applyFill="1" applyBorder="1" applyAlignment="1">
      <alignment horizontal="center" vertical="center"/>
    </xf>
    <xf numFmtId="165" fontId="16" fillId="3" borderId="17" xfId="0" applyNumberFormat="1" applyFont="1" applyFill="1" applyBorder="1" applyAlignment="1">
      <alignment horizontal="center" vertical="center"/>
    </xf>
    <xf numFmtId="165" fontId="16" fillId="3" borderId="34" xfId="0" applyNumberFormat="1" applyFont="1" applyFill="1" applyBorder="1" applyAlignment="1">
      <alignment horizontal="center" vertical="center"/>
    </xf>
    <xf numFmtId="172" fontId="22" fillId="17" borderId="8" xfId="0" applyNumberFormat="1" applyFont="1" applyFill="1" applyBorder="1" applyAlignment="1">
      <alignment horizontal="center" vertical="center"/>
    </xf>
    <xf numFmtId="0" fontId="2" fillId="2" borderId="21" xfId="0" applyFont="1" applyFill="1" applyBorder="1" applyAlignment="1">
      <alignment horizontal="center" vertical="center"/>
    </xf>
    <xf numFmtId="165" fontId="14" fillId="12" borderId="21" xfId="0" applyNumberFormat="1" applyFont="1" applyFill="1" applyBorder="1" applyAlignment="1">
      <alignment horizontal="center" vertical="center" wrapText="1"/>
    </xf>
    <xf numFmtId="0" fontId="14" fillId="12" borderId="14" xfId="0" applyFont="1" applyFill="1" applyBorder="1" applyAlignment="1">
      <alignment horizontal="center" vertical="center" wrapText="1"/>
    </xf>
    <xf numFmtId="0" fontId="23" fillId="0" borderId="8" xfId="0" applyFont="1" applyBorder="1" applyAlignment="1">
      <alignment horizontal="center" vertical="center"/>
    </xf>
    <xf numFmtId="0" fontId="10" fillId="0" borderId="2" xfId="0" applyFont="1" applyBorder="1" applyAlignment="1">
      <alignment vertical="center" wrapText="1"/>
    </xf>
    <xf numFmtId="172" fontId="16" fillId="0" borderId="21" xfId="0" applyNumberFormat="1" applyFont="1" applyBorder="1" applyAlignment="1">
      <alignment horizontal="center" vertical="center"/>
    </xf>
    <xf numFmtId="172" fontId="16" fillId="9" borderId="21" xfId="0" applyNumberFormat="1" applyFont="1" applyFill="1" applyBorder="1" applyAlignment="1">
      <alignment horizontal="center" vertical="center"/>
    </xf>
    <xf numFmtId="0" fontId="23" fillId="0" borderId="21" xfId="0" applyFont="1" applyBorder="1" applyAlignment="1">
      <alignment horizontal="center" vertical="center"/>
    </xf>
    <xf numFmtId="0" fontId="23" fillId="0" borderId="1" xfId="0" applyFont="1" applyBorder="1" applyAlignment="1">
      <alignment horizontal="center" vertical="center"/>
    </xf>
    <xf numFmtId="172" fontId="12" fillId="0" borderId="0" xfId="0" applyNumberFormat="1" applyFont="1"/>
    <xf numFmtId="0" fontId="14" fillId="9" borderId="0" xfId="4" applyFont="1" applyFill="1" applyAlignment="1">
      <alignment horizontal="center" vertical="center" wrapText="1"/>
    </xf>
    <xf numFmtId="49" fontId="14" fillId="10" borderId="21" xfId="0" applyNumberFormat="1" applyFont="1" applyFill="1" applyBorder="1" applyAlignment="1">
      <alignment horizontal="center" vertical="center" wrapText="1"/>
    </xf>
    <xf numFmtId="49" fontId="14" fillId="12" borderId="21" xfId="0" applyNumberFormat="1" applyFont="1" applyFill="1" applyBorder="1" applyAlignment="1">
      <alignment horizontal="center" vertical="center" wrapText="1"/>
    </xf>
    <xf numFmtId="2" fontId="14" fillId="10" borderId="12" xfId="0" applyNumberFormat="1" applyFont="1" applyFill="1" applyBorder="1" applyAlignment="1">
      <alignment horizontal="center" vertical="center" wrapText="1"/>
    </xf>
    <xf numFmtId="2" fontId="14" fillId="12" borderId="21" xfId="0" applyNumberFormat="1" applyFont="1" applyFill="1" applyBorder="1" applyAlignment="1">
      <alignment horizontal="center" vertical="center" wrapText="1"/>
    </xf>
    <xf numFmtId="167" fontId="12" fillId="0" borderId="0" xfId="0" applyNumberFormat="1" applyFont="1"/>
    <xf numFmtId="172" fontId="16" fillId="0" borderId="8" xfId="0" applyNumberFormat="1" applyFont="1" applyBorder="1" applyAlignment="1">
      <alignment horizontal="center" vertical="center"/>
    </xf>
    <xf numFmtId="0" fontId="25" fillId="0" borderId="0" xfId="0" applyFont="1" applyAlignment="1">
      <alignment horizontal="center" vertical="center"/>
    </xf>
    <xf numFmtId="172" fontId="25" fillId="0" borderId="0" xfId="0" applyNumberFormat="1" applyFont="1" applyAlignment="1">
      <alignment vertical="center"/>
    </xf>
    <xf numFmtId="172" fontId="16" fillId="12" borderId="8" xfId="0" applyNumberFormat="1" applyFont="1" applyFill="1" applyBorder="1" applyAlignment="1">
      <alignment horizontal="center" vertical="center"/>
    </xf>
    <xf numFmtId="172" fontId="16" fillId="9" borderId="0" xfId="0" applyNumberFormat="1" applyFont="1" applyFill="1" applyAlignment="1">
      <alignment horizontal="center" vertical="center"/>
    </xf>
    <xf numFmtId="0" fontId="12" fillId="0" borderId="10" xfId="0" applyFont="1" applyBorder="1" applyAlignment="1">
      <alignment horizontal="center" vertical="center"/>
    </xf>
    <xf numFmtId="172" fontId="10" fillId="0" borderId="0" xfId="0" applyNumberFormat="1" applyFont="1"/>
    <xf numFmtId="172" fontId="3" fillId="0" borderId="0" xfId="0" applyNumberFormat="1" applyFont="1"/>
    <xf numFmtId="0" fontId="20" fillId="0" borderId="0" xfId="0" applyFont="1"/>
    <xf numFmtId="174" fontId="27" fillId="12" borderId="21" xfId="0" applyNumberFormat="1" applyFont="1" applyFill="1" applyBorder="1" applyAlignment="1">
      <alignment horizontal="center" vertical="center" wrapText="1"/>
    </xf>
    <xf numFmtId="174" fontId="27" fillId="12" borderId="21" xfId="2" applyNumberFormat="1"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33" xfId="0" applyFont="1" applyBorder="1" applyAlignment="1">
      <alignment horizontal="center" vertical="center" wrapText="1"/>
    </xf>
    <xf numFmtId="175" fontId="28" fillId="0" borderId="15" xfId="6" applyNumberFormat="1" applyFont="1" applyFill="1" applyBorder="1" applyAlignment="1">
      <alignment horizontal="center" vertical="center"/>
    </xf>
    <xf numFmtId="175" fontId="16" fillId="0" borderId="38" xfId="0" applyNumberFormat="1" applyFont="1" applyBorder="1" applyAlignment="1">
      <alignment horizontal="center" vertical="center"/>
    </xf>
    <xf numFmtId="175" fontId="26" fillId="0" borderId="8" xfId="0" applyNumberFormat="1" applyFont="1" applyBorder="1" applyAlignment="1">
      <alignment horizontal="center" vertical="center"/>
    </xf>
    <xf numFmtId="175" fontId="28" fillId="0" borderId="21" xfId="6" applyNumberFormat="1" applyFont="1" applyFill="1" applyBorder="1" applyAlignment="1">
      <alignment horizontal="center" vertical="center"/>
    </xf>
    <xf numFmtId="0" fontId="10" fillId="0" borderId="0" xfId="0" applyFont="1"/>
    <xf numFmtId="0" fontId="30" fillId="0" borderId="0" xfId="0" applyFont="1"/>
    <xf numFmtId="0" fontId="22" fillId="18" borderId="30" xfId="0" applyFont="1" applyFill="1" applyBorder="1" applyAlignment="1">
      <alignment vertical="center"/>
    </xf>
    <xf numFmtId="0" fontId="22" fillId="18" borderId="33" xfId="0" applyFont="1" applyFill="1" applyBorder="1" applyAlignment="1">
      <alignment horizontal="center" vertical="center" wrapText="1"/>
    </xf>
    <xf numFmtId="0" fontId="22" fillId="18" borderId="32" xfId="0" applyFont="1" applyFill="1" applyBorder="1" applyAlignment="1">
      <alignment horizontal="center" vertical="center" wrapText="1"/>
    </xf>
    <xf numFmtId="0" fontId="11" fillId="0" borderId="17" xfId="0" applyFont="1" applyBorder="1"/>
    <xf numFmtId="175" fontId="10" fillId="0" borderId="16" xfId="6" applyNumberFormat="1" applyFont="1" applyBorder="1"/>
    <xf numFmtId="175" fontId="11" fillId="0" borderId="18" xfId="0" applyNumberFormat="1" applyFont="1" applyBorder="1"/>
    <xf numFmtId="0" fontId="31" fillId="0" borderId="17" xfId="0" applyFont="1" applyBorder="1" applyAlignment="1">
      <alignment horizontal="left" vertical="center" wrapText="1"/>
    </xf>
    <xf numFmtId="175" fontId="11" fillId="2" borderId="16" xfId="6" applyNumberFormat="1" applyFont="1" applyFill="1" applyBorder="1"/>
    <xf numFmtId="0" fontId="22" fillId="18" borderId="17" xfId="0" applyFont="1" applyFill="1" applyBorder="1" applyAlignment="1">
      <alignment vertical="center"/>
    </xf>
    <xf numFmtId="0" fontId="22" fillId="18" borderId="18" xfId="0" applyFont="1" applyFill="1" applyBorder="1" applyAlignment="1">
      <alignment horizontal="center" vertical="center" wrapText="1"/>
    </xf>
    <xf numFmtId="175" fontId="11" fillId="0" borderId="16" xfId="6" applyNumberFormat="1" applyFont="1" applyBorder="1"/>
    <xf numFmtId="175" fontId="10" fillId="0" borderId="16" xfId="6" applyNumberFormat="1" applyFont="1" applyBorder="1" applyAlignment="1">
      <alignment horizontal="center" vertical="center"/>
    </xf>
    <xf numFmtId="175" fontId="11" fillId="0" borderId="18" xfId="0" applyNumberFormat="1" applyFont="1" applyBorder="1" applyAlignment="1">
      <alignment vertical="center"/>
    </xf>
    <xf numFmtId="175" fontId="11" fillId="19" borderId="16" xfId="0" applyNumberFormat="1" applyFont="1" applyFill="1" applyBorder="1"/>
    <xf numFmtId="175" fontId="11" fillId="19" borderId="16" xfId="0" applyNumberFormat="1" applyFont="1" applyFill="1" applyBorder="1" applyAlignment="1">
      <alignment horizontal="center" vertical="center"/>
    </xf>
    <xf numFmtId="0" fontId="31" fillId="0" borderId="34" xfId="0" applyFont="1" applyBorder="1" applyAlignment="1">
      <alignment horizontal="center" vertical="center" wrapText="1"/>
    </xf>
    <xf numFmtId="175" fontId="11" fillId="0" borderId="35" xfId="6" applyNumberFormat="1" applyFont="1" applyBorder="1" applyAlignment="1">
      <alignment horizontal="center" vertical="center"/>
    </xf>
    <xf numFmtId="175" fontId="11" fillId="0" borderId="39" xfId="6" applyNumberFormat="1" applyFont="1" applyBorder="1" applyAlignment="1">
      <alignment horizontal="center" vertical="center"/>
    </xf>
    <xf numFmtId="175" fontId="32" fillId="0" borderId="21" xfId="0" applyNumberFormat="1" applyFont="1" applyBorder="1" applyAlignment="1">
      <alignment horizontal="center" vertical="center"/>
    </xf>
    <xf numFmtId="0" fontId="31" fillId="0" borderId="0" xfId="0" applyFont="1" applyAlignment="1">
      <alignment horizontal="center" vertical="center" wrapText="1"/>
    </xf>
    <xf numFmtId="175" fontId="11" fillId="19" borderId="0" xfId="0" applyNumberFormat="1" applyFont="1" applyFill="1"/>
    <xf numFmtId="0" fontId="33" fillId="0" borderId="0" xfId="0" applyFont="1" applyAlignment="1">
      <alignment horizontal="center" vertical="center" wrapText="1"/>
    </xf>
    <xf numFmtId="0" fontId="11" fillId="0" borderId="0" xfId="0" applyFont="1"/>
    <xf numFmtId="164" fontId="10" fillId="0" borderId="0" xfId="1" applyNumberFormat="1" applyFont="1"/>
    <xf numFmtId="166" fontId="10" fillId="0" borderId="0" xfId="2" applyNumberFormat="1" applyFont="1"/>
    <xf numFmtId="175" fontId="11" fillId="0" borderId="0" xfId="2" applyNumberFormat="1" applyFont="1"/>
    <xf numFmtId="175" fontId="11" fillId="0" borderId="0" xfId="1" applyNumberFormat="1" applyFont="1"/>
    <xf numFmtId="0" fontId="34" fillId="0" borderId="0" xfId="0" applyFont="1"/>
    <xf numFmtId="175" fontId="11" fillId="0" borderId="7" xfId="0" applyNumberFormat="1" applyFont="1" applyBorder="1"/>
    <xf numFmtId="175" fontId="11" fillId="2" borderId="16" xfId="6" applyNumberFormat="1" applyFont="1" applyFill="1" applyBorder="1" applyAlignment="1">
      <alignment horizontal="center" vertical="center"/>
    </xf>
    <xf numFmtId="175" fontId="0" fillId="0" borderId="0" xfId="0" applyNumberFormat="1"/>
    <xf numFmtId="0" fontId="3" fillId="0" borderId="0" xfId="0" applyFont="1" applyAlignment="1">
      <alignment horizontal="center" vertical="center"/>
    </xf>
    <xf numFmtId="0" fontId="6" fillId="0" borderId="0" xfId="0" applyFont="1" applyAlignment="1">
      <alignment horizontal="center"/>
    </xf>
    <xf numFmtId="176" fontId="3" fillId="0" borderId="23" xfId="0" applyNumberFormat="1" applyFont="1" applyBorder="1" applyAlignment="1">
      <alignment horizontal="center" vertical="center"/>
    </xf>
    <xf numFmtId="176" fontId="3" fillId="0" borderId="37" xfId="0" applyNumberFormat="1" applyFont="1" applyBorder="1" applyAlignment="1">
      <alignment horizontal="center" vertical="center"/>
    </xf>
    <xf numFmtId="176" fontId="3" fillId="0" borderId="25" xfId="0" applyNumberFormat="1" applyFont="1" applyBorder="1" applyAlignment="1">
      <alignment horizontal="center" vertical="center"/>
    </xf>
    <xf numFmtId="176" fontId="3" fillId="0" borderId="8" xfId="0" applyNumberFormat="1" applyFont="1" applyBorder="1" applyAlignment="1">
      <alignment horizontal="center" vertical="center"/>
    </xf>
    <xf numFmtId="0" fontId="4" fillId="0" borderId="6" xfId="0" applyFont="1" applyBorder="1" applyAlignment="1">
      <alignment horizontal="left" wrapText="1"/>
    </xf>
    <xf numFmtId="0" fontId="5" fillId="7" borderId="13" xfId="0" applyFont="1" applyFill="1" applyBorder="1" applyAlignment="1">
      <alignment horizontal="center"/>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1" xfId="0" applyFont="1" applyBorder="1" applyAlignment="1">
      <alignment horizontal="center" vertical="center" wrapText="1"/>
    </xf>
    <xf numFmtId="0" fontId="6" fillId="4" borderId="21" xfId="0" applyFont="1" applyFill="1" applyBorder="1" applyAlignment="1">
      <alignment horizontal="center" vertical="center" wrapText="1"/>
    </xf>
    <xf numFmtId="0" fontId="3" fillId="0" borderId="21" xfId="0" applyFont="1" applyBorder="1" applyAlignment="1">
      <alignment horizontal="center"/>
    </xf>
    <xf numFmtId="176" fontId="3" fillId="0" borderId="21" xfId="0" applyNumberFormat="1" applyFont="1" applyBorder="1"/>
    <xf numFmtId="9" fontId="3" fillId="0" borderId="14" xfId="2" applyFont="1" applyFill="1" applyBorder="1" applyAlignment="1">
      <alignment horizontal="center"/>
    </xf>
    <xf numFmtId="0" fontId="4" fillId="0" borderId="0" xfId="0" applyFont="1" applyAlignment="1">
      <alignment horizontal="center" wrapText="1"/>
    </xf>
    <xf numFmtId="176" fontId="3" fillId="0" borderId="37" xfId="0" applyNumberFormat="1" applyFont="1" applyBorder="1"/>
    <xf numFmtId="9" fontId="3" fillId="0" borderId="21" xfId="2" applyFont="1" applyFill="1" applyBorder="1" applyAlignment="1">
      <alignment horizontal="center"/>
    </xf>
    <xf numFmtId="9" fontId="3" fillId="0" borderId="11" xfId="2" applyFont="1" applyFill="1" applyBorder="1" applyAlignment="1">
      <alignment horizontal="center"/>
    </xf>
    <xf numFmtId="0" fontId="3" fillId="4" borderId="12" xfId="0" applyFont="1" applyFill="1" applyBorder="1" applyAlignment="1">
      <alignment horizontal="center"/>
    </xf>
    <xf numFmtId="0" fontId="6" fillId="0" borderId="3" xfId="0" applyFont="1" applyBorder="1" applyAlignment="1">
      <alignment horizontal="center" vertical="center" wrapText="1"/>
    </xf>
    <xf numFmtId="1" fontId="3" fillId="0" borderId="32" xfId="0" applyNumberFormat="1" applyFont="1" applyBorder="1" applyAlignment="1">
      <alignment horizontal="center"/>
    </xf>
    <xf numFmtId="0" fontId="4" fillId="0" borderId="0" xfId="0" applyFont="1" applyAlignment="1">
      <alignment horizontal="center"/>
    </xf>
    <xf numFmtId="9" fontId="3" fillId="0" borderId="0" xfId="0" applyNumberFormat="1" applyFont="1" applyAlignment="1">
      <alignment horizontal="center"/>
    </xf>
    <xf numFmtId="0" fontId="6" fillId="12" borderId="19" xfId="0" applyFont="1" applyFill="1" applyBorder="1" applyAlignment="1">
      <alignment horizontal="center" vertical="center"/>
    </xf>
    <xf numFmtId="0" fontId="6" fillId="12" borderId="20" xfId="0" applyFont="1" applyFill="1" applyBorder="1" applyAlignment="1">
      <alignment horizontal="center" vertical="center"/>
    </xf>
    <xf numFmtId="0" fontId="6" fillId="12" borderId="20" xfId="0" applyFont="1" applyFill="1" applyBorder="1" applyAlignment="1">
      <alignment horizontal="center" vertical="center" wrapText="1"/>
    </xf>
    <xf numFmtId="0" fontId="6" fillId="12" borderId="29" xfId="0" applyFont="1" applyFill="1" applyBorder="1" applyAlignment="1">
      <alignment horizontal="center" vertical="center" wrapText="1"/>
    </xf>
    <xf numFmtId="0" fontId="6" fillId="12" borderId="19" xfId="0" applyFont="1" applyFill="1" applyBorder="1" applyAlignment="1">
      <alignment horizontal="center" vertical="center" wrapText="1"/>
    </xf>
    <xf numFmtId="176" fontId="3" fillId="0" borderId="32" xfId="0" applyNumberFormat="1" applyFont="1" applyBorder="1"/>
    <xf numFmtId="176" fontId="3" fillId="0" borderId="35" xfId="0" applyNumberFormat="1" applyFont="1" applyBorder="1"/>
    <xf numFmtId="1" fontId="3" fillId="4" borderId="19" xfId="0" applyNumberFormat="1" applyFont="1" applyFill="1" applyBorder="1" applyAlignment="1">
      <alignment horizontal="center"/>
    </xf>
    <xf numFmtId="0" fontId="4" fillId="2" borderId="21" xfId="0" applyFont="1" applyFill="1" applyBorder="1" applyAlignment="1">
      <alignment horizontal="center" vertical="center"/>
    </xf>
    <xf numFmtId="0" fontId="4" fillId="21" borderId="21" xfId="0" applyFont="1" applyFill="1" applyBorder="1" applyAlignment="1">
      <alignment horizontal="center" vertical="center"/>
    </xf>
    <xf numFmtId="44" fontId="10" fillId="0" borderId="0" xfId="6" applyFont="1"/>
    <xf numFmtId="172" fontId="16" fillId="4" borderId="30" xfId="0" applyNumberFormat="1" applyFont="1" applyFill="1" applyBorder="1" applyAlignment="1">
      <alignment horizontal="center" vertical="center"/>
    </xf>
    <xf numFmtId="172" fontId="16" fillId="4" borderId="33" xfId="0" applyNumberFormat="1" applyFont="1" applyFill="1" applyBorder="1" applyAlignment="1">
      <alignment horizontal="center" vertical="center"/>
    </xf>
    <xf numFmtId="172" fontId="16" fillId="4" borderId="32" xfId="0" applyNumberFormat="1" applyFont="1" applyFill="1" applyBorder="1" applyAlignment="1">
      <alignment horizontal="center" vertical="center"/>
    </xf>
    <xf numFmtId="172" fontId="16" fillId="23" borderId="30" xfId="0" applyNumberFormat="1" applyFont="1" applyFill="1" applyBorder="1" applyAlignment="1">
      <alignment horizontal="center" vertical="center"/>
    </xf>
    <xf numFmtId="172" fontId="16" fillId="23" borderId="33" xfId="0" applyNumberFormat="1" applyFont="1" applyFill="1" applyBorder="1" applyAlignment="1">
      <alignment horizontal="center" vertical="center"/>
    </xf>
    <xf numFmtId="172" fontId="16" fillId="23" borderId="32" xfId="0" applyNumberFormat="1" applyFont="1" applyFill="1" applyBorder="1" applyAlignment="1">
      <alignment horizontal="center" vertical="center"/>
    </xf>
    <xf numFmtId="172" fontId="16" fillId="3" borderId="30" xfId="0" applyNumberFormat="1" applyFont="1" applyFill="1" applyBorder="1" applyAlignment="1">
      <alignment horizontal="center" vertical="center"/>
    </xf>
    <xf numFmtId="165" fontId="29" fillId="14" borderId="8" xfId="0" applyNumberFormat="1" applyFont="1" applyFill="1" applyBorder="1" applyAlignment="1">
      <alignment horizontal="center" vertical="center"/>
    </xf>
    <xf numFmtId="0" fontId="3" fillId="12" borderId="21" xfId="0" applyFont="1" applyFill="1" applyBorder="1" applyAlignment="1">
      <alignment wrapText="1"/>
    </xf>
    <xf numFmtId="0" fontId="3" fillId="0" borderId="21" xfId="0" applyFont="1" applyBorder="1" applyAlignment="1">
      <alignment wrapText="1"/>
    </xf>
    <xf numFmtId="0" fontId="4" fillId="0" borderId="6" xfId="0" applyFont="1" applyBorder="1" applyAlignment="1">
      <alignment horizontal="center"/>
    </xf>
    <xf numFmtId="0" fontId="6" fillId="0" borderId="21" xfId="0" applyFont="1" applyBorder="1" applyAlignment="1">
      <alignment horizontal="center"/>
    </xf>
    <xf numFmtId="0" fontId="3" fillId="0" borderId="22" xfId="0" applyFont="1" applyBorder="1" applyAlignment="1">
      <alignment horizontal="center" wrapText="1"/>
    </xf>
    <xf numFmtId="0" fontId="3" fillId="0" borderId="24" xfId="0" applyFont="1" applyBorder="1" applyAlignment="1">
      <alignment horizontal="center" wrapText="1"/>
    </xf>
    <xf numFmtId="0" fontId="3" fillId="0" borderId="6" xfId="0" applyFont="1" applyBorder="1" applyAlignment="1">
      <alignment horizontal="center" wrapText="1"/>
    </xf>
    <xf numFmtId="0" fontId="4" fillId="0" borderId="6" xfId="0" applyFont="1" applyBorder="1" applyAlignment="1">
      <alignment horizontal="center" wrapText="1"/>
    </xf>
    <xf numFmtId="0" fontId="3" fillId="12" borderId="21" xfId="0" applyFont="1" applyFill="1" applyBorder="1" applyAlignment="1">
      <alignment horizontal="center" wrapText="1"/>
    </xf>
    <xf numFmtId="0" fontId="3" fillId="0" borderId="21" xfId="0" applyFont="1" applyBorder="1" applyAlignment="1">
      <alignment horizontal="center" wrapText="1"/>
    </xf>
    <xf numFmtId="176" fontId="3" fillId="0" borderId="21" xfId="0" applyNumberFormat="1" applyFont="1" applyBorder="1" applyAlignment="1">
      <alignment horizontal="center"/>
    </xf>
    <xf numFmtId="176" fontId="3" fillId="0" borderId="37" xfId="0" applyNumberFormat="1" applyFont="1" applyBorder="1" applyAlignment="1">
      <alignment horizontal="center"/>
    </xf>
    <xf numFmtId="167" fontId="3" fillId="0" borderId="37" xfId="0" applyNumberFormat="1" applyFont="1" applyBorder="1" applyAlignment="1">
      <alignment horizontal="center"/>
    </xf>
    <xf numFmtId="176" fontId="3" fillId="9" borderId="32" xfId="0" applyNumberFormat="1" applyFont="1" applyFill="1" applyBorder="1" applyAlignment="1">
      <alignment horizontal="center"/>
    </xf>
    <xf numFmtId="167" fontId="3" fillId="0" borderId="21" xfId="0" applyNumberFormat="1" applyFont="1" applyBorder="1" applyAlignment="1">
      <alignment horizontal="center"/>
    </xf>
    <xf numFmtId="176" fontId="3" fillId="0" borderId="0" xfId="0" applyNumberFormat="1" applyFont="1" applyAlignment="1">
      <alignment horizontal="center"/>
    </xf>
    <xf numFmtId="176" fontId="3" fillId="9" borderId="21" xfId="0" applyNumberFormat="1" applyFont="1" applyFill="1" applyBorder="1" applyAlignment="1">
      <alignment horizontal="center"/>
    </xf>
    <xf numFmtId="6" fontId="38" fillId="22" borderId="40" xfId="0" applyNumberFormat="1" applyFont="1" applyFill="1" applyBorder="1" applyAlignment="1">
      <alignment horizontal="center"/>
    </xf>
    <xf numFmtId="8" fontId="37" fillId="0" borderId="0" xfId="0" applyNumberFormat="1" applyFont="1" applyAlignment="1">
      <alignment horizontal="center"/>
    </xf>
    <xf numFmtId="0" fontId="3" fillId="0" borderId="12" xfId="0" applyFont="1" applyBorder="1" applyAlignment="1">
      <alignment horizontal="center" wrapText="1"/>
    </xf>
    <xf numFmtId="176" fontId="3" fillId="0" borderId="29" xfId="0" applyNumberFormat="1" applyFont="1" applyBorder="1" applyAlignment="1">
      <alignment horizontal="center"/>
    </xf>
    <xf numFmtId="172" fontId="3" fillId="9" borderId="21" xfId="0" applyNumberFormat="1" applyFont="1" applyFill="1" applyBorder="1" applyAlignment="1">
      <alignment horizontal="center"/>
    </xf>
    <xf numFmtId="0" fontId="35" fillId="0" borderId="16" xfId="0" applyFont="1" applyBorder="1" applyAlignment="1">
      <alignment horizontal="center"/>
    </xf>
    <xf numFmtId="172" fontId="35" fillId="0" borderId="16" xfId="0" applyNumberFormat="1" applyFont="1" applyBorder="1" applyAlignment="1">
      <alignment horizontal="center"/>
    </xf>
    <xf numFmtId="0" fontId="3" fillId="9" borderId="21" xfId="0" applyFont="1" applyFill="1" applyBorder="1" applyAlignment="1">
      <alignment horizontal="center" wrapText="1"/>
    </xf>
    <xf numFmtId="176" fontId="3" fillId="0" borderId="32" xfId="0" applyNumberFormat="1" applyFont="1" applyBorder="1" applyAlignment="1">
      <alignment horizontal="center"/>
    </xf>
    <xf numFmtId="176" fontId="3" fillId="0" borderId="35" xfId="0" applyNumberFormat="1" applyFont="1" applyBorder="1" applyAlignment="1">
      <alignment horizontal="center"/>
    </xf>
    <xf numFmtId="172" fontId="4" fillId="0" borderId="21" xfId="0" applyNumberFormat="1" applyFont="1" applyBorder="1" applyAlignment="1">
      <alignment horizontal="center"/>
    </xf>
    <xf numFmtId="0" fontId="3" fillId="0" borderId="12" xfId="2" applyNumberFormat="1" applyFont="1" applyBorder="1" applyAlignment="1"/>
    <xf numFmtId="0" fontId="3" fillId="0" borderId="21" xfId="2" applyNumberFormat="1" applyFont="1" applyBorder="1" applyAlignment="1"/>
    <xf numFmtId="176" fontId="3" fillId="0" borderId="12" xfId="0" applyNumberFormat="1" applyFont="1" applyBorder="1"/>
    <xf numFmtId="177" fontId="0" fillId="0" borderId="0" xfId="0" applyNumberFormat="1"/>
    <xf numFmtId="165" fontId="0" fillId="0" borderId="0" xfId="0" applyNumberFormat="1"/>
    <xf numFmtId="172" fontId="0" fillId="0" borderId="0" xfId="0" applyNumberFormat="1" applyAlignment="1">
      <alignment horizontal="center"/>
    </xf>
    <xf numFmtId="165" fontId="10" fillId="22" borderId="29" xfId="0" applyNumberFormat="1" applyFont="1" applyFill="1" applyBorder="1"/>
    <xf numFmtId="175" fontId="11" fillId="0" borderId="0" xfId="0" applyNumberFormat="1" applyFont="1"/>
    <xf numFmtId="165" fontId="11" fillId="0" borderId="41" xfId="0" applyNumberFormat="1" applyFont="1" applyBorder="1" applyAlignment="1">
      <alignment wrapText="1"/>
    </xf>
    <xf numFmtId="0" fontId="0" fillId="0" borderId="37" xfId="0" applyBorder="1" applyAlignment="1">
      <alignment horizontal="center" vertical="center"/>
    </xf>
    <xf numFmtId="0" fontId="0" fillId="0" borderId="42" xfId="0" applyBorder="1" applyAlignment="1">
      <alignment horizontal="center" vertical="center"/>
    </xf>
    <xf numFmtId="0" fontId="0" fillId="0" borderId="25" xfId="0" applyBorder="1" applyAlignment="1">
      <alignment horizontal="center" vertical="center"/>
    </xf>
    <xf numFmtId="0" fontId="19" fillId="12" borderId="12" xfId="0" applyFont="1" applyFill="1" applyBorder="1" applyAlignment="1">
      <alignment horizontal="justify" vertical="center" wrapText="1"/>
    </xf>
    <xf numFmtId="0" fontId="19" fillId="12" borderId="13" xfId="0" applyFont="1" applyFill="1" applyBorder="1" applyAlignment="1">
      <alignment horizontal="justify" vertical="center" wrapText="1"/>
    </xf>
    <xf numFmtId="0" fontId="19" fillId="12" borderId="10" xfId="0" applyFont="1" applyFill="1" applyBorder="1" applyAlignment="1">
      <alignment horizontal="justify" vertical="center" wrapText="1"/>
    </xf>
    <xf numFmtId="0" fontId="19" fillId="12" borderId="9" xfId="0" applyFont="1" applyFill="1" applyBorder="1" applyAlignment="1">
      <alignment horizontal="justify" vertical="center" wrapText="1"/>
    </xf>
    <xf numFmtId="164" fontId="10" fillId="0" borderId="0" xfId="0" applyNumberFormat="1" applyFont="1"/>
    <xf numFmtId="172" fontId="0" fillId="0" borderId="0" xfId="0" applyNumberFormat="1"/>
    <xf numFmtId="165" fontId="16" fillId="0" borderId="8" xfId="0" applyNumberFormat="1" applyFont="1" applyBorder="1" applyAlignment="1">
      <alignment horizontal="center" vertical="center"/>
    </xf>
    <xf numFmtId="165" fontId="16" fillId="0" borderId="23" xfId="0" applyNumberFormat="1" applyFont="1" applyBorder="1" applyAlignment="1">
      <alignment horizontal="center" vertical="center"/>
    </xf>
    <xf numFmtId="165" fontId="16" fillId="0" borderId="37" xfId="0" applyNumberFormat="1" applyFont="1" applyBorder="1" applyAlignment="1">
      <alignment horizontal="center" vertical="center"/>
    </xf>
    <xf numFmtId="165" fontId="16" fillId="9" borderId="36" xfId="0" applyNumberFormat="1" applyFont="1" applyFill="1" applyBorder="1" applyAlignment="1">
      <alignment horizontal="center" vertical="center"/>
    </xf>
    <xf numFmtId="165" fontId="16" fillId="0" borderId="21" xfId="0" applyNumberFormat="1" applyFont="1" applyBorder="1" applyAlignment="1">
      <alignment horizontal="center" vertical="center"/>
    </xf>
    <xf numFmtId="165" fontId="16" fillId="9" borderId="21" xfId="0" applyNumberFormat="1" applyFont="1" applyFill="1" applyBorder="1" applyAlignment="1">
      <alignment horizontal="center" vertical="center"/>
    </xf>
    <xf numFmtId="165" fontId="18" fillId="12" borderId="8" xfId="0" applyNumberFormat="1" applyFont="1" applyFill="1" applyBorder="1" applyAlignment="1">
      <alignment horizontal="center" vertical="center"/>
    </xf>
    <xf numFmtId="165" fontId="16" fillId="12" borderId="8" xfId="0" applyNumberFormat="1" applyFont="1" applyFill="1" applyBorder="1" applyAlignment="1">
      <alignment horizontal="center" vertical="center"/>
    </xf>
    <xf numFmtId="175" fontId="10" fillId="0" borderId="7" xfId="0" applyNumberFormat="1" applyFont="1" applyBorder="1"/>
    <xf numFmtId="0" fontId="11" fillId="2" borderId="1"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8" xfId="0" applyFont="1" applyFill="1" applyBorder="1" applyAlignment="1">
      <alignment horizontal="center" vertical="center"/>
    </xf>
    <xf numFmtId="0" fontId="11"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6" xfId="0" applyFont="1" applyBorder="1" applyAlignment="1">
      <alignment horizontal="justify" vertical="center" wrapText="1"/>
    </xf>
    <xf numFmtId="0" fontId="10" fillId="0" borderId="0" xfId="0" applyFont="1" applyAlignment="1">
      <alignment horizontal="justify" vertical="center" wrapText="1"/>
    </xf>
    <xf numFmtId="0" fontId="10" fillId="0" borderId="7" xfId="0" applyFont="1" applyBorder="1" applyAlignment="1">
      <alignment horizontal="justify" vertical="center" wrapText="1"/>
    </xf>
    <xf numFmtId="0" fontId="10" fillId="0" borderId="9"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1" xfId="0" applyFont="1" applyBorder="1" applyAlignment="1">
      <alignment horizontal="justify" vertical="center" wrapText="1"/>
    </xf>
    <xf numFmtId="0" fontId="10" fillId="0" borderId="0" xfId="0" applyFont="1" applyAlignment="1">
      <alignment horizontal="justify" vertical="center"/>
    </xf>
    <xf numFmtId="0" fontId="5" fillId="7" borderId="12" xfId="0" applyFont="1" applyFill="1" applyBorder="1" applyAlignment="1">
      <alignment horizontal="center"/>
    </xf>
    <xf numFmtId="0" fontId="5" fillId="7" borderId="13" xfId="0" applyFont="1" applyFill="1" applyBorder="1" applyAlignment="1">
      <alignment horizontal="center"/>
    </xf>
    <xf numFmtId="0" fontId="5" fillId="7" borderId="14" xfId="0" applyFont="1" applyFill="1" applyBorder="1" applyAlignment="1">
      <alignment horizontal="center"/>
    </xf>
    <xf numFmtId="0" fontId="4" fillId="7" borderId="12" xfId="0" applyFont="1" applyFill="1" applyBorder="1" applyAlignment="1">
      <alignment horizontal="center"/>
    </xf>
    <xf numFmtId="0" fontId="4" fillId="7" borderId="14" xfId="0" applyFont="1" applyFill="1" applyBorder="1" applyAlignment="1">
      <alignment horizontal="center"/>
    </xf>
    <xf numFmtId="0" fontId="3" fillId="0" borderId="0" xfId="0" applyFont="1" applyAlignment="1">
      <alignment horizontal="center"/>
    </xf>
    <xf numFmtId="0" fontId="5" fillId="7" borderId="12" xfId="0" applyFont="1" applyFill="1" applyBorder="1" applyAlignment="1">
      <alignment horizontal="center" wrapText="1"/>
    </xf>
    <xf numFmtId="0" fontId="5" fillId="7" borderId="13" xfId="0" applyFont="1" applyFill="1" applyBorder="1" applyAlignment="1">
      <alignment horizontal="center" wrapText="1"/>
    </xf>
    <xf numFmtId="0" fontId="5" fillId="7" borderId="14" xfId="0" applyFont="1" applyFill="1" applyBorder="1" applyAlignment="1">
      <alignment horizontal="center" wrapText="1"/>
    </xf>
    <xf numFmtId="0" fontId="3" fillId="0" borderId="12" xfId="0" applyFont="1" applyBorder="1" applyAlignment="1">
      <alignment horizontal="center"/>
    </xf>
    <xf numFmtId="0" fontId="3" fillId="0" borderId="14" xfId="0" applyFont="1" applyBorder="1" applyAlignment="1">
      <alignment horizontal="center"/>
    </xf>
    <xf numFmtId="0" fontId="3" fillId="0" borderId="13" xfId="0" applyFont="1" applyBorder="1" applyAlignment="1">
      <alignment horizontal="center"/>
    </xf>
    <xf numFmtId="0" fontId="4" fillId="0" borderId="3" xfId="0" applyFont="1" applyBorder="1" applyAlignment="1">
      <alignment horizontal="center" wrapText="1"/>
    </xf>
    <xf numFmtId="0" fontId="4" fillId="0" borderId="0" xfId="0" applyFont="1" applyAlignment="1">
      <alignment horizontal="center" wrapText="1"/>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center" vertical="center"/>
    </xf>
    <xf numFmtId="0" fontId="7" fillId="0" borderId="0" xfId="0" applyFont="1" applyAlignment="1" applyProtection="1">
      <alignment horizontal="center" vertical="center"/>
      <protection hidden="1"/>
    </xf>
    <xf numFmtId="20" fontId="3" fillId="0" borderId="2"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10" fontId="3" fillId="0" borderId="2"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8" fillId="0" borderId="0" xfId="0" applyFont="1" applyAlignment="1" applyProtection="1">
      <alignment horizontal="center" vertical="center" wrapText="1"/>
      <protection hidden="1"/>
    </xf>
    <xf numFmtId="10" fontId="3" fillId="0" borderId="12" xfId="0" applyNumberFormat="1" applyFont="1" applyBorder="1" applyAlignment="1">
      <alignment horizontal="center"/>
    </xf>
    <xf numFmtId="0" fontId="7" fillId="0" borderId="0" xfId="0" applyFont="1" applyAlignment="1" applyProtection="1">
      <alignment horizontal="center"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5" fillId="7" borderId="2" xfId="0" applyFont="1" applyFill="1" applyBorder="1" applyAlignment="1">
      <alignment horizontal="center"/>
    </xf>
    <xf numFmtId="0" fontId="5" fillId="7" borderId="3" xfId="0" applyFont="1" applyFill="1" applyBorder="1" applyAlignment="1">
      <alignment horizontal="center"/>
    </xf>
    <xf numFmtId="0" fontId="5" fillId="7" borderId="4" xfId="0" applyFont="1" applyFill="1" applyBorder="1" applyAlignment="1">
      <alignment horizontal="center"/>
    </xf>
    <xf numFmtId="0" fontId="5" fillId="7" borderId="2" xfId="0" applyFont="1" applyFill="1" applyBorder="1" applyAlignment="1">
      <alignment horizontal="center" wrapText="1"/>
    </xf>
    <xf numFmtId="0" fontId="5" fillId="7" borderId="3" xfId="0" applyFont="1" applyFill="1" applyBorder="1" applyAlignment="1">
      <alignment horizontal="center" wrapText="1"/>
    </xf>
    <xf numFmtId="0" fontId="5" fillId="7" borderId="4" xfId="0" applyFont="1" applyFill="1" applyBorder="1" applyAlignment="1">
      <alignment horizontal="center" wrapText="1"/>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176" fontId="3" fillId="0" borderId="12" xfId="0" applyNumberFormat="1" applyFont="1" applyBorder="1" applyAlignment="1">
      <alignment horizontal="center"/>
    </xf>
    <xf numFmtId="176" fontId="3" fillId="0" borderId="14" xfId="0" applyNumberFormat="1" applyFont="1" applyBorder="1" applyAlignment="1">
      <alignment horizontal="center"/>
    </xf>
    <xf numFmtId="167" fontId="3" fillId="0" borderId="12" xfId="0" applyNumberFormat="1" applyFont="1" applyBorder="1" applyAlignment="1">
      <alignment horizontal="center"/>
    </xf>
    <xf numFmtId="167" fontId="3" fillId="0" borderId="14" xfId="0" applyNumberFormat="1" applyFont="1" applyBorder="1" applyAlignment="1">
      <alignment horizontal="center"/>
    </xf>
    <xf numFmtId="0" fontId="3" fillId="0" borderId="12" xfId="2" applyNumberFormat="1" applyFont="1" applyBorder="1" applyAlignment="1">
      <alignment horizontal="center"/>
    </xf>
    <xf numFmtId="0" fontId="3" fillId="0" borderId="14" xfId="2" applyNumberFormat="1" applyFont="1" applyBorder="1" applyAlignment="1">
      <alignment horizontal="center"/>
    </xf>
    <xf numFmtId="0" fontId="4" fillId="15" borderId="12" xfId="0" applyFont="1" applyFill="1" applyBorder="1" applyAlignment="1">
      <alignment horizontal="center" vertical="center"/>
    </xf>
    <xf numFmtId="0" fontId="36" fillId="15" borderId="13" xfId="0" applyFont="1" applyFill="1" applyBorder="1" applyAlignment="1">
      <alignment horizontal="center" vertical="center"/>
    </xf>
    <xf numFmtId="0" fontId="36" fillId="15" borderId="14" xfId="0" applyFont="1" applyFill="1" applyBorder="1" applyAlignment="1">
      <alignment horizontal="center" vertical="center"/>
    </xf>
    <xf numFmtId="0" fontId="4" fillId="15" borderId="12" xfId="0" applyFont="1" applyFill="1" applyBorder="1" applyAlignment="1">
      <alignment horizontal="justify" vertical="center" wrapText="1"/>
    </xf>
    <xf numFmtId="0" fontId="4" fillId="15" borderId="13" xfId="0" applyFont="1" applyFill="1" applyBorder="1" applyAlignment="1">
      <alignment horizontal="justify" vertical="center" wrapText="1"/>
    </xf>
    <xf numFmtId="0" fontId="4" fillId="15" borderId="14" xfId="0" applyFont="1" applyFill="1" applyBorder="1" applyAlignment="1">
      <alignment horizontal="justify" vertical="center" wrapText="1"/>
    </xf>
    <xf numFmtId="0" fontId="5" fillId="7" borderId="12"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5" fillId="7" borderId="14" xfId="0" applyFont="1" applyFill="1" applyBorder="1" applyAlignment="1">
      <alignment horizontal="center" vertical="center" wrapText="1"/>
    </xf>
    <xf numFmtId="167" fontId="3" fillId="0" borderId="12" xfId="0" applyNumberFormat="1" applyFont="1" applyBorder="1" applyAlignment="1">
      <alignment horizontal="center" vertical="center"/>
    </xf>
    <xf numFmtId="167" fontId="3" fillId="0" borderId="14" xfId="0" applyNumberFormat="1" applyFont="1" applyBorder="1" applyAlignment="1">
      <alignment horizontal="center" vertical="center"/>
    </xf>
    <xf numFmtId="0" fontId="4" fillId="22" borderId="9" xfId="0" applyFont="1" applyFill="1" applyBorder="1" applyAlignment="1">
      <alignment horizontal="center" wrapText="1"/>
    </xf>
    <xf numFmtId="0" fontId="4" fillId="22" borderId="10" xfId="0" applyFont="1" applyFill="1" applyBorder="1" applyAlignment="1">
      <alignment horizontal="center" wrapText="1"/>
    </xf>
    <xf numFmtId="0" fontId="4" fillId="7" borderId="2" xfId="0" applyFont="1" applyFill="1" applyBorder="1" applyAlignment="1">
      <alignment horizontal="center"/>
    </xf>
    <xf numFmtId="0" fontId="4" fillId="7" borderId="4" xfId="0" applyFont="1" applyFill="1" applyBorder="1" applyAlignment="1">
      <alignment horizontal="center"/>
    </xf>
    <xf numFmtId="0" fontId="4" fillId="0" borderId="12"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12" xfId="0" applyFont="1" applyBorder="1" applyAlignment="1">
      <alignment horizontal="left" wrapText="1"/>
    </xf>
    <xf numFmtId="0" fontId="4" fillId="0" borderId="13" xfId="0" applyFont="1" applyBorder="1" applyAlignment="1">
      <alignment horizontal="left" wrapText="1"/>
    </xf>
    <xf numFmtId="0" fontId="4" fillId="0" borderId="14" xfId="0" applyFont="1" applyBorder="1" applyAlignment="1">
      <alignment horizontal="left" wrapText="1"/>
    </xf>
    <xf numFmtId="0" fontId="4" fillId="0" borderId="12" xfId="0" applyFont="1" applyBorder="1" applyAlignment="1">
      <alignment horizontal="left"/>
    </xf>
    <xf numFmtId="0" fontId="4" fillId="0" borderId="13" xfId="0" applyFont="1" applyBorder="1" applyAlignment="1">
      <alignment horizontal="left"/>
    </xf>
    <xf numFmtId="0" fontId="4" fillId="0" borderId="14" xfId="0" applyFont="1" applyBorder="1" applyAlignment="1">
      <alignment horizontal="left"/>
    </xf>
    <xf numFmtId="0" fontId="4" fillId="0" borderId="12" xfId="0" applyFont="1" applyBorder="1" applyAlignment="1">
      <alignment horizontal="justify" wrapText="1"/>
    </xf>
    <xf numFmtId="0" fontId="4" fillId="0" borderId="13" xfId="0" applyFont="1" applyBorder="1" applyAlignment="1">
      <alignment horizontal="justify" wrapText="1"/>
    </xf>
    <xf numFmtId="0" fontId="4" fillId="0" borderId="14" xfId="0" applyFont="1" applyBorder="1" applyAlignment="1">
      <alignment horizontal="justify" wrapText="1"/>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15" borderId="12" xfId="0" applyFont="1" applyFill="1" applyBorder="1" applyAlignment="1">
      <alignment horizontal="justify" wrapText="1"/>
    </xf>
    <xf numFmtId="0" fontId="4" fillId="15" borderId="13" xfId="0" applyFont="1" applyFill="1" applyBorder="1" applyAlignment="1">
      <alignment horizontal="justify" wrapText="1"/>
    </xf>
    <xf numFmtId="0" fontId="4" fillId="15" borderId="14" xfId="0" applyFont="1" applyFill="1" applyBorder="1" applyAlignment="1">
      <alignment horizontal="justify" wrapText="1"/>
    </xf>
    <xf numFmtId="0" fontId="5" fillId="13" borderId="12"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13" borderId="14" xfId="0" applyFont="1" applyFill="1" applyBorder="1" applyAlignment="1">
      <alignment horizontal="center" vertical="center" wrapText="1"/>
    </xf>
    <xf numFmtId="172" fontId="17" fillId="7" borderId="12" xfId="0" applyNumberFormat="1" applyFont="1" applyFill="1" applyBorder="1" applyAlignment="1">
      <alignment horizontal="center" vertical="center"/>
    </xf>
    <xf numFmtId="172" fontId="17" fillId="7" borderId="13" xfId="0" applyNumberFormat="1" applyFont="1" applyFill="1" applyBorder="1" applyAlignment="1">
      <alignment horizontal="center" vertical="center"/>
    </xf>
    <xf numFmtId="172" fontId="17" fillId="7" borderId="14" xfId="0" applyNumberFormat="1" applyFont="1" applyFill="1" applyBorder="1" applyAlignment="1">
      <alignment horizontal="center" vertical="center"/>
    </xf>
    <xf numFmtId="165" fontId="14" fillId="12" borderId="19" xfId="0" applyNumberFormat="1" applyFont="1" applyFill="1" applyBorder="1" applyAlignment="1">
      <alignment horizontal="center" vertical="center" wrapText="1"/>
    </xf>
    <xf numFmtId="165" fontId="14" fillId="12" borderId="29" xfId="0" applyNumberFormat="1" applyFont="1" applyFill="1" applyBorder="1" applyAlignment="1">
      <alignment horizontal="center" vertical="center" wrapText="1"/>
    </xf>
    <xf numFmtId="0" fontId="11" fillId="10" borderId="1" xfId="0" applyFont="1" applyFill="1" applyBorder="1" applyAlignment="1">
      <alignment horizontal="center" vertical="center" wrapText="1"/>
    </xf>
    <xf numFmtId="0" fontId="11" fillId="10" borderId="5" xfId="0" applyFont="1" applyFill="1" applyBorder="1" applyAlignment="1">
      <alignment horizontal="center" vertical="center" wrapText="1"/>
    </xf>
    <xf numFmtId="0" fontId="11" fillId="10" borderId="8" xfId="0" applyFont="1" applyFill="1" applyBorder="1" applyAlignment="1">
      <alignment horizontal="center" vertical="center" wrapText="1"/>
    </xf>
    <xf numFmtId="165" fontId="14" fillId="0" borderId="26" xfId="0" applyNumberFormat="1" applyFont="1" applyBorder="1" applyAlignment="1">
      <alignment horizontal="center" vertical="center" wrapText="1"/>
    </xf>
    <xf numFmtId="165" fontId="14" fillId="0" borderId="27" xfId="0" applyNumberFormat="1" applyFont="1" applyBorder="1" applyAlignment="1">
      <alignment horizontal="center" vertical="center" wrapText="1"/>
    </xf>
    <xf numFmtId="165" fontId="14" fillId="0" borderId="28" xfId="0" applyNumberFormat="1" applyFont="1" applyBorder="1" applyAlignment="1">
      <alignment horizontal="center" vertical="center" wrapText="1"/>
    </xf>
    <xf numFmtId="0" fontId="14" fillId="11" borderId="2" xfId="4" applyFont="1" applyFill="1" applyBorder="1" applyAlignment="1">
      <alignment horizontal="center" vertical="center" wrapText="1"/>
    </xf>
    <xf numFmtId="0" fontId="14" fillId="11" borderId="3" xfId="4" applyFont="1" applyFill="1" applyBorder="1" applyAlignment="1">
      <alignment horizontal="center" vertical="center" wrapText="1"/>
    </xf>
    <xf numFmtId="0" fontId="14" fillId="11" borderId="4" xfId="4" applyFont="1" applyFill="1" applyBorder="1" applyAlignment="1">
      <alignment horizontal="center" vertical="center" wrapText="1"/>
    </xf>
    <xf numFmtId="0" fontId="14" fillId="11" borderId="9" xfId="4" applyFont="1" applyFill="1" applyBorder="1" applyAlignment="1">
      <alignment horizontal="center" vertical="center" wrapText="1"/>
    </xf>
    <xf numFmtId="0" fontId="14" fillId="11" borderId="10" xfId="4" applyFont="1" applyFill="1" applyBorder="1" applyAlignment="1">
      <alignment horizontal="center" vertical="center" wrapText="1"/>
    </xf>
    <xf numFmtId="0" fontId="14" fillId="11" borderId="11" xfId="4" applyFont="1" applyFill="1" applyBorder="1" applyAlignment="1">
      <alignment horizontal="center" vertical="center" wrapText="1"/>
    </xf>
    <xf numFmtId="165" fontId="9" fillId="6" borderId="12" xfId="0" applyNumberFormat="1" applyFont="1" applyFill="1" applyBorder="1" applyAlignment="1">
      <alignment horizontal="center" vertical="center" wrapText="1"/>
    </xf>
    <xf numFmtId="165" fontId="9" fillId="6" borderId="13" xfId="0" applyNumberFormat="1" applyFont="1" applyFill="1" applyBorder="1" applyAlignment="1">
      <alignment horizontal="center" vertical="center" wrapText="1"/>
    </xf>
    <xf numFmtId="165" fontId="9" fillId="6" borderId="14" xfId="0" applyNumberFormat="1" applyFont="1" applyFill="1" applyBorder="1" applyAlignment="1">
      <alignment horizontal="center" vertical="center" wrapText="1"/>
    </xf>
    <xf numFmtId="0" fontId="9" fillId="8" borderId="12" xfId="0" applyFont="1" applyFill="1" applyBorder="1" applyAlignment="1">
      <alignment horizontal="center" vertical="center"/>
    </xf>
    <xf numFmtId="0" fontId="9" fillId="8" borderId="13" xfId="0" applyFont="1" applyFill="1" applyBorder="1" applyAlignment="1">
      <alignment horizontal="center" vertical="center"/>
    </xf>
    <xf numFmtId="0" fontId="9" fillId="8" borderId="14" xfId="0" applyFont="1" applyFill="1" applyBorder="1" applyAlignment="1">
      <alignment horizontal="center"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14" fillId="0" borderId="0" xfId="0" applyFont="1" applyAlignment="1">
      <alignment horizontal="left" wrapText="1"/>
    </xf>
    <xf numFmtId="165" fontId="14" fillId="4" borderId="12" xfId="0" applyNumberFormat="1" applyFont="1" applyFill="1" applyBorder="1" applyAlignment="1">
      <alignment horizontal="center" vertical="center" wrapText="1"/>
    </xf>
    <xf numFmtId="165" fontId="14" fillId="4" borderId="13" xfId="0" applyNumberFormat="1" applyFont="1" applyFill="1" applyBorder="1" applyAlignment="1">
      <alignment horizontal="center" vertical="center" wrapText="1"/>
    </xf>
    <xf numFmtId="165" fontId="14" fillId="4" borderId="14" xfId="0" applyNumberFormat="1" applyFont="1" applyFill="1" applyBorder="1" applyAlignment="1">
      <alignment horizontal="center" vertical="center" wrapText="1"/>
    </xf>
    <xf numFmtId="0" fontId="14" fillId="11" borderId="12" xfId="4" applyFont="1" applyFill="1" applyBorder="1" applyAlignment="1">
      <alignment horizontal="center" vertical="center" wrapText="1"/>
    </xf>
    <xf numFmtId="0" fontId="14" fillId="11" borderId="13" xfId="4" applyFont="1" applyFill="1" applyBorder="1" applyAlignment="1">
      <alignment horizontal="center" vertical="center" wrapText="1"/>
    </xf>
    <xf numFmtId="0" fontId="14" fillId="11" borderId="14" xfId="4" applyFont="1" applyFill="1" applyBorder="1" applyAlignment="1">
      <alignment horizontal="center" vertical="center" wrapText="1"/>
    </xf>
    <xf numFmtId="0" fontId="35" fillId="20" borderId="10" xfId="0" applyFont="1" applyFill="1" applyBorder="1" applyAlignment="1">
      <alignment horizontal="center" vertical="center"/>
    </xf>
    <xf numFmtId="0" fontId="5" fillId="0" borderId="12"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14" fillId="7" borderId="5" xfId="4" applyFont="1" applyFill="1" applyBorder="1" applyAlignment="1">
      <alignment horizontal="center" vertical="center" wrapText="1"/>
    </xf>
    <xf numFmtId="0" fontId="14" fillId="7" borderId="8" xfId="4" applyFont="1" applyFill="1" applyBorder="1" applyAlignment="1">
      <alignment horizontal="center" vertical="center" wrapText="1"/>
    </xf>
    <xf numFmtId="0" fontId="14" fillId="7" borderId="6" xfId="4" applyFont="1" applyFill="1" applyBorder="1" applyAlignment="1">
      <alignment horizontal="center" vertical="center" wrapText="1"/>
    </xf>
    <xf numFmtId="0" fontId="14" fillId="7" borderId="7" xfId="4" applyFont="1" applyFill="1" applyBorder="1" applyAlignment="1">
      <alignment horizontal="center" vertical="center" wrapText="1"/>
    </xf>
    <xf numFmtId="0" fontId="14" fillId="7" borderId="9" xfId="4" applyFont="1" applyFill="1" applyBorder="1" applyAlignment="1">
      <alignment horizontal="center" vertical="center" wrapText="1"/>
    </xf>
    <xf numFmtId="0" fontId="14" fillId="7" borderId="11" xfId="4" applyFont="1" applyFill="1" applyBorder="1" applyAlignment="1">
      <alignment horizontal="center" vertical="center" wrapText="1"/>
    </xf>
    <xf numFmtId="172" fontId="14" fillId="14" borderId="12" xfId="0" applyNumberFormat="1" applyFont="1" applyFill="1" applyBorder="1" applyAlignment="1">
      <alignment horizontal="center" vertical="center"/>
    </xf>
    <xf numFmtId="172" fontId="14" fillId="14" borderId="13" xfId="0" applyNumberFormat="1" applyFont="1" applyFill="1" applyBorder="1" applyAlignment="1">
      <alignment horizontal="center" vertical="center"/>
    </xf>
    <xf numFmtId="172" fontId="14" fillId="14" borderId="14" xfId="0" applyNumberFormat="1" applyFont="1" applyFill="1" applyBorder="1" applyAlignment="1">
      <alignment horizontal="center" vertical="center"/>
    </xf>
    <xf numFmtId="3" fontId="14" fillId="10" borderId="2" xfId="4" applyNumberFormat="1" applyFont="1" applyFill="1" applyBorder="1" applyAlignment="1">
      <alignment horizontal="center" vertical="center" wrapText="1"/>
    </xf>
    <xf numFmtId="3" fontId="14" fillId="10" borderId="9" xfId="4" applyNumberFormat="1" applyFont="1" applyFill="1" applyBorder="1" applyAlignment="1">
      <alignment horizontal="center" vertical="center" wrapText="1"/>
    </xf>
    <xf numFmtId="172" fontId="16" fillId="0" borderId="12" xfId="0" applyNumberFormat="1" applyFont="1" applyBorder="1" applyAlignment="1">
      <alignment horizontal="center" vertical="center"/>
    </xf>
    <xf numFmtId="172" fontId="16" fillId="0" borderId="14" xfId="0" applyNumberFormat="1" applyFont="1" applyBorder="1" applyAlignment="1">
      <alignment horizontal="center" vertical="center"/>
    </xf>
    <xf numFmtId="172" fontId="14" fillId="7" borderId="12" xfId="0" applyNumberFormat="1" applyFont="1" applyFill="1" applyBorder="1" applyAlignment="1">
      <alignment horizontal="center" vertical="center"/>
    </xf>
    <xf numFmtId="172" fontId="14" fillId="7" borderId="13" xfId="0" applyNumberFormat="1" applyFont="1" applyFill="1" applyBorder="1" applyAlignment="1">
      <alignment horizontal="center" vertical="center"/>
    </xf>
    <xf numFmtId="172" fontId="14" fillId="7" borderId="14" xfId="0" applyNumberFormat="1" applyFont="1" applyFill="1" applyBorder="1" applyAlignment="1">
      <alignment horizontal="center" vertical="center"/>
    </xf>
    <xf numFmtId="0" fontId="9" fillId="6" borderId="12" xfId="0" applyFont="1" applyFill="1" applyBorder="1" applyAlignment="1">
      <alignment horizontal="center" vertical="center"/>
    </xf>
    <xf numFmtId="0" fontId="9" fillId="6" borderId="13" xfId="0" applyFont="1" applyFill="1" applyBorder="1" applyAlignment="1">
      <alignment horizontal="center" vertical="center"/>
    </xf>
    <xf numFmtId="0" fontId="9" fillId="6" borderId="14" xfId="0" applyFont="1" applyFill="1" applyBorder="1" applyAlignment="1">
      <alignment horizontal="center" vertical="center"/>
    </xf>
    <xf numFmtId="172" fontId="14" fillId="10" borderId="1" xfId="4" applyNumberFormat="1" applyFont="1" applyFill="1" applyBorder="1" applyAlignment="1">
      <alignment horizontal="center" vertical="center" wrapText="1"/>
    </xf>
    <xf numFmtId="172" fontId="14" fillId="10" borderId="8" xfId="4" applyNumberFormat="1" applyFont="1" applyFill="1" applyBorder="1" applyAlignment="1">
      <alignment horizontal="center" vertical="center" wrapText="1"/>
    </xf>
    <xf numFmtId="165" fontId="16" fillId="9" borderId="10" xfId="0" applyNumberFormat="1" applyFont="1" applyFill="1" applyBorder="1" applyAlignment="1">
      <alignment horizontal="center" vertical="center"/>
    </xf>
    <xf numFmtId="0" fontId="39" fillId="16" borderId="0" xfId="0" applyFont="1" applyFill="1" applyAlignment="1">
      <alignment horizontal="center"/>
    </xf>
    <xf numFmtId="165" fontId="40" fillId="16" borderId="0" xfId="0" applyNumberFormat="1" applyFont="1" applyFill="1"/>
    <xf numFmtId="0" fontId="41" fillId="16" borderId="0" xfId="0" applyFont="1" applyFill="1" applyAlignment="1">
      <alignment horizontal="center"/>
    </xf>
    <xf numFmtId="172" fontId="39" fillId="16" borderId="0" xfId="0" applyNumberFormat="1" applyFont="1" applyFill="1" applyAlignment="1">
      <alignment horizontal="center"/>
    </xf>
    <xf numFmtId="165" fontId="41" fillId="16" borderId="0" xfId="0" applyNumberFormat="1" applyFont="1" applyFill="1" applyAlignment="1"/>
    <xf numFmtId="165" fontId="39" fillId="16" borderId="0" xfId="0" applyNumberFormat="1" applyFont="1" applyFill="1" applyAlignment="1">
      <alignment horizontal="center"/>
    </xf>
    <xf numFmtId="175" fontId="42" fillId="0" borderId="35" xfId="6" applyNumberFormat="1" applyFont="1" applyBorder="1" applyAlignment="1">
      <alignment horizontal="center" vertical="center"/>
    </xf>
    <xf numFmtId="175" fontId="10" fillId="0" borderId="0" xfId="0" applyNumberFormat="1" applyFont="1"/>
  </cellXfs>
  <cellStyles count="7">
    <cellStyle name="Millares" xfId="1" builtinId="3"/>
    <cellStyle name="Moneda" xfId="6" builtinId="4"/>
    <cellStyle name="Moneda 3" xfId="5" xr:uid="{4D68816C-2817-4939-A417-978FB647F175}"/>
    <cellStyle name="Normal" xfId="0" builtinId="0"/>
    <cellStyle name="Normal_HERRAMIENTAS PARA TRANSPORTE" xfId="4" xr:uid="{19AC8DAB-8DBA-4EC6-BD03-B7370CDC0C19}"/>
    <cellStyle name="Porcentaje" xfId="2" builtinId="5"/>
    <cellStyle name="Porcentaje 2" xfId="3" xr:uid="{28E28BA0-080C-4538-BCFF-2CC74D27A0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fiscaliagovco-my.sharepoint.com/personal/carlos_ayap_fiscalia_gov_co/Documents/_rels.xlsx" TargetMode="External"/><Relationship Id="rId1" Type="http://schemas.openxmlformats.org/officeDocument/2006/relationships/externalLinkPath" Target="https://fiscaliagovco-my.sharepoint.com/personal/carlos_ayap_fiscalia_gov_co/Documents/_re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ACTOR HUMANO"/>
      <sheetName val="MEDIOS TECNOLOGICOS"/>
      <sheetName val="ANEXO 3 SEGURO DE VIDA"/>
      <sheetName val="VALOR TOTAL"/>
    </sheetNames>
    <sheetDataSet>
      <sheetData sheetId="0">
        <row r="17">
          <cell r="P17">
            <v>6316143918.8348007</v>
          </cell>
          <cell r="AC17">
            <v>16708703662.937185</v>
          </cell>
          <cell r="AM17">
            <v>10244688406.967064</v>
          </cell>
        </row>
        <row r="27">
          <cell r="P27">
            <v>598092352</v>
          </cell>
        </row>
      </sheetData>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38491-E828-4E2C-A116-4604708BC855}">
  <dimension ref="A1:N61"/>
  <sheetViews>
    <sheetView topLeftCell="A40" workbookViewId="0">
      <selection activeCell="D54" sqref="D54"/>
    </sheetView>
  </sheetViews>
  <sheetFormatPr baseColWidth="10" defaultRowHeight="15" x14ac:dyDescent="0.25"/>
  <cols>
    <col min="1" max="1" width="21.28515625" style="26" customWidth="1"/>
    <col min="2" max="2" width="21.85546875" style="26" bestFit="1" customWidth="1"/>
    <col min="3" max="3" width="18.7109375" style="26" customWidth="1"/>
    <col min="4" max="4" width="32.85546875" style="26" customWidth="1"/>
    <col min="5" max="5" width="41.7109375" style="26" customWidth="1"/>
    <col min="6" max="6" width="11.42578125" style="26"/>
    <col min="7" max="7" width="12.28515625" style="26" bestFit="1" customWidth="1"/>
    <col min="8" max="8" width="13.28515625" style="26" bestFit="1" customWidth="1"/>
    <col min="9" max="9" width="10.85546875" style="26" bestFit="1" customWidth="1"/>
    <col min="10" max="10" width="13.28515625" style="26" bestFit="1" customWidth="1"/>
    <col min="11" max="11" width="11.140625" style="26" bestFit="1" customWidth="1"/>
    <col min="12" max="12" width="25.42578125" style="26" bestFit="1" customWidth="1"/>
    <col min="13" max="13" width="21.5703125" style="26" hidden="1" customWidth="1"/>
    <col min="14" max="14" width="22.42578125" style="26" hidden="1" customWidth="1"/>
    <col min="15" max="16384" width="11.42578125" style="26"/>
  </cols>
  <sheetData>
    <row r="1" spans="1:12" ht="17.25" thickBot="1" x14ac:dyDescent="0.35">
      <c r="A1" s="344" t="s">
        <v>117</v>
      </c>
      <c r="B1" s="345"/>
      <c r="C1" s="345"/>
      <c r="D1" s="345"/>
      <c r="E1" s="346"/>
      <c r="F1" s="22"/>
      <c r="G1" s="22"/>
      <c r="H1" s="22"/>
      <c r="I1" s="22"/>
      <c r="J1" s="22"/>
      <c r="K1" s="22"/>
      <c r="L1" s="22"/>
    </row>
    <row r="2" spans="1:12" ht="17.25" thickBot="1" x14ac:dyDescent="0.35">
      <c r="A2" s="22"/>
      <c r="B2" s="22"/>
      <c r="C2" s="22"/>
      <c r="D2" s="22"/>
      <c r="E2" s="22"/>
      <c r="F2" s="22"/>
      <c r="G2" s="22"/>
      <c r="H2" s="22"/>
      <c r="I2" s="22"/>
      <c r="J2" s="22"/>
      <c r="K2" s="22"/>
      <c r="L2" s="22"/>
    </row>
    <row r="3" spans="1:12" ht="86.25" customHeight="1" thickBot="1" x14ac:dyDescent="0.35">
      <c r="A3" s="217" t="s">
        <v>0</v>
      </c>
      <c r="B3" s="347" t="s">
        <v>114</v>
      </c>
      <c r="C3" s="348"/>
      <c r="D3" s="348"/>
      <c r="E3" s="349"/>
      <c r="F3" s="22"/>
      <c r="G3" s="22"/>
      <c r="H3" s="22"/>
      <c r="I3" s="22"/>
      <c r="J3" s="22"/>
      <c r="K3" s="22"/>
      <c r="L3" s="22"/>
    </row>
    <row r="4" spans="1:12" ht="39" customHeight="1" thickBot="1" x14ac:dyDescent="0.35">
      <c r="A4" s="350" t="s">
        <v>118</v>
      </c>
      <c r="B4" s="351"/>
      <c r="C4" s="351"/>
      <c r="D4" s="351"/>
      <c r="E4" s="352"/>
      <c r="F4" s="2"/>
      <c r="G4" s="22"/>
      <c r="H4" s="22"/>
      <c r="I4" s="22"/>
      <c r="J4" s="22"/>
      <c r="K4" s="22"/>
      <c r="L4" s="22"/>
    </row>
    <row r="5" spans="1:12" ht="17.25" thickBot="1" x14ac:dyDescent="0.3">
      <c r="A5" s="309" t="s">
        <v>119</v>
      </c>
      <c r="B5" s="311"/>
      <c r="C5" s="310"/>
      <c r="D5" s="353">
        <v>1750905</v>
      </c>
      <c r="E5" s="354"/>
      <c r="F5" s="3"/>
      <c r="G5" s="182"/>
      <c r="H5" s="182"/>
      <c r="I5" s="182"/>
      <c r="J5" s="182"/>
      <c r="K5" s="182"/>
      <c r="L5" s="182"/>
    </row>
    <row r="6" spans="1:12" ht="17.25" thickBot="1" x14ac:dyDescent="0.35">
      <c r="A6" s="335" t="s">
        <v>2</v>
      </c>
      <c r="B6" s="336"/>
      <c r="C6" s="337"/>
      <c r="D6" s="342">
        <v>10.210000000000001</v>
      </c>
      <c r="E6" s="343"/>
      <c r="F6" s="5"/>
      <c r="G6" s="22"/>
      <c r="H6" s="22"/>
      <c r="I6" s="22"/>
      <c r="J6" s="22"/>
      <c r="K6" s="22"/>
      <c r="L6" s="22"/>
    </row>
    <row r="7" spans="1:12" ht="17.25" thickBot="1" x14ac:dyDescent="0.35">
      <c r="A7" s="335" t="s">
        <v>3</v>
      </c>
      <c r="B7" s="336"/>
      <c r="C7" s="337"/>
      <c r="D7" s="338">
        <f>ROUND(D5*D6,0)</f>
        <v>17876740</v>
      </c>
      <c r="E7" s="339"/>
      <c r="F7" s="6"/>
      <c r="G7" s="22"/>
      <c r="H7" s="22"/>
      <c r="I7" s="22"/>
      <c r="J7" s="22"/>
      <c r="K7" s="22"/>
      <c r="L7" s="22"/>
    </row>
    <row r="8" spans="1:12" ht="17.25" thickBot="1" x14ac:dyDescent="0.35">
      <c r="A8" s="335" t="s">
        <v>120</v>
      </c>
      <c r="B8" s="336"/>
      <c r="C8" s="337"/>
      <c r="D8" s="340">
        <v>1500</v>
      </c>
      <c r="E8" s="341"/>
      <c r="F8" s="6"/>
      <c r="G8" s="22"/>
      <c r="H8" s="22"/>
      <c r="I8" s="22"/>
      <c r="J8" s="22"/>
      <c r="K8" s="22"/>
      <c r="L8" s="22"/>
    </row>
    <row r="9" spans="1:12" ht="17.25" thickBot="1" x14ac:dyDescent="0.35">
      <c r="A9" s="335" t="s">
        <v>121</v>
      </c>
      <c r="B9" s="336"/>
      <c r="C9" s="337"/>
      <c r="D9" s="338">
        <f>D7+D8</f>
        <v>17878240</v>
      </c>
      <c r="E9" s="339"/>
      <c r="F9" s="6"/>
      <c r="G9" s="22"/>
      <c r="H9" s="22"/>
      <c r="I9" s="22"/>
      <c r="J9" s="22"/>
      <c r="K9" s="22"/>
      <c r="L9" s="22"/>
    </row>
    <row r="10" spans="1:12" ht="17.25" thickBot="1" x14ac:dyDescent="0.35">
      <c r="A10" s="229"/>
      <c r="B10" s="206"/>
      <c r="C10" s="206"/>
      <c r="D10" s="6"/>
      <c r="E10" s="9"/>
      <c r="F10" s="6"/>
      <c r="G10" s="22"/>
      <c r="H10" s="22"/>
      <c r="I10" s="22"/>
      <c r="J10" s="22"/>
      <c r="K10" s="22"/>
      <c r="L10" s="22"/>
    </row>
    <row r="11" spans="1:12" ht="19.5" thickBot="1" x14ac:dyDescent="0.35">
      <c r="A11" s="329" t="s">
        <v>4</v>
      </c>
      <c r="B11" s="330"/>
      <c r="C11" s="330"/>
      <c r="D11" s="330"/>
      <c r="E11" s="331"/>
      <c r="F11" s="10"/>
      <c r="G11" s="22"/>
      <c r="H11" s="22"/>
      <c r="I11" s="22"/>
      <c r="J11" s="22"/>
      <c r="K11" s="22"/>
      <c r="L11" s="22"/>
    </row>
    <row r="12" spans="1:12" ht="15.75" thickBot="1" x14ac:dyDescent="0.3">
      <c r="A12" s="230" t="s">
        <v>5</v>
      </c>
      <c r="B12" s="12" t="s">
        <v>6</v>
      </c>
      <c r="C12" s="12" t="s">
        <v>7</v>
      </c>
      <c r="D12" s="12" t="s">
        <v>8</v>
      </c>
      <c r="E12" s="12" t="s">
        <v>9</v>
      </c>
      <c r="F12" s="183"/>
      <c r="G12" s="183"/>
      <c r="H12" s="183"/>
      <c r="I12" s="183"/>
      <c r="J12" s="183"/>
      <c r="K12" s="183"/>
      <c r="L12" s="183"/>
    </row>
    <row r="13" spans="1:12" ht="49.5" x14ac:dyDescent="0.3">
      <c r="A13" s="231" t="s">
        <v>10</v>
      </c>
      <c r="B13" s="184">
        <f>D9</f>
        <v>17878240</v>
      </c>
      <c r="C13" s="16">
        <v>0.08</v>
      </c>
      <c r="D13" s="185">
        <f>ROUND(B13*C13,2)</f>
        <v>1430259.2</v>
      </c>
      <c r="E13" s="185">
        <f>ROUND(B13+D13,2)</f>
        <v>19308499.199999999</v>
      </c>
      <c r="F13" s="6"/>
      <c r="G13" s="22"/>
      <c r="H13" s="22"/>
      <c r="I13" s="22"/>
      <c r="J13" s="22"/>
      <c r="K13" s="22"/>
      <c r="L13" s="22"/>
    </row>
    <row r="14" spans="1:12" ht="50.25" thickBot="1" x14ac:dyDescent="0.35">
      <c r="A14" s="232" t="s">
        <v>11</v>
      </c>
      <c r="B14" s="186">
        <f>D9</f>
        <v>17878240</v>
      </c>
      <c r="C14" s="20">
        <v>0.1</v>
      </c>
      <c r="D14" s="187">
        <f>ROUND(B14*C14,2)</f>
        <v>1787824</v>
      </c>
      <c r="E14" s="187">
        <f>ROUND(B14+D14,2)</f>
        <v>19666064</v>
      </c>
      <c r="F14" s="6"/>
      <c r="G14" s="22"/>
      <c r="H14" s="22"/>
      <c r="I14" s="22"/>
      <c r="J14" s="22"/>
      <c r="K14" s="22"/>
      <c r="L14" s="22"/>
    </row>
    <row r="15" spans="1:12" ht="16.5" x14ac:dyDescent="0.3">
      <c r="A15" s="233"/>
      <c r="B15" s="6"/>
      <c r="C15" s="207"/>
      <c r="D15" s="6"/>
      <c r="E15" s="6"/>
      <c r="F15" s="6"/>
      <c r="G15" s="22"/>
      <c r="H15" s="22"/>
      <c r="I15" s="22"/>
      <c r="J15" s="22"/>
      <c r="K15" s="22"/>
      <c r="L15" s="22"/>
    </row>
    <row r="16" spans="1:12" ht="17.25" thickBot="1" x14ac:dyDescent="0.35">
      <c r="A16" s="22"/>
      <c r="B16" s="22"/>
      <c r="C16" s="22"/>
      <c r="D16" s="22"/>
      <c r="E16" s="22"/>
      <c r="F16" s="22"/>
      <c r="G16" s="22"/>
      <c r="H16" s="22"/>
      <c r="I16" s="22"/>
      <c r="J16" s="22"/>
      <c r="K16" s="22"/>
      <c r="L16" s="22"/>
    </row>
    <row r="17" spans="1:12" ht="19.5" thickBot="1" x14ac:dyDescent="0.35">
      <c r="A17" s="332" t="s">
        <v>122</v>
      </c>
      <c r="B17" s="333"/>
      <c r="C17" s="333"/>
      <c r="D17" s="333"/>
      <c r="E17" s="334"/>
      <c r="F17" s="2"/>
      <c r="G17" s="22"/>
      <c r="H17" s="22"/>
      <c r="I17" s="22"/>
      <c r="J17" s="22"/>
      <c r="K17" s="22"/>
      <c r="L17" s="22"/>
    </row>
    <row r="18" spans="1:12" ht="17.25" thickBot="1" x14ac:dyDescent="0.35">
      <c r="A18" s="304" t="s">
        <v>13</v>
      </c>
      <c r="B18" s="306"/>
      <c r="C18" s="305"/>
      <c r="D18" s="304">
        <v>20</v>
      </c>
      <c r="E18" s="305"/>
      <c r="F18" s="22"/>
      <c r="G18" s="22"/>
      <c r="H18" s="22"/>
      <c r="I18" s="22"/>
      <c r="J18" s="22"/>
      <c r="K18" s="22"/>
      <c r="L18" s="22"/>
    </row>
    <row r="19" spans="1:12" ht="17.25" thickBot="1" x14ac:dyDescent="0.35">
      <c r="A19" s="304" t="s">
        <v>14</v>
      </c>
      <c r="B19" s="306"/>
      <c r="C19" s="305"/>
      <c r="D19" s="304">
        <v>22</v>
      </c>
      <c r="E19" s="305"/>
      <c r="F19" s="22"/>
      <c r="G19" s="22"/>
      <c r="H19" s="22"/>
      <c r="I19" s="22"/>
      <c r="J19" s="22"/>
      <c r="K19" s="22"/>
      <c r="L19" s="22"/>
    </row>
    <row r="20" spans="1:12" ht="17.25" thickBot="1" x14ac:dyDescent="0.35">
      <c r="A20" s="304" t="s">
        <v>15</v>
      </c>
      <c r="B20" s="306"/>
      <c r="C20" s="305"/>
      <c r="D20" s="304">
        <v>24</v>
      </c>
      <c r="E20" s="305"/>
      <c r="F20" s="22"/>
      <c r="G20" s="22"/>
      <c r="H20" s="22"/>
      <c r="I20" s="22"/>
      <c r="J20" s="22"/>
      <c r="K20" s="22"/>
      <c r="L20" s="22"/>
    </row>
    <row r="21" spans="1:12" ht="17.25" thickBot="1" x14ac:dyDescent="0.35">
      <c r="A21" s="304" t="s">
        <v>16</v>
      </c>
      <c r="B21" s="306"/>
      <c r="C21" s="305"/>
      <c r="D21" s="304">
        <v>26</v>
      </c>
      <c r="E21" s="305"/>
      <c r="F21" s="22"/>
      <c r="G21" s="22"/>
      <c r="H21" s="22"/>
      <c r="I21" s="22"/>
      <c r="J21" s="22"/>
      <c r="K21" s="22"/>
      <c r="L21" s="22"/>
    </row>
    <row r="22" spans="1:12" ht="17.25" thickBot="1" x14ac:dyDescent="0.35">
      <c r="A22" s="304" t="s">
        <v>17</v>
      </c>
      <c r="B22" s="306"/>
      <c r="C22" s="305"/>
      <c r="D22" s="304">
        <v>2</v>
      </c>
      <c r="E22" s="305"/>
      <c r="F22" s="22"/>
      <c r="G22" s="22"/>
      <c r="H22" s="22"/>
      <c r="I22" s="22"/>
      <c r="J22" s="22"/>
      <c r="K22" s="22"/>
      <c r="L22" s="22"/>
    </row>
    <row r="23" spans="1:12" ht="17.25" thickBot="1" x14ac:dyDescent="0.35">
      <c r="A23" s="304" t="s">
        <v>18</v>
      </c>
      <c r="B23" s="306"/>
      <c r="C23" s="305"/>
      <c r="D23" s="304">
        <v>8</v>
      </c>
      <c r="E23" s="305"/>
      <c r="F23" s="22"/>
      <c r="G23" s="22"/>
      <c r="H23" s="22"/>
      <c r="I23" s="22"/>
      <c r="J23" s="22"/>
      <c r="K23" s="22"/>
      <c r="L23" s="22"/>
    </row>
    <row r="24" spans="1:12" ht="17.25" thickBot="1" x14ac:dyDescent="0.35">
      <c r="A24" s="304" t="s">
        <v>19</v>
      </c>
      <c r="B24" s="306"/>
      <c r="C24" s="305"/>
      <c r="D24" s="304">
        <v>10</v>
      </c>
      <c r="E24" s="305"/>
      <c r="F24" s="22"/>
      <c r="G24" s="22"/>
      <c r="H24" s="22"/>
      <c r="I24" s="22"/>
      <c r="J24" s="22"/>
      <c r="K24" s="22"/>
      <c r="L24" s="22"/>
    </row>
    <row r="25" spans="1:12" ht="16.5" x14ac:dyDescent="0.3">
      <c r="A25" s="22"/>
      <c r="B25" s="22"/>
      <c r="C25" s="22"/>
      <c r="D25" s="300"/>
      <c r="E25" s="300"/>
      <c r="F25" s="22"/>
      <c r="G25" s="22"/>
      <c r="H25" s="22"/>
      <c r="I25" s="22"/>
      <c r="J25" s="22"/>
      <c r="K25" s="22"/>
      <c r="L25" s="22"/>
    </row>
    <row r="26" spans="1:12" ht="17.25" thickBot="1" x14ac:dyDescent="0.35">
      <c r="A26" s="22"/>
      <c r="B26" s="22"/>
      <c r="C26" s="22"/>
      <c r="D26" s="22"/>
      <c r="E26" s="22"/>
      <c r="F26" s="22"/>
      <c r="G26" s="22"/>
      <c r="H26" s="22"/>
      <c r="I26" s="22"/>
      <c r="J26" s="22"/>
      <c r="K26" s="22"/>
      <c r="L26" s="22"/>
    </row>
    <row r="27" spans="1:12" ht="19.5" thickBot="1" x14ac:dyDescent="0.35">
      <c r="A27" s="301" t="s">
        <v>20</v>
      </c>
      <c r="B27" s="302"/>
      <c r="C27" s="302"/>
      <c r="D27" s="302"/>
      <c r="E27" s="303"/>
      <c r="F27" s="199"/>
      <c r="G27" s="22"/>
      <c r="H27" s="22"/>
      <c r="I27" s="22"/>
      <c r="J27" s="22"/>
      <c r="K27" s="22"/>
      <c r="L27" s="22"/>
    </row>
    <row r="28" spans="1:12" ht="18" thickBot="1" x14ac:dyDescent="0.3">
      <c r="A28" s="309" t="s">
        <v>21</v>
      </c>
      <c r="B28" s="310"/>
      <c r="C28" s="309" t="s">
        <v>22</v>
      </c>
      <c r="D28" s="311"/>
      <c r="E28" s="310"/>
      <c r="F28" s="24"/>
      <c r="G28" s="312"/>
      <c r="H28" s="312"/>
      <c r="I28" s="312"/>
      <c r="J28" s="312"/>
      <c r="K28" s="312"/>
      <c r="L28" s="182"/>
    </row>
    <row r="29" spans="1:12" ht="16.5" x14ac:dyDescent="0.3">
      <c r="A29" s="313" t="s">
        <v>123</v>
      </c>
      <c r="B29" s="314"/>
      <c r="C29" s="317">
        <v>0.47589999999999999</v>
      </c>
      <c r="D29" s="318"/>
      <c r="E29" s="314"/>
      <c r="F29" s="22"/>
      <c r="G29" s="320"/>
      <c r="H29" s="320"/>
      <c r="I29" s="320"/>
      <c r="J29" s="320"/>
      <c r="K29" s="320"/>
      <c r="L29" s="22"/>
    </row>
    <row r="30" spans="1:12" ht="17.25" thickBot="1" x14ac:dyDescent="0.35">
      <c r="A30" s="315"/>
      <c r="B30" s="316"/>
      <c r="C30" s="315"/>
      <c r="D30" s="319"/>
      <c r="E30" s="316"/>
      <c r="F30" s="22"/>
      <c r="G30" s="320"/>
      <c r="H30" s="320"/>
      <c r="I30" s="320"/>
      <c r="J30" s="320"/>
      <c r="K30" s="320"/>
      <c r="L30" s="22"/>
    </row>
    <row r="31" spans="1:12" ht="18" thickBot="1" x14ac:dyDescent="0.35">
      <c r="A31" s="304" t="s">
        <v>124</v>
      </c>
      <c r="B31" s="305"/>
      <c r="C31" s="321">
        <v>0.52410000000000001</v>
      </c>
      <c r="D31" s="306"/>
      <c r="E31" s="305"/>
      <c r="F31" s="22"/>
      <c r="G31" s="320"/>
      <c r="H31" s="320"/>
      <c r="I31" s="320"/>
      <c r="J31" s="320"/>
      <c r="K31" s="320"/>
      <c r="L31" s="22"/>
    </row>
    <row r="32" spans="1:12" ht="18" thickBot="1" x14ac:dyDescent="0.35">
      <c r="A32" s="22"/>
      <c r="B32" s="22"/>
      <c r="C32" s="22"/>
      <c r="D32" s="22"/>
      <c r="E32" s="22"/>
      <c r="F32" s="22"/>
      <c r="G32" s="322"/>
      <c r="H32" s="322"/>
      <c r="I32" s="322"/>
      <c r="J32" s="322"/>
      <c r="K32" s="322"/>
      <c r="L32" s="22"/>
    </row>
    <row r="33" spans="1:14" ht="17.25" thickBot="1" x14ac:dyDescent="0.35">
      <c r="A33" s="323" t="s">
        <v>24</v>
      </c>
      <c r="B33" s="324"/>
      <c r="C33" s="324"/>
      <c r="D33" s="324"/>
      <c r="E33" s="325"/>
      <c r="F33" s="199"/>
      <c r="G33" s="22"/>
      <c r="H33" s="22"/>
      <c r="I33" s="22"/>
      <c r="J33" s="22"/>
      <c r="K33" s="22"/>
      <c r="L33" s="22"/>
    </row>
    <row r="34" spans="1:14" ht="17.25" thickBot="1" x14ac:dyDescent="0.35">
      <c r="A34" s="326" t="s">
        <v>25</v>
      </c>
      <c r="B34" s="327"/>
      <c r="C34" s="327"/>
      <c r="D34" s="327"/>
      <c r="E34" s="328"/>
      <c r="F34" s="199"/>
      <c r="G34" s="22"/>
      <c r="H34" s="22"/>
      <c r="I34" s="22"/>
      <c r="J34" s="22"/>
      <c r="K34" s="22"/>
      <c r="L34" s="22"/>
    </row>
    <row r="35" spans="1:14" ht="16.5" x14ac:dyDescent="0.3">
      <c r="A35" s="234"/>
      <c r="B35" s="199"/>
      <c r="C35" s="199"/>
      <c r="D35" s="199"/>
      <c r="E35" s="199"/>
      <c r="F35" s="199"/>
      <c r="G35" s="22"/>
      <c r="H35" s="22"/>
      <c r="I35" s="22"/>
      <c r="J35" s="22"/>
      <c r="K35" s="22"/>
      <c r="L35" s="22"/>
    </row>
    <row r="36" spans="1:14" ht="17.25" thickBot="1" x14ac:dyDescent="0.35">
      <c r="A36" s="234"/>
      <c r="B36" s="199"/>
      <c r="C36" s="199"/>
      <c r="D36" s="199"/>
      <c r="E36" s="199"/>
      <c r="F36" s="199"/>
      <c r="G36" s="22"/>
      <c r="H36" s="22"/>
      <c r="I36" s="22"/>
      <c r="J36" s="22"/>
      <c r="K36" s="22"/>
      <c r="L36" s="22"/>
    </row>
    <row r="37" spans="1:14" ht="19.5" thickBot="1" x14ac:dyDescent="0.35">
      <c r="A37" s="295" t="s">
        <v>125</v>
      </c>
      <c r="B37" s="296"/>
      <c r="C37" s="296"/>
      <c r="D37" s="296"/>
      <c r="E37" s="296"/>
      <c r="F37" s="296"/>
      <c r="G37" s="296"/>
      <c r="H37" s="297"/>
      <c r="I37" s="189"/>
      <c r="J37" s="189"/>
      <c r="K37" s="298" t="s">
        <v>126</v>
      </c>
      <c r="L37" s="299"/>
    </row>
    <row r="38" spans="1:14" ht="64.5" thickBot="1" x14ac:dyDescent="0.3">
      <c r="A38" s="190" t="s">
        <v>127</v>
      </c>
      <c r="B38" s="191" t="s">
        <v>23</v>
      </c>
      <c r="C38" s="192" t="s">
        <v>128</v>
      </c>
      <c r="D38" s="192" t="s">
        <v>129</v>
      </c>
      <c r="E38" s="193" t="s">
        <v>130</v>
      </c>
      <c r="F38" s="307"/>
      <c r="G38" s="193" t="s">
        <v>131</v>
      </c>
      <c r="H38" s="193" t="s">
        <v>132</v>
      </c>
      <c r="I38" s="193" t="s">
        <v>1</v>
      </c>
      <c r="J38" s="193" t="s">
        <v>133</v>
      </c>
      <c r="K38" s="194" t="s">
        <v>134</v>
      </c>
      <c r="L38" s="195" t="s">
        <v>135</v>
      </c>
    </row>
    <row r="39" spans="1:14" ht="32.1" customHeight="1" thickBot="1" x14ac:dyDescent="0.35">
      <c r="A39" s="235" t="s">
        <v>136</v>
      </c>
      <c r="B39" s="236" t="s">
        <v>137</v>
      </c>
      <c r="C39" s="196">
        <v>30</v>
      </c>
      <c r="D39" s="237">
        <f>B14</f>
        <v>17878240</v>
      </c>
      <c r="E39" s="198">
        <v>0.1</v>
      </c>
      <c r="F39" s="308"/>
      <c r="G39" s="238">
        <f>ROUND(D39*E39,2)</f>
        <v>1787824</v>
      </c>
      <c r="H39" s="239">
        <f>ROUND(D39+G39,2)</f>
        <v>19666064</v>
      </c>
      <c r="I39" s="238">
        <f>ROUND(H39*10%*19%,2)</f>
        <v>373655.22</v>
      </c>
      <c r="J39" s="238">
        <f>ROUND(H39+I39,2)</f>
        <v>20039719.219999999</v>
      </c>
      <c r="K39" s="264">
        <v>98</v>
      </c>
      <c r="L39" s="240">
        <f>ROUND(K39*J39,2)*1</f>
        <v>1963892483.5599999</v>
      </c>
    </row>
    <row r="40" spans="1:14" ht="32.1" customHeight="1" thickBot="1" x14ac:dyDescent="0.35">
      <c r="A40" s="235" t="s">
        <v>146</v>
      </c>
      <c r="B40" s="236" t="s">
        <v>137</v>
      </c>
      <c r="C40" s="196">
        <v>30</v>
      </c>
      <c r="D40" s="237">
        <f>+B14</f>
        <v>17878240</v>
      </c>
      <c r="E40" s="198">
        <v>0.1</v>
      </c>
      <c r="F40" s="308"/>
      <c r="G40" s="238">
        <f t="shared" ref="G40:G45" si="0">ROUND(D40*E40,2)</f>
        <v>1787824</v>
      </c>
      <c r="H40" s="239">
        <f t="shared" ref="H40:H42" si="1">ROUND(D40+G40,2)</f>
        <v>19666064</v>
      </c>
      <c r="I40" s="185" t="s">
        <v>113</v>
      </c>
      <c r="J40" s="238">
        <f>ROUND(H40,2)</f>
        <v>19666064</v>
      </c>
      <c r="K40" s="265">
        <v>6</v>
      </c>
      <c r="L40" s="240">
        <f t="shared" ref="L40:L45" si="2">ROUND(K40*J40,2)*1</f>
        <v>117996384</v>
      </c>
    </row>
    <row r="41" spans="1:14" ht="32.1" customHeight="1" thickBot="1" x14ac:dyDescent="0.35">
      <c r="A41" s="235" t="s">
        <v>149</v>
      </c>
      <c r="B41" s="236" t="s">
        <v>139</v>
      </c>
      <c r="C41" s="196">
        <v>20</v>
      </c>
      <c r="D41" s="237">
        <f t="shared" ref="D41" si="3">ROUND($D$9*$C$29/30*C41/13*12,0)</f>
        <v>5235849</v>
      </c>
      <c r="E41" s="198">
        <v>0.1</v>
      </c>
      <c r="F41" s="308"/>
      <c r="G41" s="238">
        <f t="shared" si="0"/>
        <v>523584.9</v>
      </c>
      <c r="H41" s="239">
        <f t="shared" si="1"/>
        <v>5759433.9000000004</v>
      </c>
      <c r="I41" s="238">
        <f>ROUND(H41*10%*19%,2)</f>
        <v>109429.24</v>
      </c>
      <c r="J41" s="238">
        <f t="shared" ref="J41:J42" si="4">ROUND(H41+I41,2)</f>
        <v>5868863.1399999997</v>
      </c>
      <c r="K41" s="265">
        <v>17</v>
      </c>
      <c r="L41" s="240">
        <f>ROUND(K41*J41,2)*1</f>
        <v>99770673.379999995</v>
      </c>
    </row>
    <row r="42" spans="1:14" ht="32.1" customHeight="1" thickBot="1" x14ac:dyDescent="0.35">
      <c r="A42" s="235" t="s">
        <v>147</v>
      </c>
      <c r="B42" s="236" t="s">
        <v>14</v>
      </c>
      <c r="C42" s="196">
        <v>22</v>
      </c>
      <c r="D42" s="237">
        <f>ROUND($D$9*$C$29/30*C42/13*12,0)</f>
        <v>5759434</v>
      </c>
      <c r="E42" s="198">
        <v>0.1</v>
      </c>
      <c r="F42" s="308"/>
      <c r="G42" s="238">
        <f t="shared" si="0"/>
        <v>575943.4</v>
      </c>
      <c r="H42" s="239">
        <f t="shared" si="1"/>
        <v>6335377.4000000004</v>
      </c>
      <c r="I42" s="238">
        <f>ROUND(H42*10%*19%,2)</f>
        <v>120372.17</v>
      </c>
      <c r="J42" s="238">
        <f t="shared" si="4"/>
        <v>6455749.5700000003</v>
      </c>
      <c r="K42" s="265">
        <v>2</v>
      </c>
      <c r="L42" s="240">
        <f t="shared" si="2"/>
        <v>12911499.140000001</v>
      </c>
    </row>
    <row r="43" spans="1:14" ht="32.1" customHeight="1" thickBot="1" x14ac:dyDescent="0.35">
      <c r="A43" s="235" t="s">
        <v>138</v>
      </c>
      <c r="B43" s="236" t="s">
        <v>137</v>
      </c>
      <c r="C43" s="196">
        <v>30</v>
      </c>
      <c r="D43" s="237">
        <v>17878240.050000001</v>
      </c>
      <c r="E43" s="201">
        <v>0.08</v>
      </c>
      <c r="F43" s="308"/>
      <c r="G43" s="238">
        <f t="shared" si="0"/>
        <v>1430259.2</v>
      </c>
      <c r="H43" s="239">
        <f>ROUND(D43+G43,2)</f>
        <v>19308499.25</v>
      </c>
      <c r="I43" s="238">
        <f t="shared" ref="I43:I45" si="5">ROUND(H43*10%*19%,2)</f>
        <v>366861.49</v>
      </c>
      <c r="J43" s="238">
        <f>ROUND(H43+I43,2)</f>
        <v>19675360.739999998</v>
      </c>
      <c r="K43" s="265">
        <v>1</v>
      </c>
      <c r="L43" s="240">
        <f t="shared" si="2"/>
        <v>19675360.739999998</v>
      </c>
    </row>
    <row r="44" spans="1:14" ht="32.1" customHeight="1" thickBot="1" x14ac:dyDescent="0.35">
      <c r="A44" s="235" t="s">
        <v>148</v>
      </c>
      <c r="B44" s="236" t="s">
        <v>137</v>
      </c>
      <c r="C44" s="196">
        <v>30</v>
      </c>
      <c r="D44" s="237">
        <f>ROUND($D$9*$C$29/30*C44/13*12,2)</f>
        <v>7853773.3099999996</v>
      </c>
      <c r="E44" s="201">
        <v>0.1</v>
      </c>
      <c r="F44" s="308"/>
      <c r="G44" s="238">
        <f t="shared" si="0"/>
        <v>785377.33</v>
      </c>
      <c r="H44" s="239">
        <f>ROUND(D44+G44,0)</f>
        <v>8639151</v>
      </c>
      <c r="I44" s="238">
        <f t="shared" si="5"/>
        <v>164143.87</v>
      </c>
      <c r="J44" s="238">
        <f>ROUND(H44+I44,2)</f>
        <v>8803294.8699999992</v>
      </c>
      <c r="K44" s="265">
        <v>0</v>
      </c>
      <c r="L44" s="240">
        <f t="shared" si="2"/>
        <v>0</v>
      </c>
    </row>
    <row r="45" spans="1:14" ht="32.1" customHeight="1" thickBot="1" x14ac:dyDescent="0.35">
      <c r="A45" s="235" t="s">
        <v>150</v>
      </c>
      <c r="B45" s="236" t="s">
        <v>151</v>
      </c>
      <c r="C45" s="196">
        <v>20</v>
      </c>
      <c r="D45" s="237">
        <f>ROUND($D$9*$C$29/30*C45/13*12,0)</f>
        <v>5235849</v>
      </c>
      <c r="E45" s="202">
        <v>0.08</v>
      </c>
      <c r="F45" s="308"/>
      <c r="G45" s="238">
        <f t="shared" si="0"/>
        <v>418867.92</v>
      </c>
      <c r="H45" s="241">
        <f>ROUND(D45+G45,2)</f>
        <v>5654716.9199999999</v>
      </c>
      <c r="I45" s="237">
        <f t="shared" si="5"/>
        <v>107439.62</v>
      </c>
      <c r="J45" s="237">
        <f>ROUND(H45+I45,2)</f>
        <v>5762156.54</v>
      </c>
      <c r="K45" s="266">
        <v>5</v>
      </c>
      <c r="L45" s="240">
        <f t="shared" si="2"/>
        <v>28810782.699999999</v>
      </c>
    </row>
    <row r="46" spans="1:14" ht="21.75" thickBot="1" x14ac:dyDescent="0.4">
      <c r="C46" s="22"/>
      <c r="D46" s="22"/>
      <c r="E46" s="22"/>
      <c r="F46" s="22"/>
      <c r="G46" s="242"/>
      <c r="H46" s="242"/>
      <c r="I46" s="242"/>
      <c r="J46" s="242"/>
      <c r="K46" s="203">
        <f>SUM(K39:K45)</f>
        <v>129</v>
      </c>
      <c r="L46" s="243">
        <f>ROUND(SUM(L39:L45),2)</f>
        <v>2243057183.52</v>
      </c>
      <c r="M46" s="244" t="s">
        <v>154</v>
      </c>
      <c r="N46" s="244">
        <v>2257622636</v>
      </c>
    </row>
    <row r="47" spans="1:14" ht="21.75" thickBot="1" x14ac:dyDescent="0.4">
      <c r="A47" s="22"/>
      <c r="B47" s="22"/>
      <c r="C47" s="22"/>
      <c r="D47" s="22"/>
      <c r="E47" s="22"/>
      <c r="F47" s="22"/>
      <c r="G47" s="22"/>
      <c r="H47" s="22"/>
      <c r="I47" s="22"/>
      <c r="J47" s="22"/>
      <c r="K47" s="22"/>
      <c r="L47" s="22"/>
      <c r="M47" s="244" t="s">
        <v>155</v>
      </c>
      <c r="N47" s="245">
        <f>N46-L46</f>
        <v>14565452.480000019</v>
      </c>
    </row>
    <row r="48" spans="1:14" ht="19.5" thickBot="1" x14ac:dyDescent="0.35">
      <c r="A48" s="295" t="s">
        <v>140</v>
      </c>
      <c r="B48" s="296"/>
      <c r="C48" s="296"/>
      <c r="D48" s="296"/>
      <c r="E48" s="296"/>
      <c r="F48" s="296"/>
      <c r="G48" s="296"/>
      <c r="H48" s="297"/>
      <c r="I48" s="189"/>
      <c r="J48" s="189"/>
      <c r="K48" s="298" t="s">
        <v>126</v>
      </c>
      <c r="L48" s="299"/>
    </row>
    <row r="49" spans="1:12" ht="64.5" thickBot="1" x14ac:dyDescent="0.3">
      <c r="A49" s="190" t="s">
        <v>127</v>
      </c>
      <c r="B49" s="191" t="s">
        <v>23</v>
      </c>
      <c r="C49" s="204" t="s">
        <v>128</v>
      </c>
      <c r="D49" s="193" t="s">
        <v>129</v>
      </c>
      <c r="E49" s="193" t="s">
        <v>130</v>
      </c>
      <c r="F49" s="307"/>
      <c r="G49" s="193" t="s">
        <v>131</v>
      </c>
      <c r="H49" s="193" t="s">
        <v>132</v>
      </c>
      <c r="I49" s="193" t="s">
        <v>1</v>
      </c>
      <c r="J49" s="193" t="s">
        <v>133</v>
      </c>
      <c r="K49" s="194" t="s">
        <v>134</v>
      </c>
      <c r="L49" s="195" t="s">
        <v>141</v>
      </c>
    </row>
    <row r="50" spans="1:12" ht="17.25" thickBot="1" x14ac:dyDescent="0.35">
      <c r="A50" s="246" t="s">
        <v>136</v>
      </c>
      <c r="B50" s="236" t="s">
        <v>137</v>
      </c>
      <c r="C50" s="90">
        <v>30</v>
      </c>
      <c r="D50" s="237">
        <f>+D9</f>
        <v>17878240</v>
      </c>
      <c r="E50" s="201">
        <v>0.1</v>
      </c>
      <c r="F50" s="308"/>
      <c r="G50" s="237">
        <f>ROUND(D50*E50,2)</f>
        <v>1787824</v>
      </c>
      <c r="H50" s="247">
        <f>ROUND(D50+G50,2)</f>
        <v>19666064</v>
      </c>
      <c r="I50" s="247">
        <f>ROUND(H50*10%*19%,2)</f>
        <v>373655.22</v>
      </c>
      <c r="J50" s="247">
        <f>ROUND(H50+I50,2)</f>
        <v>20039719.219999999</v>
      </c>
      <c r="K50" s="205">
        <v>1</v>
      </c>
      <c r="L50" s="240">
        <f>ROUND(K50*J50,2)*1</f>
        <v>20039719.219999999</v>
      </c>
    </row>
    <row r="51" spans="1:12" ht="17.25" thickBot="1" x14ac:dyDescent="0.35">
      <c r="A51" s="22"/>
      <c r="B51" s="22"/>
      <c r="C51" s="22"/>
      <c r="D51" s="22"/>
      <c r="E51" s="22"/>
      <c r="F51" s="22"/>
      <c r="G51" s="22"/>
      <c r="H51" s="22"/>
      <c r="I51" s="22"/>
      <c r="J51" s="22"/>
      <c r="K51" s="203">
        <f>SUM(K50:K50)</f>
        <v>1</v>
      </c>
      <c r="L51" s="248">
        <f>ROUND(SUM(L50:L50),2)</f>
        <v>20039719.219999999</v>
      </c>
    </row>
    <row r="54" spans="1:12" ht="19.899999999999999" customHeight="1" x14ac:dyDescent="0.35">
      <c r="K54" s="249" t="s">
        <v>153</v>
      </c>
      <c r="L54" s="250">
        <f>L51+L46</f>
        <v>2263096902.7399998</v>
      </c>
    </row>
    <row r="55" spans="1:12" ht="10.5" customHeight="1" x14ac:dyDescent="0.25"/>
    <row r="56" spans="1:12" ht="10.5" customHeight="1" x14ac:dyDescent="0.25"/>
    <row r="57" spans="1:12" ht="10.5" customHeight="1" x14ac:dyDescent="0.25"/>
    <row r="58" spans="1:12" ht="10.5" customHeight="1" x14ac:dyDescent="0.25"/>
    <row r="59" spans="1:12" ht="10.5" customHeight="1" x14ac:dyDescent="0.25"/>
    <row r="60" spans="1:12" ht="10.5" customHeight="1" x14ac:dyDescent="0.25"/>
    <row r="61" spans="1:12" ht="10.5" customHeight="1" x14ac:dyDescent="0.25"/>
  </sheetData>
  <mergeCells count="49">
    <mergeCell ref="A6:C6"/>
    <mergeCell ref="D6:E6"/>
    <mergeCell ref="A1:E1"/>
    <mergeCell ref="B3:E3"/>
    <mergeCell ref="A4:E4"/>
    <mergeCell ref="A5:C5"/>
    <mergeCell ref="D5:E5"/>
    <mergeCell ref="A7:C7"/>
    <mergeCell ref="D7:E7"/>
    <mergeCell ref="A8:C8"/>
    <mergeCell ref="D8:E8"/>
    <mergeCell ref="A9:C9"/>
    <mergeCell ref="D9:E9"/>
    <mergeCell ref="A11:E11"/>
    <mergeCell ref="A23:C23"/>
    <mergeCell ref="D23:E23"/>
    <mergeCell ref="A24:C24"/>
    <mergeCell ref="D24:E24"/>
    <mergeCell ref="A17:E17"/>
    <mergeCell ref="A18:C18"/>
    <mergeCell ref="D18:E18"/>
    <mergeCell ref="A19:C19"/>
    <mergeCell ref="A22:C22"/>
    <mergeCell ref="D22:E22"/>
    <mergeCell ref="A48:H48"/>
    <mergeCell ref="K48:L48"/>
    <mergeCell ref="F49:F50"/>
    <mergeCell ref="A28:B28"/>
    <mergeCell ref="C28:E28"/>
    <mergeCell ref="F38:F45"/>
    <mergeCell ref="G28:K28"/>
    <mergeCell ref="A29:B30"/>
    <mergeCell ref="C29:E30"/>
    <mergeCell ref="G29:K30"/>
    <mergeCell ref="A31:B31"/>
    <mergeCell ref="C31:E31"/>
    <mergeCell ref="G31:K31"/>
    <mergeCell ref="G32:K32"/>
    <mergeCell ref="A33:E33"/>
    <mergeCell ref="A34:E34"/>
    <mergeCell ref="A37:H37"/>
    <mergeCell ref="K37:L37"/>
    <mergeCell ref="D25:E25"/>
    <mergeCell ref="A27:E27"/>
    <mergeCell ref="D19:E19"/>
    <mergeCell ref="A20:C20"/>
    <mergeCell ref="D20:E20"/>
    <mergeCell ref="A21:C21"/>
    <mergeCell ref="D21:E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E1CF0-12BB-4119-912B-B702A3098DE7}">
  <dimension ref="A1:O75"/>
  <sheetViews>
    <sheetView topLeftCell="A65" workbookViewId="0">
      <selection activeCell="L63" sqref="L63"/>
    </sheetView>
  </sheetViews>
  <sheetFormatPr baseColWidth="10" defaultRowHeight="15" x14ac:dyDescent="0.25"/>
  <cols>
    <col min="1" max="1" width="21.140625" customWidth="1"/>
    <col min="2" max="5" width="25.7109375" customWidth="1"/>
    <col min="7" max="7" width="12.28515625" bestFit="1" customWidth="1"/>
    <col min="8" max="8" width="13.28515625" bestFit="1" customWidth="1"/>
    <col min="9" max="9" width="10.85546875" bestFit="1" customWidth="1"/>
    <col min="10" max="10" width="13.28515625" bestFit="1" customWidth="1"/>
    <col min="11" max="11" width="11.140625" bestFit="1" customWidth="1"/>
    <col min="12" max="12" width="21.28515625" bestFit="1" customWidth="1"/>
    <col min="15" max="15" width="20.85546875" bestFit="1" customWidth="1"/>
  </cols>
  <sheetData>
    <row r="1" spans="1:12" ht="17.25" thickBot="1" x14ac:dyDescent="0.35">
      <c r="A1" s="344" t="s">
        <v>142</v>
      </c>
      <c r="B1" s="345"/>
      <c r="C1" s="345"/>
      <c r="D1" s="345"/>
      <c r="E1" s="345"/>
      <c r="F1" s="346"/>
      <c r="G1" s="1"/>
      <c r="H1" s="1"/>
      <c r="I1" s="1"/>
      <c r="J1" s="1"/>
      <c r="K1" s="1"/>
      <c r="L1" s="22"/>
    </row>
    <row r="2" spans="1:12" ht="17.25" thickBot="1" x14ac:dyDescent="0.35">
      <c r="A2" s="1"/>
      <c r="B2" s="1"/>
      <c r="C2" s="22"/>
      <c r="D2" s="1"/>
      <c r="E2" s="1"/>
      <c r="F2" s="1"/>
      <c r="G2" s="1"/>
      <c r="H2" s="1"/>
      <c r="I2" s="1"/>
      <c r="J2" s="1"/>
      <c r="K2" s="1"/>
      <c r="L2" s="1"/>
    </row>
    <row r="3" spans="1:12" ht="86.25" customHeight="1" thickBot="1" x14ac:dyDescent="0.35">
      <c r="A3" s="216" t="s">
        <v>0</v>
      </c>
      <c r="B3" s="368" t="s">
        <v>145</v>
      </c>
      <c r="C3" s="369"/>
      <c r="D3" s="369"/>
      <c r="E3" s="370"/>
      <c r="F3" s="1"/>
      <c r="G3" s="1"/>
      <c r="H3" s="1"/>
      <c r="I3" s="1"/>
      <c r="J3" s="1"/>
      <c r="K3" s="1"/>
      <c r="L3" s="1"/>
    </row>
    <row r="4" spans="1:12" ht="52.5" customHeight="1" thickBot="1" x14ac:dyDescent="0.35">
      <c r="A4" s="350" t="s">
        <v>118</v>
      </c>
      <c r="B4" s="351"/>
      <c r="C4" s="351"/>
      <c r="D4" s="351"/>
      <c r="E4" s="352"/>
      <c r="F4" s="2"/>
      <c r="G4" s="1"/>
      <c r="H4" s="1"/>
      <c r="I4" s="1"/>
      <c r="J4" s="1"/>
      <c r="K4" s="1"/>
      <c r="L4" s="1"/>
    </row>
    <row r="5" spans="1:12" ht="17.25" thickBot="1" x14ac:dyDescent="0.3">
      <c r="A5" s="371" t="s">
        <v>119</v>
      </c>
      <c r="B5" s="372"/>
      <c r="C5" s="373"/>
      <c r="D5" s="353">
        <f>(1750905+(1750905*4.4%))</f>
        <v>1827944.82</v>
      </c>
      <c r="E5" s="354"/>
      <c r="F5" s="3"/>
      <c r="G5" s="4"/>
      <c r="H5" s="4"/>
      <c r="I5" s="4"/>
      <c r="J5" s="4"/>
      <c r="K5" s="4"/>
      <c r="L5" s="4"/>
    </row>
    <row r="6" spans="1:12" ht="17.25" thickBot="1" x14ac:dyDescent="0.35">
      <c r="A6" s="365" t="s">
        <v>2</v>
      </c>
      <c r="B6" s="366"/>
      <c r="C6" s="367"/>
      <c r="D6" s="255">
        <v>10.210000000000001</v>
      </c>
      <c r="E6" s="256">
        <v>10.38</v>
      </c>
      <c r="F6" s="5"/>
      <c r="G6" s="1"/>
      <c r="H6" s="1"/>
      <c r="I6" s="1"/>
      <c r="J6" s="1"/>
      <c r="K6" s="1"/>
      <c r="L6" s="1"/>
    </row>
    <row r="7" spans="1:12" ht="17.25" thickBot="1" x14ac:dyDescent="0.35">
      <c r="A7" s="365" t="s">
        <v>3</v>
      </c>
      <c r="B7" s="366"/>
      <c r="C7" s="367"/>
      <c r="D7" s="257">
        <f>ROUND(D5*D6,0)</f>
        <v>18663317</v>
      </c>
      <c r="E7" s="197">
        <f>ROUND(D5*E6,0)</f>
        <v>18974067</v>
      </c>
      <c r="F7" s="6"/>
      <c r="G7" s="1"/>
      <c r="H7" s="1"/>
      <c r="I7" s="1"/>
      <c r="J7" s="1"/>
      <c r="K7" s="1"/>
      <c r="L7" s="1"/>
    </row>
    <row r="8" spans="1:12" ht="17.25" thickBot="1" x14ac:dyDescent="0.35">
      <c r="A8" s="365" t="s">
        <v>120</v>
      </c>
      <c r="B8" s="366"/>
      <c r="C8" s="367"/>
      <c r="D8" s="340">
        <v>1500</v>
      </c>
      <c r="E8" s="341"/>
      <c r="F8" s="6"/>
      <c r="G8" s="1"/>
      <c r="H8" s="1"/>
      <c r="I8" s="1"/>
      <c r="J8" s="1"/>
      <c r="K8" s="22"/>
      <c r="L8" s="1"/>
    </row>
    <row r="9" spans="1:12" ht="17.25" thickBot="1" x14ac:dyDescent="0.35">
      <c r="A9" s="365" t="s">
        <v>121</v>
      </c>
      <c r="B9" s="366"/>
      <c r="C9" s="367"/>
      <c r="D9" s="257">
        <f>D7+D8</f>
        <v>18664817</v>
      </c>
      <c r="E9" s="197">
        <f>E7+D8</f>
        <v>18975567</v>
      </c>
      <c r="F9" s="6"/>
      <c r="G9" s="1"/>
      <c r="H9" s="1"/>
      <c r="I9" s="1"/>
      <c r="J9" s="1"/>
      <c r="K9" s="22"/>
      <c r="L9" s="1"/>
    </row>
    <row r="10" spans="1:12" ht="16.5" x14ac:dyDescent="0.3">
      <c r="A10" s="7"/>
      <c r="B10" s="8"/>
      <c r="C10" s="206"/>
      <c r="D10" s="6"/>
      <c r="E10" s="9"/>
      <c r="F10" s="6"/>
      <c r="G10" s="1"/>
      <c r="H10" s="1"/>
      <c r="I10" s="1"/>
      <c r="J10" s="1"/>
      <c r="K10" s="1"/>
      <c r="L10" s="1"/>
    </row>
    <row r="11" spans="1:12" ht="17.25" thickBot="1" x14ac:dyDescent="0.35">
      <c r="A11" s="7"/>
      <c r="B11" s="8"/>
      <c r="C11" s="206"/>
      <c r="D11" s="6"/>
      <c r="E11" s="9"/>
      <c r="F11" s="6"/>
      <c r="G11" s="1"/>
      <c r="H11" s="1"/>
      <c r="I11" s="1"/>
      <c r="J11" s="1"/>
      <c r="K11" s="1"/>
      <c r="L11" s="1"/>
    </row>
    <row r="12" spans="1:12" ht="19.5" thickBot="1" x14ac:dyDescent="0.35">
      <c r="A12" s="329" t="s">
        <v>4</v>
      </c>
      <c r="B12" s="330"/>
      <c r="C12" s="330"/>
      <c r="D12" s="330"/>
      <c r="E12" s="331"/>
      <c r="F12" s="10"/>
      <c r="G12" s="1"/>
      <c r="H12" s="1"/>
      <c r="I12" s="1"/>
      <c r="J12" s="1"/>
      <c r="K12" s="1"/>
      <c r="L12" s="1"/>
    </row>
    <row r="13" spans="1:12" ht="27" thickBot="1" x14ac:dyDescent="0.3">
      <c r="A13" s="11" t="s">
        <v>5</v>
      </c>
      <c r="B13" s="12" t="s">
        <v>6</v>
      </c>
      <c r="C13" s="12" t="s">
        <v>7</v>
      </c>
      <c r="D13" s="12" t="s">
        <v>8</v>
      </c>
      <c r="E13" s="12" t="s">
        <v>9</v>
      </c>
      <c r="F13" s="13"/>
      <c r="G13" s="13"/>
      <c r="H13" s="13"/>
      <c r="I13" s="13"/>
      <c r="J13" s="13"/>
      <c r="K13" s="13"/>
      <c r="L13" s="13"/>
    </row>
    <row r="14" spans="1:12" ht="82.5" x14ac:dyDescent="0.3">
      <c r="A14" s="14" t="s">
        <v>10</v>
      </c>
      <c r="B14" s="185">
        <f>$D$9</f>
        <v>18664817</v>
      </c>
      <c r="C14" s="16">
        <v>0.08</v>
      </c>
      <c r="D14" s="185">
        <f>ROUND(B14*C14,2)</f>
        <v>1493185.36</v>
      </c>
      <c r="E14" s="185">
        <f>ROUND(B14+D14,2)</f>
        <v>20158002.359999999</v>
      </c>
      <c r="F14" s="17"/>
      <c r="G14" s="1"/>
      <c r="H14" s="1"/>
      <c r="I14" s="1"/>
      <c r="J14" s="1"/>
      <c r="K14" s="1"/>
      <c r="L14" s="1"/>
    </row>
    <row r="15" spans="1:12" ht="83.25" thickBot="1" x14ac:dyDescent="0.35">
      <c r="A15" s="18" t="s">
        <v>11</v>
      </c>
      <c r="B15" s="187">
        <f>$D$9</f>
        <v>18664817</v>
      </c>
      <c r="C15" s="20">
        <v>0.1</v>
      </c>
      <c r="D15" s="187">
        <f>ROUND(B15*C15,2)</f>
        <v>1866481.7</v>
      </c>
      <c r="E15" s="187">
        <f>ROUND(B15+D15,2)</f>
        <v>20531298.699999999</v>
      </c>
      <c r="F15" s="17"/>
      <c r="G15" s="1"/>
      <c r="H15" s="1"/>
      <c r="I15" s="1"/>
      <c r="J15" s="1"/>
      <c r="K15" s="1"/>
      <c r="L15" s="1"/>
    </row>
    <row r="16" spans="1:12" ht="16.5" x14ac:dyDescent="0.3">
      <c r="A16" s="21"/>
      <c r="B16" s="17"/>
      <c r="C16" s="207"/>
      <c r="D16" s="17"/>
      <c r="E16" s="17"/>
      <c r="F16" s="17"/>
      <c r="G16" s="1"/>
      <c r="H16" s="1"/>
      <c r="I16" s="1"/>
      <c r="J16" s="1"/>
      <c r="K16" s="1"/>
      <c r="L16" s="1"/>
    </row>
    <row r="17" spans="1:12" ht="17.25" thickBot="1" x14ac:dyDescent="0.35">
      <c r="A17" s="1"/>
      <c r="B17" s="1"/>
      <c r="C17" s="22"/>
      <c r="D17" s="1"/>
      <c r="E17" s="1"/>
      <c r="F17" s="1"/>
      <c r="G17" s="1"/>
      <c r="H17" s="1"/>
      <c r="I17" s="1"/>
      <c r="J17" s="1"/>
      <c r="K17" s="1"/>
      <c r="L17" s="1"/>
    </row>
    <row r="18" spans="1:12" ht="19.5" thickBot="1" x14ac:dyDescent="0.35">
      <c r="A18" s="332" t="s">
        <v>12</v>
      </c>
      <c r="B18" s="333"/>
      <c r="C18" s="333"/>
      <c r="D18" s="333"/>
      <c r="E18" s="334"/>
      <c r="F18" s="2"/>
      <c r="G18" s="1"/>
      <c r="H18" s="1"/>
      <c r="I18" s="1"/>
      <c r="J18" s="1"/>
      <c r="K18" s="1"/>
      <c r="L18" s="1"/>
    </row>
    <row r="19" spans="1:12" ht="17.25" thickBot="1" x14ac:dyDescent="0.35">
      <c r="A19" s="304" t="s">
        <v>13</v>
      </c>
      <c r="B19" s="306"/>
      <c r="C19" s="305"/>
      <c r="D19" s="304">
        <v>20</v>
      </c>
      <c r="E19" s="305"/>
      <c r="F19" s="22"/>
      <c r="G19" s="1"/>
      <c r="H19" s="1"/>
      <c r="I19" s="1"/>
      <c r="J19" s="1"/>
      <c r="K19" s="1"/>
      <c r="L19" s="1"/>
    </row>
    <row r="20" spans="1:12" ht="17.25" thickBot="1" x14ac:dyDescent="0.35">
      <c r="A20" s="304" t="s">
        <v>14</v>
      </c>
      <c r="B20" s="306"/>
      <c r="C20" s="305"/>
      <c r="D20" s="304">
        <v>22</v>
      </c>
      <c r="E20" s="305"/>
      <c r="F20" s="22"/>
      <c r="G20" s="1"/>
      <c r="H20" s="1"/>
      <c r="I20" s="1"/>
      <c r="J20" s="1"/>
      <c r="K20" s="1"/>
      <c r="L20" s="1"/>
    </row>
    <row r="21" spans="1:12" ht="17.25" thickBot="1" x14ac:dyDescent="0.35">
      <c r="A21" s="304" t="s">
        <v>15</v>
      </c>
      <c r="B21" s="306"/>
      <c r="C21" s="305"/>
      <c r="D21" s="304">
        <v>24</v>
      </c>
      <c r="E21" s="305"/>
      <c r="F21" s="22"/>
      <c r="G21" s="1"/>
      <c r="H21" s="1"/>
      <c r="I21" s="1"/>
      <c r="J21" s="1"/>
      <c r="K21" s="1"/>
      <c r="L21" s="1"/>
    </row>
    <row r="22" spans="1:12" ht="17.25" thickBot="1" x14ac:dyDescent="0.35">
      <c r="A22" s="304" t="s">
        <v>16</v>
      </c>
      <c r="B22" s="306"/>
      <c r="C22" s="305"/>
      <c r="D22" s="304">
        <v>26</v>
      </c>
      <c r="E22" s="305"/>
      <c r="F22" s="22"/>
      <c r="G22" s="1"/>
      <c r="H22" s="1"/>
      <c r="I22" s="1"/>
      <c r="J22" s="1"/>
      <c r="K22" s="1"/>
      <c r="L22" s="1"/>
    </row>
    <row r="23" spans="1:12" ht="17.25" thickBot="1" x14ac:dyDescent="0.35">
      <c r="A23" s="304" t="s">
        <v>17</v>
      </c>
      <c r="B23" s="306"/>
      <c r="C23" s="305"/>
      <c r="D23" s="304">
        <v>2</v>
      </c>
      <c r="E23" s="305"/>
      <c r="F23" s="22"/>
      <c r="G23" s="1"/>
      <c r="H23" s="1"/>
      <c r="I23" s="1"/>
      <c r="J23" s="1"/>
      <c r="K23" s="1"/>
      <c r="L23" s="1"/>
    </row>
    <row r="24" spans="1:12" ht="17.25" thickBot="1" x14ac:dyDescent="0.35">
      <c r="A24" s="304" t="s">
        <v>18</v>
      </c>
      <c r="B24" s="306"/>
      <c r="C24" s="305"/>
      <c r="D24" s="304">
        <v>8</v>
      </c>
      <c r="E24" s="305"/>
      <c r="F24" s="22"/>
      <c r="G24" s="1"/>
      <c r="H24" s="1"/>
      <c r="I24" s="1"/>
      <c r="J24" s="1"/>
      <c r="K24" s="1"/>
      <c r="L24" s="1"/>
    </row>
    <row r="25" spans="1:12" ht="17.25" thickBot="1" x14ac:dyDescent="0.35">
      <c r="A25" s="304" t="s">
        <v>19</v>
      </c>
      <c r="B25" s="306"/>
      <c r="C25" s="305"/>
      <c r="D25" s="304">
        <v>10</v>
      </c>
      <c r="E25" s="305"/>
      <c r="F25" s="22"/>
      <c r="G25" s="1"/>
      <c r="H25" s="1"/>
      <c r="I25" s="1"/>
      <c r="J25" s="1"/>
      <c r="K25" s="1"/>
      <c r="L25" s="1"/>
    </row>
    <row r="26" spans="1:12" ht="16.5" x14ac:dyDescent="0.3">
      <c r="A26" s="22"/>
      <c r="B26" s="22"/>
      <c r="C26" s="22"/>
      <c r="D26" s="22"/>
      <c r="E26" s="22"/>
      <c r="F26" s="22"/>
      <c r="G26" s="1"/>
      <c r="H26" s="1"/>
      <c r="I26" s="1"/>
      <c r="J26" s="1"/>
      <c r="K26" s="1"/>
      <c r="L26" s="1"/>
    </row>
    <row r="27" spans="1:12" ht="17.25" thickBot="1" x14ac:dyDescent="0.35">
      <c r="A27" s="1"/>
      <c r="B27" s="1"/>
      <c r="C27" s="22"/>
      <c r="D27" s="1"/>
      <c r="E27" s="1"/>
      <c r="F27" s="1"/>
      <c r="G27" s="1"/>
      <c r="H27" s="1"/>
      <c r="I27" s="1"/>
      <c r="J27" s="1"/>
      <c r="K27" s="1"/>
      <c r="L27" s="1"/>
    </row>
    <row r="28" spans="1:12" ht="19.5" thickBot="1" x14ac:dyDescent="0.35">
      <c r="A28" s="301" t="s">
        <v>20</v>
      </c>
      <c r="B28" s="302"/>
      <c r="C28" s="302"/>
      <c r="D28" s="302"/>
      <c r="E28" s="303"/>
      <c r="F28" s="23"/>
      <c r="G28" s="1"/>
      <c r="H28" s="1"/>
      <c r="I28" s="1"/>
      <c r="J28" s="1"/>
      <c r="K28" s="1"/>
      <c r="L28" s="1"/>
    </row>
    <row r="29" spans="1:12" ht="18" thickBot="1" x14ac:dyDescent="0.3">
      <c r="A29" s="309" t="s">
        <v>21</v>
      </c>
      <c r="B29" s="310"/>
      <c r="C29" s="309" t="s">
        <v>22</v>
      </c>
      <c r="D29" s="311"/>
      <c r="E29" s="310"/>
      <c r="F29" s="24"/>
      <c r="G29" s="312"/>
      <c r="H29" s="312"/>
      <c r="I29" s="312"/>
      <c r="J29" s="312"/>
      <c r="K29" s="312"/>
      <c r="L29" s="4"/>
    </row>
    <row r="30" spans="1:12" ht="16.5" x14ac:dyDescent="0.3">
      <c r="A30" s="313" t="s">
        <v>123</v>
      </c>
      <c r="B30" s="314"/>
      <c r="C30" s="317">
        <v>0.47589999999999999</v>
      </c>
      <c r="D30" s="318"/>
      <c r="E30" s="314"/>
      <c r="F30" s="22"/>
      <c r="G30" s="320"/>
      <c r="H30" s="320"/>
      <c r="I30" s="320"/>
      <c r="J30" s="320"/>
      <c r="K30" s="320"/>
      <c r="L30" s="1"/>
    </row>
    <row r="31" spans="1:12" ht="17.25" thickBot="1" x14ac:dyDescent="0.35">
      <c r="A31" s="315"/>
      <c r="B31" s="316"/>
      <c r="C31" s="315"/>
      <c r="D31" s="319"/>
      <c r="E31" s="316"/>
      <c r="F31" s="22"/>
      <c r="G31" s="320"/>
      <c r="H31" s="320"/>
      <c r="I31" s="320"/>
      <c r="J31" s="320"/>
      <c r="K31" s="320"/>
      <c r="L31" s="1"/>
    </row>
    <row r="32" spans="1:12" ht="18" thickBot="1" x14ac:dyDescent="0.35">
      <c r="A32" s="304" t="s">
        <v>124</v>
      </c>
      <c r="B32" s="305"/>
      <c r="C32" s="321">
        <v>0.52410000000000001</v>
      </c>
      <c r="D32" s="306"/>
      <c r="E32" s="305"/>
      <c r="F32" s="22"/>
      <c r="G32" s="320"/>
      <c r="H32" s="320"/>
      <c r="I32" s="320"/>
      <c r="J32" s="320"/>
      <c r="K32" s="320"/>
      <c r="L32" s="1"/>
    </row>
    <row r="33" spans="1:15" ht="18" thickBot="1" x14ac:dyDescent="0.35">
      <c r="A33" s="1"/>
      <c r="B33" s="1"/>
      <c r="C33" s="22"/>
      <c r="D33" s="1"/>
      <c r="E33" s="1"/>
      <c r="F33" s="1"/>
      <c r="G33" s="322"/>
      <c r="H33" s="322"/>
      <c r="I33" s="322"/>
      <c r="J33" s="322"/>
      <c r="K33" s="322"/>
      <c r="L33" s="1"/>
    </row>
    <row r="34" spans="1:15" ht="52.9" customHeight="1" thickBot="1" x14ac:dyDescent="0.35">
      <c r="A34" s="359" t="s">
        <v>24</v>
      </c>
      <c r="B34" s="360"/>
      <c r="C34" s="360"/>
      <c r="D34" s="360"/>
      <c r="E34" s="361"/>
      <c r="F34" s="23"/>
      <c r="G34" s="1"/>
      <c r="H34" s="1"/>
      <c r="I34" s="1"/>
      <c r="J34" s="1"/>
      <c r="K34" s="1"/>
      <c r="L34" s="1"/>
    </row>
    <row r="35" spans="1:15" ht="17.25" thickBot="1" x14ac:dyDescent="0.35">
      <c r="A35" s="362" t="s">
        <v>25</v>
      </c>
      <c r="B35" s="363"/>
      <c r="C35" s="363"/>
      <c r="D35" s="363"/>
      <c r="E35" s="364"/>
      <c r="F35" s="25"/>
      <c r="G35" s="1"/>
      <c r="H35" s="1"/>
      <c r="I35" s="1"/>
      <c r="J35" s="1"/>
      <c r="K35" s="1"/>
      <c r="L35" s="1"/>
    </row>
    <row r="36" spans="1:15" ht="16.5" x14ac:dyDescent="0.3">
      <c r="A36" s="188"/>
      <c r="B36" s="25"/>
      <c r="C36" s="199"/>
      <c r="D36" s="25"/>
      <c r="E36" s="25"/>
      <c r="F36" s="25"/>
      <c r="G36" s="1"/>
      <c r="H36" s="1"/>
      <c r="I36" s="1"/>
      <c r="J36" s="1"/>
      <c r="K36" s="1"/>
      <c r="L36" s="1"/>
    </row>
    <row r="37" spans="1:15" ht="17.25" thickBot="1" x14ac:dyDescent="0.35">
      <c r="A37" s="355" t="s">
        <v>156</v>
      </c>
      <c r="B37" s="356"/>
      <c r="C37" s="356"/>
      <c r="D37" s="356"/>
      <c r="E37" s="356"/>
      <c r="F37" s="356"/>
      <c r="G37" s="356"/>
      <c r="H37" s="1"/>
      <c r="I37" s="1"/>
      <c r="J37" s="1"/>
      <c r="K37" s="1"/>
      <c r="L37" s="1"/>
    </row>
    <row r="38" spans="1:15" ht="19.5" thickBot="1" x14ac:dyDescent="0.35">
      <c r="A38" s="329" t="s">
        <v>143</v>
      </c>
      <c r="B38" s="330"/>
      <c r="C38" s="330"/>
      <c r="D38" s="330"/>
      <c r="E38" s="330"/>
      <c r="F38" s="296"/>
      <c r="G38" s="330"/>
      <c r="H38" s="331"/>
      <c r="I38" s="91"/>
      <c r="J38" s="91"/>
      <c r="K38" s="357" t="s">
        <v>126</v>
      </c>
      <c r="L38" s="358"/>
    </row>
    <row r="39" spans="1:15" ht="64.5" thickBot="1" x14ac:dyDescent="0.3">
      <c r="A39" s="208" t="s">
        <v>127</v>
      </c>
      <c r="B39" s="209" t="s">
        <v>23</v>
      </c>
      <c r="C39" s="210" t="s">
        <v>128</v>
      </c>
      <c r="D39" s="210" t="s">
        <v>129</v>
      </c>
      <c r="E39" s="211" t="s">
        <v>130</v>
      </c>
      <c r="F39" s="307"/>
      <c r="G39" s="212" t="s">
        <v>131</v>
      </c>
      <c r="H39" s="210" t="s">
        <v>132</v>
      </c>
      <c r="I39" s="210" t="s">
        <v>1</v>
      </c>
      <c r="J39" s="210" t="s">
        <v>133</v>
      </c>
      <c r="K39" s="210" t="s">
        <v>134</v>
      </c>
      <c r="L39" s="211" t="s">
        <v>158</v>
      </c>
    </row>
    <row r="40" spans="1:15" ht="17.25" thickBot="1" x14ac:dyDescent="0.35">
      <c r="A40" s="227" t="s">
        <v>136</v>
      </c>
      <c r="B40" s="228" t="s">
        <v>137</v>
      </c>
      <c r="C40" s="196">
        <v>30</v>
      </c>
      <c r="D40" s="197">
        <f>+B14</f>
        <v>18664817</v>
      </c>
      <c r="E40" s="198">
        <v>0.1</v>
      </c>
      <c r="F40" s="308"/>
      <c r="G40" s="200">
        <f>ROUND(D40*E40,2)</f>
        <v>1866481.7</v>
      </c>
      <c r="H40" s="200">
        <f>ROUND(D40+G40,2)</f>
        <v>20531298.699999999</v>
      </c>
      <c r="I40" s="200">
        <f>ROUND(H40*10%*19%,2)</f>
        <v>390094.68</v>
      </c>
      <c r="J40" s="200">
        <f>ROUND(H40+I40,2)</f>
        <v>20921393.379999999</v>
      </c>
      <c r="K40" s="264">
        <v>98</v>
      </c>
      <c r="L40" s="213">
        <f>ROUND(((K40*J40)*6),2)</f>
        <v>12301779307.440001</v>
      </c>
    </row>
    <row r="41" spans="1:15" ht="33.75" thickBot="1" x14ac:dyDescent="0.35">
      <c r="A41" s="227" t="s">
        <v>146</v>
      </c>
      <c r="B41" s="228" t="s">
        <v>137</v>
      </c>
      <c r="C41" s="196">
        <v>30</v>
      </c>
      <c r="D41" s="197">
        <f>+B15</f>
        <v>18664817</v>
      </c>
      <c r="E41" s="198">
        <v>0.1</v>
      </c>
      <c r="F41" s="308"/>
      <c r="G41" s="200">
        <f t="shared" ref="G41:G46" si="0">ROUND(D41*E41,2)</f>
        <v>1866481.7</v>
      </c>
      <c r="H41" s="200">
        <f t="shared" ref="H41:H43" si="1">ROUND(D41+G41,2)</f>
        <v>20531298.699999999</v>
      </c>
      <c r="I41" s="185" t="s">
        <v>113</v>
      </c>
      <c r="J41" s="200">
        <f>ROUND(H41,2)</f>
        <v>20531298.699999999</v>
      </c>
      <c r="K41" s="265">
        <v>6</v>
      </c>
      <c r="L41" s="213">
        <f t="shared" ref="L41:L45" si="2">ROUND(((K41*J41)*6),2)</f>
        <v>739126753.20000005</v>
      </c>
    </row>
    <row r="42" spans="1:15" ht="33.75" thickBot="1" x14ac:dyDescent="0.35">
      <c r="A42" s="227" t="s">
        <v>149</v>
      </c>
      <c r="B42" s="228" t="s">
        <v>139</v>
      </c>
      <c r="C42" s="196">
        <v>20</v>
      </c>
      <c r="D42" s="214">
        <f>ROUND($D$9*$C$30/30*C42/13*12,2)</f>
        <v>5466207.0199999996</v>
      </c>
      <c r="E42" s="198">
        <v>0.1</v>
      </c>
      <c r="F42" s="308"/>
      <c r="G42" s="200">
        <f t="shared" si="0"/>
        <v>546620.69999999995</v>
      </c>
      <c r="H42" s="200">
        <f t="shared" si="1"/>
        <v>6012827.7199999997</v>
      </c>
      <c r="I42" s="200">
        <f>ROUND(H42*10%*19%,2)</f>
        <v>114243.73</v>
      </c>
      <c r="J42" s="200">
        <f>ROUND(H42+I42,2)</f>
        <v>6127071.4500000002</v>
      </c>
      <c r="K42" s="265">
        <v>17</v>
      </c>
      <c r="L42" s="213">
        <f t="shared" si="2"/>
        <v>624961287.89999998</v>
      </c>
    </row>
    <row r="43" spans="1:15" ht="33.75" thickBot="1" x14ac:dyDescent="0.35">
      <c r="A43" s="227" t="s">
        <v>147</v>
      </c>
      <c r="B43" s="228" t="s">
        <v>14</v>
      </c>
      <c r="C43" s="196">
        <v>22</v>
      </c>
      <c r="D43" s="214">
        <f>ROUND($D$9*$C$30/30*C43/13*12,2)</f>
        <v>6012827.7199999997</v>
      </c>
      <c r="E43" s="198">
        <v>0.1</v>
      </c>
      <c r="F43" s="308"/>
      <c r="G43" s="200">
        <f>ROUND(D43*E43,2)</f>
        <v>601282.77</v>
      </c>
      <c r="H43" s="200">
        <f t="shared" si="1"/>
        <v>6614110.4900000002</v>
      </c>
      <c r="I43" s="200">
        <f>ROUND(H43*10%*19%,2)</f>
        <v>125668.1</v>
      </c>
      <c r="J43" s="200">
        <f>ROUND(H43+I43,2)</f>
        <v>6739778.5899999999</v>
      </c>
      <c r="K43" s="265">
        <v>2</v>
      </c>
      <c r="L43" s="213">
        <f t="shared" si="2"/>
        <v>80877343.079999998</v>
      </c>
    </row>
    <row r="44" spans="1:15" ht="26.25" customHeight="1" thickBot="1" x14ac:dyDescent="0.35">
      <c r="A44" s="227" t="s">
        <v>138</v>
      </c>
      <c r="B44" s="228" t="s">
        <v>137</v>
      </c>
      <c r="C44" s="196">
        <v>30</v>
      </c>
      <c r="D44" s="197">
        <f>+B15</f>
        <v>18664817</v>
      </c>
      <c r="E44" s="201">
        <v>0.08</v>
      </c>
      <c r="F44" s="308"/>
      <c r="G44" s="200">
        <f t="shared" si="0"/>
        <v>1493185.36</v>
      </c>
      <c r="H44" s="200">
        <f>ROUND(D44+G44,2)</f>
        <v>20158002.359999999</v>
      </c>
      <c r="I44" s="200">
        <f t="shared" ref="I44:I46" si="3">ROUND(H44*10%*19%,2)</f>
        <v>383002.04</v>
      </c>
      <c r="J44" s="200">
        <f t="shared" ref="J44:J46" si="4">ROUND(H44+I44,2)</f>
        <v>20541004.399999999</v>
      </c>
      <c r="K44" s="265">
        <v>1</v>
      </c>
      <c r="L44" s="213">
        <f t="shared" si="2"/>
        <v>123246026.40000001</v>
      </c>
    </row>
    <row r="45" spans="1:15" ht="33.75" thickBot="1" x14ac:dyDescent="0.35">
      <c r="A45" s="227" t="s">
        <v>148</v>
      </c>
      <c r="B45" s="228" t="s">
        <v>137</v>
      </c>
      <c r="C45" s="196">
        <v>30</v>
      </c>
      <c r="D45" s="214">
        <f>ROUND($D$9*$C$30/30*C45/13*12,2)</f>
        <v>8199310.5300000003</v>
      </c>
      <c r="E45" s="201">
        <v>0.1</v>
      </c>
      <c r="F45" s="308"/>
      <c r="G45" s="200">
        <f t="shared" si="0"/>
        <v>819931.05</v>
      </c>
      <c r="H45" s="200">
        <f>ROUND(D45+G45,2)</f>
        <v>9019241.5800000001</v>
      </c>
      <c r="I45" s="200">
        <f t="shared" si="3"/>
        <v>171365.59</v>
      </c>
      <c r="J45" s="200">
        <f t="shared" si="4"/>
        <v>9190607.1699999999</v>
      </c>
      <c r="K45" s="265">
        <v>0</v>
      </c>
      <c r="L45" s="213">
        <f t="shared" si="2"/>
        <v>0</v>
      </c>
    </row>
    <row r="46" spans="1:15" ht="33.75" thickBot="1" x14ac:dyDescent="0.35">
      <c r="A46" s="227" t="s">
        <v>150</v>
      </c>
      <c r="B46" s="228" t="s">
        <v>151</v>
      </c>
      <c r="C46" s="196">
        <v>20</v>
      </c>
      <c r="D46" s="214">
        <f>ROUND($D$9*$C$30/30*C46/13*12,2)</f>
        <v>5466207.0199999996</v>
      </c>
      <c r="E46" s="202">
        <v>0.08</v>
      </c>
      <c r="F46" s="308"/>
      <c r="G46" s="200">
        <f t="shared" si="0"/>
        <v>437296.56</v>
      </c>
      <c r="H46" s="197">
        <f>ROUND(D46+G46,2)</f>
        <v>5903503.5800000001</v>
      </c>
      <c r="I46" s="197">
        <f t="shared" si="3"/>
        <v>112166.57</v>
      </c>
      <c r="J46" s="197">
        <f t="shared" si="4"/>
        <v>6015670.1500000004</v>
      </c>
      <c r="K46" s="266">
        <v>5</v>
      </c>
      <c r="L46" s="213">
        <f>ROUND(((K46*J46)*6),2)</f>
        <v>180470104.5</v>
      </c>
    </row>
    <row r="47" spans="1:15" ht="17.25" thickBot="1" x14ac:dyDescent="0.35">
      <c r="A47" s="1"/>
      <c r="B47" s="1"/>
      <c r="C47" s="22"/>
      <c r="D47" s="1"/>
      <c r="E47" s="1"/>
      <c r="F47" s="1"/>
      <c r="G47" s="1"/>
      <c r="H47" s="1"/>
      <c r="I47" s="1"/>
      <c r="J47" s="1"/>
      <c r="K47" s="215">
        <f>SUM(K40:K46)</f>
        <v>129</v>
      </c>
      <c r="L47" s="261">
        <f>ROUND(SUM(L40:L46),2)</f>
        <v>14050460822.52</v>
      </c>
      <c r="O47" s="258"/>
    </row>
    <row r="50" spans="1:15" ht="17.25" thickBot="1" x14ac:dyDescent="0.35">
      <c r="A50" s="355" t="s">
        <v>157</v>
      </c>
      <c r="B50" s="356"/>
      <c r="C50" s="356"/>
      <c r="D50" s="356"/>
      <c r="E50" s="356"/>
      <c r="F50" s="356"/>
      <c r="G50" s="356"/>
      <c r="H50" s="1"/>
      <c r="I50" s="1"/>
      <c r="J50" s="1"/>
      <c r="K50" s="1"/>
      <c r="L50" s="1"/>
    </row>
    <row r="51" spans="1:15" ht="19.5" thickBot="1" x14ac:dyDescent="0.35">
      <c r="A51" s="329" t="s">
        <v>143</v>
      </c>
      <c r="B51" s="330"/>
      <c r="C51" s="330"/>
      <c r="D51" s="330"/>
      <c r="E51" s="330"/>
      <c r="F51" s="296"/>
      <c r="G51" s="330"/>
      <c r="H51" s="331"/>
      <c r="I51" s="91"/>
      <c r="J51" s="91"/>
      <c r="K51" s="357" t="s">
        <v>126</v>
      </c>
      <c r="L51" s="358"/>
    </row>
    <row r="52" spans="1:15" ht="64.5" thickBot="1" x14ac:dyDescent="0.3">
      <c r="A52" s="208" t="s">
        <v>127</v>
      </c>
      <c r="B52" s="209" t="s">
        <v>23</v>
      </c>
      <c r="C52" s="210" t="s">
        <v>128</v>
      </c>
      <c r="D52" s="210" t="s">
        <v>129</v>
      </c>
      <c r="E52" s="211" t="s">
        <v>130</v>
      </c>
      <c r="F52" s="307"/>
      <c r="G52" s="212" t="s">
        <v>131</v>
      </c>
      <c r="H52" s="210" t="s">
        <v>132</v>
      </c>
      <c r="I52" s="210" t="s">
        <v>1</v>
      </c>
      <c r="J52" s="210" t="s">
        <v>133</v>
      </c>
      <c r="K52" s="210" t="s">
        <v>134</v>
      </c>
      <c r="L52" s="211" t="s">
        <v>158</v>
      </c>
    </row>
    <row r="53" spans="1:15" ht="17.25" thickBot="1" x14ac:dyDescent="0.35">
      <c r="A53" s="227" t="s">
        <v>136</v>
      </c>
      <c r="B53" s="228" t="s">
        <v>137</v>
      </c>
      <c r="C53" s="196">
        <v>30</v>
      </c>
      <c r="D53" s="197">
        <f>E9</f>
        <v>18975567</v>
      </c>
      <c r="E53" s="198">
        <v>0.1</v>
      </c>
      <c r="F53" s="308"/>
      <c r="G53" s="200">
        <f>ROUND(D53*E53,2)</f>
        <v>1897556.7</v>
      </c>
      <c r="H53" s="200">
        <f>ROUND(D53+G53,2)</f>
        <v>20873123.699999999</v>
      </c>
      <c r="I53" s="200">
        <f>ROUND(H53*10%*19%,2)</f>
        <v>396589.35</v>
      </c>
      <c r="J53" s="200">
        <f>ROUND(H53+I53,2)</f>
        <v>21269713.050000001</v>
      </c>
      <c r="K53" s="264">
        <v>98</v>
      </c>
      <c r="L53" s="213">
        <f>ROUND(((K53*J53)*6),2)</f>
        <v>12506591273.4</v>
      </c>
    </row>
    <row r="54" spans="1:15" ht="33.75" thickBot="1" x14ac:dyDescent="0.35">
      <c r="A54" s="227" t="s">
        <v>146</v>
      </c>
      <c r="B54" s="228" t="s">
        <v>137</v>
      </c>
      <c r="C54" s="196">
        <v>30</v>
      </c>
      <c r="D54" s="197">
        <f>E9</f>
        <v>18975567</v>
      </c>
      <c r="E54" s="198">
        <v>0.1</v>
      </c>
      <c r="F54" s="308"/>
      <c r="G54" s="200">
        <f t="shared" ref="G54:G55" si="5">ROUND(D54*E54,2)</f>
        <v>1897556.7</v>
      </c>
      <c r="H54" s="200">
        <f t="shared" ref="H54:H56" si="6">ROUND(D54+G54,2)</f>
        <v>20873123.699999999</v>
      </c>
      <c r="I54" s="185" t="s">
        <v>113</v>
      </c>
      <c r="J54" s="200">
        <f>ROUND(H54,2)</f>
        <v>20873123.699999999</v>
      </c>
      <c r="K54" s="265">
        <v>6</v>
      </c>
      <c r="L54" s="213">
        <f t="shared" ref="L54:L58" si="7">ROUND(((K54*J54)*6),2)</f>
        <v>751432453.20000005</v>
      </c>
    </row>
    <row r="55" spans="1:15" ht="33.75" thickBot="1" x14ac:dyDescent="0.35">
      <c r="A55" s="227" t="s">
        <v>149</v>
      </c>
      <c r="B55" s="228" t="s">
        <v>139</v>
      </c>
      <c r="C55" s="196">
        <v>20</v>
      </c>
      <c r="D55" s="214">
        <f>ROUND($E$9*$C$30/30*C55/13*12,2)</f>
        <v>5557213.7400000002</v>
      </c>
      <c r="E55" s="198">
        <v>0.1</v>
      </c>
      <c r="F55" s="308"/>
      <c r="G55" s="200">
        <f t="shared" si="5"/>
        <v>555721.37</v>
      </c>
      <c r="H55" s="200">
        <f t="shared" si="6"/>
        <v>6112935.1100000003</v>
      </c>
      <c r="I55" s="200">
        <f>ROUND(H55*10%*19%,2)</f>
        <v>116145.77</v>
      </c>
      <c r="J55" s="200">
        <f>ROUND(H55+I55,2)</f>
        <v>6229080.8799999999</v>
      </c>
      <c r="K55" s="265">
        <v>17</v>
      </c>
      <c r="L55" s="213">
        <f t="shared" si="7"/>
        <v>635366249.75999999</v>
      </c>
    </row>
    <row r="56" spans="1:15" ht="33.75" thickBot="1" x14ac:dyDescent="0.35">
      <c r="A56" s="227" t="s">
        <v>147</v>
      </c>
      <c r="B56" s="228" t="s">
        <v>14</v>
      </c>
      <c r="C56" s="196">
        <v>22</v>
      </c>
      <c r="D56" s="214">
        <f>ROUND($E$9*$C$30/30*C56/13*12,2)</f>
        <v>6112935.1200000001</v>
      </c>
      <c r="E56" s="198">
        <v>0.1</v>
      </c>
      <c r="F56" s="308"/>
      <c r="G56" s="200">
        <f>ROUND(D56*E56,2)</f>
        <v>611293.51</v>
      </c>
      <c r="H56" s="200">
        <f t="shared" si="6"/>
        <v>6724228.6299999999</v>
      </c>
      <c r="I56" s="200">
        <f>ROUND(H56*10%*19%,2)</f>
        <v>127760.34</v>
      </c>
      <c r="J56" s="200">
        <f>ROUND(H56+I56,2)</f>
        <v>6851988.9699999997</v>
      </c>
      <c r="K56" s="265">
        <v>2</v>
      </c>
      <c r="L56" s="213">
        <f t="shared" si="7"/>
        <v>82223867.640000001</v>
      </c>
      <c r="O56" s="258"/>
    </row>
    <row r="57" spans="1:15" ht="17.25" thickBot="1" x14ac:dyDescent="0.35">
      <c r="A57" s="227" t="s">
        <v>138</v>
      </c>
      <c r="B57" s="228" t="s">
        <v>137</v>
      </c>
      <c r="C57" s="196">
        <v>30</v>
      </c>
      <c r="D57" s="197">
        <f>E9</f>
        <v>18975567</v>
      </c>
      <c r="E57" s="201">
        <v>0.08</v>
      </c>
      <c r="F57" s="308"/>
      <c r="G57" s="200">
        <f t="shared" ref="G57:G59" si="8">ROUND(D57*E57,2)</f>
        <v>1518045.36</v>
      </c>
      <c r="H57" s="200">
        <f>ROUND(D57+G57,2)</f>
        <v>20493612.359999999</v>
      </c>
      <c r="I57" s="200">
        <f t="shared" ref="I57:I59" si="9">ROUND(H57*10%*19%,2)</f>
        <v>389378.63</v>
      </c>
      <c r="J57" s="200">
        <f t="shared" ref="J57:J59" si="10">ROUND(H57+I57,2)</f>
        <v>20882990.989999998</v>
      </c>
      <c r="K57" s="265">
        <v>1</v>
      </c>
      <c r="L57" s="213">
        <f t="shared" si="7"/>
        <v>125297945.94</v>
      </c>
    </row>
    <row r="58" spans="1:15" ht="33.75" thickBot="1" x14ac:dyDescent="0.35">
      <c r="A58" s="227" t="s">
        <v>148</v>
      </c>
      <c r="B58" s="228" t="s">
        <v>137</v>
      </c>
      <c r="C58" s="196">
        <v>30</v>
      </c>
      <c r="D58" s="214">
        <f>ROUND($E$9*$C$30/30*C58/13*12,2)</f>
        <v>8335820.6200000001</v>
      </c>
      <c r="E58" s="201">
        <v>0.1</v>
      </c>
      <c r="F58" s="308"/>
      <c r="G58" s="200">
        <f t="shared" si="8"/>
        <v>833582.06</v>
      </c>
      <c r="H58" s="200">
        <f>ROUND(D58+G58,2)</f>
        <v>9169402.6799999997</v>
      </c>
      <c r="I58" s="200">
        <f t="shared" si="9"/>
        <v>174218.65</v>
      </c>
      <c r="J58" s="200">
        <f t="shared" si="10"/>
        <v>9343621.3300000001</v>
      </c>
      <c r="K58" s="265">
        <v>0</v>
      </c>
      <c r="L58" s="213">
        <f t="shared" si="7"/>
        <v>0</v>
      </c>
    </row>
    <row r="59" spans="1:15" ht="33.75" thickBot="1" x14ac:dyDescent="0.35">
      <c r="A59" s="227" t="s">
        <v>150</v>
      </c>
      <c r="B59" s="228" t="s">
        <v>151</v>
      </c>
      <c r="C59" s="196">
        <v>20</v>
      </c>
      <c r="D59" s="214">
        <f>ROUND($E$9*$C$30/30*C59/13*12,2)</f>
        <v>5557213.7400000002</v>
      </c>
      <c r="E59" s="202">
        <v>0.08</v>
      </c>
      <c r="F59" s="308"/>
      <c r="G59" s="200">
        <f t="shared" si="8"/>
        <v>444577.1</v>
      </c>
      <c r="H59" s="197">
        <f>ROUND(D59+G59,2)</f>
        <v>6001790.8399999999</v>
      </c>
      <c r="I59" s="197">
        <f t="shared" si="9"/>
        <v>114034.03</v>
      </c>
      <c r="J59" s="197">
        <f t="shared" si="10"/>
        <v>6115824.8700000001</v>
      </c>
      <c r="K59" s="266">
        <v>5</v>
      </c>
      <c r="L59" s="213">
        <f>ROUND(((K59*J59)*6),2)</f>
        <v>183474746.09999999</v>
      </c>
    </row>
    <row r="60" spans="1:15" ht="17.25" thickBot="1" x14ac:dyDescent="0.35">
      <c r="A60" s="1"/>
      <c r="B60" s="1"/>
      <c r="C60" s="22"/>
      <c r="D60" s="1"/>
      <c r="E60" s="1"/>
      <c r="F60" s="1"/>
      <c r="G60" s="1"/>
      <c r="H60" s="1"/>
      <c r="I60" s="1"/>
      <c r="J60" s="1"/>
      <c r="K60" s="215">
        <f>SUM(K53:K59)</f>
        <v>129</v>
      </c>
      <c r="L60" s="261">
        <f>ROUND(SUM(L53:L59),2)</f>
        <v>14284386536.040001</v>
      </c>
      <c r="O60" s="259"/>
    </row>
    <row r="62" spans="1:15" ht="18.75" x14ac:dyDescent="0.3">
      <c r="I62" s="441" t="s">
        <v>166</v>
      </c>
      <c r="J62" s="441"/>
      <c r="K62" s="443"/>
      <c r="L62" s="443">
        <f>L60+L47</f>
        <v>28334847358.560001</v>
      </c>
    </row>
    <row r="63" spans="1:15" ht="17.25" thickBot="1" x14ac:dyDescent="0.35">
      <c r="A63" s="355" t="s">
        <v>163</v>
      </c>
      <c r="B63" s="356"/>
      <c r="C63" s="356"/>
      <c r="D63" s="356"/>
      <c r="E63" s="356"/>
      <c r="F63" s="356"/>
      <c r="G63" s="356"/>
    </row>
    <row r="64" spans="1:15" ht="19.5" thickBot="1" x14ac:dyDescent="0.35">
      <c r="A64" s="295" t="s">
        <v>140</v>
      </c>
      <c r="B64" s="296"/>
      <c r="C64" s="296"/>
      <c r="D64" s="296"/>
      <c r="E64" s="296"/>
      <c r="F64" s="296"/>
      <c r="G64" s="296"/>
      <c r="H64" s="297"/>
      <c r="I64" s="189"/>
      <c r="J64" s="189"/>
      <c r="K64" s="298" t="s">
        <v>126</v>
      </c>
      <c r="L64" s="299"/>
    </row>
    <row r="65" spans="1:12" ht="64.5" thickBot="1" x14ac:dyDescent="0.3">
      <c r="A65" s="190" t="s">
        <v>127</v>
      </c>
      <c r="B65" s="191" t="s">
        <v>23</v>
      </c>
      <c r="C65" s="204" t="s">
        <v>128</v>
      </c>
      <c r="D65" s="193" t="s">
        <v>129</v>
      </c>
      <c r="E65" s="193" t="s">
        <v>130</v>
      </c>
      <c r="F65" s="307"/>
      <c r="G65" s="193" t="s">
        <v>131</v>
      </c>
      <c r="H65" s="193" t="s">
        <v>132</v>
      </c>
      <c r="I65" s="193" t="s">
        <v>1</v>
      </c>
      <c r="J65" s="193" t="s">
        <v>133</v>
      </c>
      <c r="K65" s="194" t="s">
        <v>134</v>
      </c>
      <c r="L65" s="195" t="s">
        <v>162</v>
      </c>
    </row>
    <row r="66" spans="1:12" ht="17.25" thickBot="1" x14ac:dyDescent="0.35">
      <c r="A66" s="246" t="s">
        <v>136</v>
      </c>
      <c r="B66" s="236" t="s">
        <v>137</v>
      </c>
      <c r="C66" s="90">
        <v>30</v>
      </c>
      <c r="D66" s="237">
        <f>$D$9</f>
        <v>18664817</v>
      </c>
      <c r="E66" s="201">
        <v>0.1</v>
      </c>
      <c r="F66" s="308"/>
      <c r="G66" s="237">
        <f>ROUND(D66*E66,2)</f>
        <v>1866481.7</v>
      </c>
      <c r="H66" s="247">
        <f>ROUND(D66+G66,2)</f>
        <v>20531298.699999999</v>
      </c>
      <c r="I66" s="247">
        <f>ROUND(H66*10%*19%,2)</f>
        <v>390094.68</v>
      </c>
      <c r="J66" s="247">
        <f>ROUND(H66+I66,2)</f>
        <v>20921393.379999999</v>
      </c>
      <c r="K66" s="205">
        <v>1</v>
      </c>
      <c r="L66" s="240">
        <f>ROUND(K66*J66,2)*6</f>
        <v>125528360.28</v>
      </c>
    </row>
    <row r="67" spans="1:12" ht="17.25" thickBot="1" x14ac:dyDescent="0.35">
      <c r="A67" s="22"/>
      <c r="B67" s="22"/>
      <c r="C67" s="22"/>
      <c r="D67" s="22"/>
      <c r="E67" s="22"/>
      <c r="F67" s="22"/>
      <c r="G67" s="22"/>
      <c r="H67" s="22"/>
      <c r="I67" s="22"/>
      <c r="J67" s="22"/>
      <c r="K67" s="203">
        <f>SUM(K66:K66)</f>
        <v>1</v>
      </c>
      <c r="L67" s="248">
        <f>ROUND(SUM(L66:L66),2)</f>
        <v>125528360.28</v>
      </c>
    </row>
    <row r="69" spans="1:12" ht="17.25" thickBot="1" x14ac:dyDescent="0.35">
      <c r="A69" s="355" t="s">
        <v>164</v>
      </c>
      <c r="B69" s="356"/>
      <c r="C69" s="356"/>
      <c r="D69" s="356"/>
      <c r="E69" s="356"/>
      <c r="F69" s="356"/>
      <c r="G69" s="356"/>
    </row>
    <row r="70" spans="1:12" ht="19.5" thickBot="1" x14ac:dyDescent="0.35">
      <c r="A70" s="295" t="s">
        <v>140</v>
      </c>
      <c r="B70" s="296"/>
      <c r="C70" s="296"/>
      <c r="D70" s="296"/>
      <c r="E70" s="296"/>
      <c r="F70" s="296"/>
      <c r="G70" s="296"/>
      <c r="H70" s="297"/>
      <c r="I70" s="189"/>
      <c r="J70" s="189"/>
      <c r="K70" s="298" t="s">
        <v>126</v>
      </c>
      <c r="L70" s="299"/>
    </row>
    <row r="71" spans="1:12" ht="64.5" thickBot="1" x14ac:dyDescent="0.3">
      <c r="A71" s="190" t="s">
        <v>127</v>
      </c>
      <c r="B71" s="191" t="s">
        <v>23</v>
      </c>
      <c r="C71" s="204" t="s">
        <v>128</v>
      </c>
      <c r="D71" s="193" t="s">
        <v>129</v>
      </c>
      <c r="E71" s="193" t="s">
        <v>130</v>
      </c>
      <c r="F71" s="307"/>
      <c r="G71" s="193" t="s">
        <v>131</v>
      </c>
      <c r="H71" s="193" t="s">
        <v>132</v>
      </c>
      <c r="I71" s="193" t="s">
        <v>1</v>
      </c>
      <c r="J71" s="193" t="s">
        <v>133</v>
      </c>
      <c r="K71" s="194" t="s">
        <v>134</v>
      </c>
      <c r="L71" s="195" t="s">
        <v>162</v>
      </c>
    </row>
    <row r="72" spans="1:12" ht="17.25" thickBot="1" x14ac:dyDescent="0.35">
      <c r="A72" s="246" t="s">
        <v>136</v>
      </c>
      <c r="B72" s="236" t="s">
        <v>137</v>
      </c>
      <c r="C72" s="90">
        <v>30</v>
      </c>
      <c r="D72" s="237">
        <f>$E$9</f>
        <v>18975567</v>
      </c>
      <c r="E72" s="201">
        <v>0.1</v>
      </c>
      <c r="F72" s="308"/>
      <c r="G72" s="237">
        <f>ROUND(D72*E72,2)</f>
        <v>1897556.7</v>
      </c>
      <c r="H72" s="247">
        <f>ROUND(D72+G72,2)</f>
        <v>20873123.699999999</v>
      </c>
      <c r="I72" s="247">
        <f>ROUND(H72*10%*19%,2)</f>
        <v>396589.35</v>
      </c>
      <c r="J72" s="247">
        <f>ROUND(H72+I72,2)</f>
        <v>21269713.050000001</v>
      </c>
      <c r="K72" s="205">
        <v>1</v>
      </c>
      <c r="L72" s="240">
        <f>ROUND(K72*J72,2)*6</f>
        <v>127618278.30000001</v>
      </c>
    </row>
    <row r="73" spans="1:12" ht="17.25" thickBot="1" x14ac:dyDescent="0.35">
      <c r="A73" s="22"/>
      <c r="B73" s="22"/>
      <c r="C73" s="22"/>
      <c r="D73" s="22"/>
      <c r="E73" s="22"/>
      <c r="F73" s="22"/>
      <c r="G73" s="22"/>
      <c r="H73" s="22"/>
      <c r="I73" s="22"/>
      <c r="J73" s="22"/>
      <c r="K73" s="203">
        <f>SUM(K72:K72)</f>
        <v>1</v>
      </c>
      <c r="L73" s="248">
        <f>ROUND(SUM(L72:L72),2)</f>
        <v>127618278.3</v>
      </c>
    </row>
    <row r="75" spans="1:12" ht="18.75" x14ac:dyDescent="0.3">
      <c r="J75" s="439" t="s">
        <v>165</v>
      </c>
      <c r="K75" s="439"/>
      <c r="L75" s="440">
        <f>L73+L67</f>
        <v>253146638.57999998</v>
      </c>
    </row>
  </sheetData>
  <mergeCells count="57">
    <mergeCell ref="A70:H70"/>
    <mergeCell ref="K70:L70"/>
    <mergeCell ref="F71:F72"/>
    <mergeCell ref="J75:K75"/>
    <mergeCell ref="I62:J62"/>
    <mergeCell ref="A64:H64"/>
    <mergeCell ref="K64:L64"/>
    <mergeCell ref="F65:F66"/>
    <mergeCell ref="A63:G63"/>
    <mergeCell ref="A69:G69"/>
    <mergeCell ref="A1:F1"/>
    <mergeCell ref="B3:E3"/>
    <mergeCell ref="A4:E4"/>
    <mergeCell ref="A5:C5"/>
    <mergeCell ref="D5:E5"/>
    <mergeCell ref="A7:C7"/>
    <mergeCell ref="A8:C8"/>
    <mergeCell ref="D8:E8"/>
    <mergeCell ref="A9:C9"/>
    <mergeCell ref="A6:C6"/>
    <mergeCell ref="A12:E12"/>
    <mergeCell ref="A18:E18"/>
    <mergeCell ref="A19:C19"/>
    <mergeCell ref="D19:E19"/>
    <mergeCell ref="A20:C20"/>
    <mergeCell ref="D20:E20"/>
    <mergeCell ref="A21:C21"/>
    <mergeCell ref="D21:E21"/>
    <mergeCell ref="A22:C22"/>
    <mergeCell ref="D22:E22"/>
    <mergeCell ref="A23:C23"/>
    <mergeCell ref="D23:E23"/>
    <mergeCell ref="A24:C24"/>
    <mergeCell ref="D24:E24"/>
    <mergeCell ref="A25:C25"/>
    <mergeCell ref="D25:E25"/>
    <mergeCell ref="A28:E28"/>
    <mergeCell ref="G33:K33"/>
    <mergeCell ref="A34:E34"/>
    <mergeCell ref="A35:E35"/>
    <mergeCell ref="A38:H38"/>
    <mergeCell ref="K38:L38"/>
    <mergeCell ref="G29:K29"/>
    <mergeCell ref="A30:B31"/>
    <mergeCell ref="C30:E31"/>
    <mergeCell ref="G30:K31"/>
    <mergeCell ref="A32:B32"/>
    <mergeCell ref="C32:E32"/>
    <mergeCell ref="G32:K32"/>
    <mergeCell ref="A29:B29"/>
    <mergeCell ref="C29:E29"/>
    <mergeCell ref="A37:G37"/>
    <mergeCell ref="A50:G50"/>
    <mergeCell ref="A51:H51"/>
    <mergeCell ref="K51:L51"/>
    <mergeCell ref="F52:F59"/>
    <mergeCell ref="F39:F4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2142F-4DFB-4C3B-9D7E-1B26E86ECBEE}">
  <dimension ref="A1:N55"/>
  <sheetViews>
    <sheetView topLeftCell="A41" workbookViewId="0">
      <selection activeCell="N51" sqref="N51"/>
    </sheetView>
  </sheetViews>
  <sheetFormatPr baseColWidth="10" defaultRowHeight="15" x14ac:dyDescent="0.25"/>
  <cols>
    <col min="1" max="1" width="22.28515625" style="26" customWidth="1"/>
    <col min="2" max="5" width="25.7109375" style="26" customWidth="1"/>
    <col min="6" max="6" width="11.42578125" style="26"/>
    <col min="7" max="7" width="12.28515625" style="26" bestFit="1" customWidth="1"/>
    <col min="8" max="8" width="13.28515625" style="26" bestFit="1" customWidth="1"/>
    <col min="9" max="9" width="10.85546875" style="26" bestFit="1" customWidth="1"/>
    <col min="10" max="10" width="13.28515625" style="26" bestFit="1" customWidth="1"/>
    <col min="11" max="11" width="11.42578125" style="26"/>
    <col min="12" max="12" width="21.140625" style="26" bestFit="1" customWidth="1"/>
    <col min="13" max="13" width="11.42578125" style="26"/>
    <col min="14" max="14" width="17.85546875" style="26" bestFit="1" customWidth="1"/>
    <col min="15" max="16384" width="11.42578125" style="26"/>
  </cols>
  <sheetData>
    <row r="1" spans="1:12" ht="17.25" thickBot="1" x14ac:dyDescent="0.35">
      <c r="A1" s="345" t="s">
        <v>152</v>
      </c>
      <c r="B1" s="345"/>
      <c r="C1" s="345"/>
      <c r="D1" s="345"/>
      <c r="E1" s="346"/>
      <c r="F1" s="22"/>
      <c r="G1" s="22"/>
      <c r="H1" s="22"/>
      <c r="I1" s="22"/>
      <c r="J1" s="22"/>
      <c r="K1" s="22"/>
      <c r="L1" s="22"/>
    </row>
    <row r="2" spans="1:12" ht="17.25" thickBot="1" x14ac:dyDescent="0.35">
      <c r="A2" s="22"/>
      <c r="B2" s="22"/>
      <c r="C2" s="22"/>
      <c r="D2" s="22"/>
      <c r="E2" s="22"/>
      <c r="F2" s="22"/>
      <c r="G2" s="22"/>
      <c r="H2" s="22"/>
      <c r="I2" s="22"/>
      <c r="J2" s="22"/>
      <c r="K2" s="22"/>
      <c r="L2" s="22"/>
    </row>
    <row r="3" spans="1:12" ht="92.25" customHeight="1" thickBot="1" x14ac:dyDescent="0.35">
      <c r="A3" s="216" t="s">
        <v>0</v>
      </c>
      <c r="B3" s="374" t="s">
        <v>114</v>
      </c>
      <c r="C3" s="375"/>
      <c r="D3" s="375"/>
      <c r="E3" s="376"/>
      <c r="F3" s="22"/>
      <c r="G3" s="22"/>
      <c r="H3" s="22"/>
      <c r="I3" s="22"/>
      <c r="J3" s="22"/>
      <c r="K3" s="22"/>
      <c r="L3" s="22"/>
    </row>
    <row r="4" spans="1:12" ht="46.5" customHeight="1" thickBot="1" x14ac:dyDescent="0.35">
      <c r="A4" s="350" t="s">
        <v>118</v>
      </c>
      <c r="B4" s="351"/>
      <c r="C4" s="351"/>
      <c r="D4" s="351"/>
      <c r="E4" s="352"/>
      <c r="F4" s="2"/>
      <c r="G4" s="22"/>
      <c r="H4" s="22"/>
      <c r="I4" s="22"/>
      <c r="J4" s="22"/>
      <c r="K4" s="22"/>
      <c r="L4" s="22"/>
    </row>
    <row r="5" spans="1:12" ht="17.25" thickBot="1" x14ac:dyDescent="0.3">
      <c r="A5" s="309" t="s">
        <v>119</v>
      </c>
      <c r="B5" s="311"/>
      <c r="C5" s="310"/>
      <c r="D5" s="353">
        <f>1827945+(1827945*3%)</f>
        <v>1882783.35</v>
      </c>
      <c r="E5" s="354"/>
      <c r="F5" s="3"/>
      <c r="G5" s="182"/>
      <c r="H5" s="182"/>
      <c r="I5" s="182"/>
      <c r="J5" s="182"/>
      <c r="K5" s="182"/>
      <c r="L5" s="182"/>
    </row>
    <row r="6" spans="1:12" ht="17.25" thickBot="1" x14ac:dyDescent="0.35">
      <c r="A6" s="335" t="s">
        <v>2</v>
      </c>
      <c r="B6" s="336"/>
      <c r="C6" s="337"/>
      <c r="D6" s="342">
        <v>10.38</v>
      </c>
      <c r="E6" s="343"/>
      <c r="F6" s="5"/>
      <c r="G6" s="22"/>
      <c r="H6" s="22"/>
      <c r="I6" s="22"/>
      <c r="J6" s="22"/>
      <c r="K6" s="22"/>
      <c r="L6" s="22"/>
    </row>
    <row r="7" spans="1:12" ht="17.25" thickBot="1" x14ac:dyDescent="0.35">
      <c r="A7" s="335" t="s">
        <v>3</v>
      </c>
      <c r="B7" s="336"/>
      <c r="C7" s="337"/>
      <c r="D7" s="340">
        <f>ROUND(D5*D6,0)</f>
        <v>19543291</v>
      </c>
      <c r="E7" s="341"/>
      <c r="F7" s="6"/>
      <c r="G7" s="22"/>
      <c r="H7" s="22"/>
      <c r="I7" s="22"/>
      <c r="J7" s="22"/>
      <c r="K7" s="22"/>
      <c r="L7" s="22"/>
    </row>
    <row r="8" spans="1:12" ht="17.25" thickBot="1" x14ac:dyDescent="0.35">
      <c r="A8" s="335" t="s">
        <v>120</v>
      </c>
      <c r="B8" s="336"/>
      <c r="C8" s="337"/>
      <c r="D8" s="340">
        <v>1500</v>
      </c>
      <c r="E8" s="341"/>
      <c r="F8" s="6"/>
      <c r="G8" s="22"/>
      <c r="H8" s="22"/>
      <c r="I8" s="22"/>
      <c r="J8" s="22"/>
      <c r="K8" s="22"/>
      <c r="L8" s="22"/>
    </row>
    <row r="9" spans="1:12" ht="17.25" thickBot="1" x14ac:dyDescent="0.35">
      <c r="A9" s="335" t="s">
        <v>121</v>
      </c>
      <c r="B9" s="336"/>
      <c r="C9" s="337"/>
      <c r="D9" s="340">
        <f>D7+D8</f>
        <v>19544791</v>
      </c>
      <c r="E9" s="341"/>
      <c r="F9" s="6"/>
      <c r="G9" s="22"/>
      <c r="H9" s="22"/>
      <c r="I9" s="22"/>
      <c r="J9" s="22"/>
      <c r="K9" s="22"/>
      <c r="L9" s="22"/>
    </row>
    <row r="10" spans="1:12" ht="16.5" x14ac:dyDescent="0.3">
      <c r="A10" s="229"/>
      <c r="B10" s="206"/>
      <c r="C10" s="206"/>
      <c r="D10" s="6"/>
      <c r="E10" s="9"/>
      <c r="F10" s="6"/>
      <c r="G10" s="22"/>
      <c r="H10" s="22"/>
      <c r="I10" s="22"/>
      <c r="J10" s="22"/>
      <c r="K10" s="22"/>
      <c r="L10" s="22"/>
    </row>
    <row r="11" spans="1:12" ht="17.25" thickBot="1" x14ac:dyDescent="0.35">
      <c r="A11" s="229"/>
      <c r="B11" s="206"/>
      <c r="C11" s="206"/>
      <c r="D11" s="6"/>
      <c r="E11" s="9"/>
      <c r="F11" s="6"/>
      <c r="G11" s="22"/>
      <c r="H11" s="22"/>
      <c r="I11" s="22"/>
      <c r="J11" s="22"/>
      <c r="K11" s="22"/>
      <c r="L11" s="22"/>
    </row>
    <row r="12" spans="1:12" ht="19.5" thickBot="1" x14ac:dyDescent="0.35">
      <c r="A12" s="329" t="s">
        <v>4</v>
      </c>
      <c r="B12" s="330"/>
      <c r="C12" s="330"/>
      <c r="D12" s="330"/>
      <c r="E12" s="331"/>
      <c r="F12" s="10"/>
      <c r="G12" s="22"/>
      <c r="H12" s="22"/>
      <c r="I12" s="22"/>
      <c r="J12" s="22"/>
      <c r="K12" s="22"/>
      <c r="L12" s="22"/>
    </row>
    <row r="13" spans="1:12" ht="15.75" thickBot="1" x14ac:dyDescent="0.3">
      <c r="A13" s="230" t="s">
        <v>5</v>
      </c>
      <c r="B13" s="12" t="s">
        <v>6</v>
      </c>
      <c r="C13" s="12" t="s">
        <v>7</v>
      </c>
      <c r="D13" s="12" t="s">
        <v>8</v>
      </c>
      <c r="E13" s="12" t="s">
        <v>9</v>
      </c>
      <c r="F13" s="183"/>
      <c r="G13" s="183"/>
      <c r="H13" s="183"/>
      <c r="I13" s="183"/>
      <c r="J13" s="183"/>
      <c r="K13" s="183"/>
      <c r="L13" s="183"/>
    </row>
    <row r="14" spans="1:12" ht="49.5" x14ac:dyDescent="0.3">
      <c r="A14" s="231" t="s">
        <v>10</v>
      </c>
      <c r="B14" s="15">
        <f>$D$9</f>
        <v>19544791</v>
      </c>
      <c r="C14" s="16">
        <v>0.08</v>
      </c>
      <c r="D14" s="184">
        <f>ROUND(B14*C14,2)</f>
        <v>1563583.28</v>
      </c>
      <c r="E14" s="184">
        <f>ROUND(B14+D14,2)</f>
        <v>21108374.280000001</v>
      </c>
      <c r="F14" s="6"/>
      <c r="G14" s="22"/>
      <c r="H14" s="22"/>
      <c r="I14" s="22"/>
      <c r="J14" s="22"/>
      <c r="K14" s="22"/>
      <c r="L14" s="22"/>
    </row>
    <row r="15" spans="1:12" ht="50.25" thickBot="1" x14ac:dyDescent="0.35">
      <c r="A15" s="232" t="s">
        <v>11</v>
      </c>
      <c r="B15" s="19">
        <f>$D$9</f>
        <v>19544791</v>
      </c>
      <c r="C15" s="20">
        <v>0.1</v>
      </c>
      <c r="D15" s="186">
        <f>ROUND(B15*C15,0)</f>
        <v>1954479</v>
      </c>
      <c r="E15" s="186">
        <f>ROUND(B15+D15,2)</f>
        <v>21499270</v>
      </c>
      <c r="F15" s="6"/>
      <c r="G15" s="22"/>
      <c r="H15" s="22"/>
      <c r="I15" s="22"/>
      <c r="J15" s="22"/>
      <c r="K15" s="22"/>
      <c r="L15" s="22"/>
    </row>
    <row r="16" spans="1:12" ht="16.5" x14ac:dyDescent="0.3">
      <c r="A16" s="233"/>
      <c r="B16" s="6"/>
      <c r="C16" s="207"/>
      <c r="D16" s="6"/>
      <c r="E16" s="6"/>
      <c r="F16" s="6"/>
      <c r="G16" s="22"/>
      <c r="H16" s="22"/>
      <c r="I16" s="22"/>
      <c r="J16" s="22"/>
      <c r="K16" s="22"/>
      <c r="L16" s="22"/>
    </row>
    <row r="17" spans="1:12" ht="17.25" thickBot="1" x14ac:dyDescent="0.35">
      <c r="A17" s="22"/>
      <c r="B17" s="22"/>
      <c r="C17" s="22"/>
      <c r="D17" s="22"/>
      <c r="E17" s="22"/>
      <c r="F17" s="22"/>
      <c r="G17" s="22"/>
      <c r="H17" s="22"/>
      <c r="I17" s="22"/>
      <c r="J17" s="22"/>
      <c r="K17" s="22"/>
      <c r="L17" s="22"/>
    </row>
    <row r="18" spans="1:12" ht="19.5" thickBot="1" x14ac:dyDescent="0.35">
      <c r="A18" s="332" t="s">
        <v>12</v>
      </c>
      <c r="B18" s="333"/>
      <c r="C18" s="333"/>
      <c r="D18" s="333"/>
      <c r="E18" s="334"/>
      <c r="F18" s="2"/>
      <c r="G18" s="22"/>
      <c r="H18" s="22"/>
      <c r="I18" s="22"/>
      <c r="J18" s="22"/>
      <c r="K18" s="22"/>
      <c r="L18" s="22"/>
    </row>
    <row r="19" spans="1:12" ht="17.25" thickBot="1" x14ac:dyDescent="0.35">
      <c r="A19" s="304" t="s">
        <v>13</v>
      </c>
      <c r="B19" s="306"/>
      <c r="C19" s="305"/>
      <c r="D19" s="304">
        <v>20</v>
      </c>
      <c r="E19" s="305"/>
      <c r="F19" s="22"/>
      <c r="G19" s="22"/>
      <c r="H19" s="22"/>
      <c r="I19" s="22"/>
      <c r="J19" s="22"/>
      <c r="K19" s="22"/>
      <c r="L19" s="22"/>
    </row>
    <row r="20" spans="1:12" ht="17.25" thickBot="1" x14ac:dyDescent="0.35">
      <c r="A20" s="304" t="s">
        <v>14</v>
      </c>
      <c r="B20" s="306"/>
      <c r="C20" s="305"/>
      <c r="D20" s="304">
        <v>22</v>
      </c>
      <c r="E20" s="305"/>
      <c r="F20" s="22"/>
      <c r="G20" s="22"/>
      <c r="H20" s="22"/>
      <c r="I20" s="22"/>
      <c r="J20" s="22"/>
      <c r="K20" s="22"/>
      <c r="L20" s="22"/>
    </row>
    <row r="21" spans="1:12" ht="17.25" thickBot="1" x14ac:dyDescent="0.35">
      <c r="A21" s="304" t="s">
        <v>15</v>
      </c>
      <c r="B21" s="306"/>
      <c r="C21" s="305"/>
      <c r="D21" s="304">
        <v>24</v>
      </c>
      <c r="E21" s="305"/>
      <c r="F21" s="22"/>
      <c r="G21" s="22"/>
      <c r="H21" s="22"/>
      <c r="I21" s="22"/>
      <c r="J21" s="22"/>
      <c r="K21" s="22"/>
      <c r="L21" s="22"/>
    </row>
    <row r="22" spans="1:12" ht="17.25" thickBot="1" x14ac:dyDescent="0.35">
      <c r="A22" s="304" t="s">
        <v>16</v>
      </c>
      <c r="B22" s="306"/>
      <c r="C22" s="305"/>
      <c r="D22" s="304">
        <v>26</v>
      </c>
      <c r="E22" s="305"/>
      <c r="F22" s="22"/>
      <c r="G22" s="22"/>
      <c r="H22" s="22"/>
      <c r="I22" s="22"/>
      <c r="J22" s="22"/>
      <c r="K22" s="22"/>
      <c r="L22" s="22"/>
    </row>
    <row r="23" spans="1:12" ht="17.25" thickBot="1" x14ac:dyDescent="0.35">
      <c r="A23" s="304" t="s">
        <v>17</v>
      </c>
      <c r="B23" s="306"/>
      <c r="C23" s="305"/>
      <c r="D23" s="304">
        <v>2</v>
      </c>
      <c r="E23" s="305"/>
      <c r="F23" s="22"/>
      <c r="G23" s="22"/>
      <c r="H23" s="22"/>
      <c r="I23" s="22"/>
      <c r="J23" s="22"/>
      <c r="K23" s="22"/>
      <c r="L23" s="22"/>
    </row>
    <row r="24" spans="1:12" ht="17.25" thickBot="1" x14ac:dyDescent="0.35">
      <c r="A24" s="304" t="s">
        <v>18</v>
      </c>
      <c r="B24" s="306"/>
      <c r="C24" s="305"/>
      <c r="D24" s="304">
        <v>8</v>
      </c>
      <c r="E24" s="305"/>
      <c r="F24" s="22"/>
      <c r="G24" s="22"/>
      <c r="H24" s="22"/>
      <c r="I24" s="22"/>
      <c r="J24" s="22"/>
      <c r="K24" s="22"/>
      <c r="L24" s="22"/>
    </row>
    <row r="25" spans="1:12" ht="17.25" thickBot="1" x14ac:dyDescent="0.35">
      <c r="A25" s="304" t="s">
        <v>19</v>
      </c>
      <c r="B25" s="306"/>
      <c r="C25" s="305"/>
      <c r="D25" s="304">
        <v>10</v>
      </c>
      <c r="E25" s="305"/>
      <c r="F25" s="22"/>
      <c r="G25" s="22"/>
      <c r="H25" s="22"/>
      <c r="I25" s="22"/>
      <c r="J25" s="22"/>
      <c r="K25" s="22"/>
      <c r="L25" s="22"/>
    </row>
    <row r="26" spans="1:12" ht="16.5" x14ac:dyDescent="0.3">
      <c r="A26" s="22"/>
      <c r="B26" s="22"/>
      <c r="C26" s="22"/>
      <c r="D26" s="22"/>
      <c r="E26" s="22"/>
      <c r="F26" s="22"/>
      <c r="G26" s="22"/>
      <c r="H26" s="22"/>
      <c r="I26" s="22"/>
      <c r="J26" s="22"/>
      <c r="K26" s="22"/>
      <c r="L26" s="22"/>
    </row>
    <row r="27" spans="1:12" ht="17.25" thickBot="1" x14ac:dyDescent="0.35">
      <c r="A27" s="22"/>
      <c r="B27" s="22"/>
      <c r="C27" s="22"/>
      <c r="D27" s="22"/>
      <c r="E27" s="22"/>
      <c r="F27" s="22"/>
      <c r="G27" s="22"/>
      <c r="H27" s="22"/>
      <c r="I27" s="22"/>
      <c r="J27" s="22"/>
      <c r="K27" s="22"/>
      <c r="L27" s="22"/>
    </row>
    <row r="28" spans="1:12" ht="19.5" thickBot="1" x14ac:dyDescent="0.35">
      <c r="A28" s="301" t="s">
        <v>20</v>
      </c>
      <c r="B28" s="302"/>
      <c r="C28" s="302"/>
      <c r="D28" s="302"/>
      <c r="E28" s="303"/>
      <c r="F28" s="199"/>
      <c r="G28" s="22"/>
      <c r="H28" s="22"/>
      <c r="I28" s="22"/>
      <c r="J28" s="22"/>
      <c r="K28" s="22"/>
      <c r="L28" s="22"/>
    </row>
    <row r="29" spans="1:12" ht="18" thickBot="1" x14ac:dyDescent="0.3">
      <c r="A29" s="309" t="s">
        <v>21</v>
      </c>
      <c r="B29" s="310"/>
      <c r="C29" s="309" t="s">
        <v>22</v>
      </c>
      <c r="D29" s="311"/>
      <c r="E29" s="310"/>
      <c r="F29" s="24"/>
      <c r="G29" s="312"/>
      <c r="H29" s="312"/>
      <c r="I29" s="312"/>
      <c r="J29" s="312"/>
      <c r="K29" s="312"/>
      <c r="L29" s="182"/>
    </row>
    <row r="30" spans="1:12" ht="16.5" x14ac:dyDescent="0.3">
      <c r="A30" s="313" t="s">
        <v>123</v>
      </c>
      <c r="B30" s="314"/>
      <c r="C30" s="317">
        <v>0.47589999999999999</v>
      </c>
      <c r="D30" s="318"/>
      <c r="E30" s="314"/>
      <c r="F30" s="22"/>
      <c r="G30" s="320"/>
      <c r="H30" s="320"/>
      <c r="I30" s="320"/>
      <c r="J30" s="320"/>
      <c r="K30" s="320"/>
      <c r="L30" s="22"/>
    </row>
    <row r="31" spans="1:12" ht="17.25" thickBot="1" x14ac:dyDescent="0.35">
      <c r="A31" s="315"/>
      <c r="B31" s="316"/>
      <c r="C31" s="315"/>
      <c r="D31" s="319"/>
      <c r="E31" s="316"/>
      <c r="F31" s="22"/>
      <c r="G31" s="320"/>
      <c r="H31" s="320"/>
      <c r="I31" s="320"/>
      <c r="J31" s="320"/>
      <c r="K31" s="320"/>
      <c r="L31" s="22"/>
    </row>
    <row r="32" spans="1:12" ht="18" thickBot="1" x14ac:dyDescent="0.35">
      <c r="A32" s="304" t="s">
        <v>124</v>
      </c>
      <c r="B32" s="305"/>
      <c r="C32" s="321">
        <v>0.52410000000000001</v>
      </c>
      <c r="D32" s="306"/>
      <c r="E32" s="305"/>
      <c r="F32" s="22"/>
      <c r="G32" s="320"/>
      <c r="H32" s="320"/>
      <c r="I32" s="320"/>
      <c r="J32" s="320"/>
      <c r="K32" s="320"/>
      <c r="L32" s="22"/>
    </row>
    <row r="33" spans="1:14" ht="18" thickBot="1" x14ac:dyDescent="0.35">
      <c r="A33" s="22"/>
      <c r="B33" s="22"/>
      <c r="C33" s="22"/>
      <c r="D33" s="22"/>
      <c r="E33" s="22"/>
      <c r="F33" s="22"/>
      <c r="G33" s="322"/>
      <c r="H33" s="322"/>
      <c r="I33" s="322"/>
      <c r="J33" s="322"/>
      <c r="K33" s="322"/>
      <c r="L33" s="22"/>
    </row>
    <row r="34" spans="1:14" ht="41.45" customHeight="1" thickBot="1" x14ac:dyDescent="0.35">
      <c r="A34" s="323" t="s">
        <v>24</v>
      </c>
      <c r="B34" s="324"/>
      <c r="C34" s="324"/>
      <c r="D34" s="324"/>
      <c r="E34" s="325"/>
      <c r="F34" s="199"/>
      <c r="G34" s="22"/>
      <c r="H34" s="22"/>
      <c r="I34" s="22"/>
      <c r="J34" s="22"/>
      <c r="K34" s="22"/>
      <c r="L34" s="22"/>
    </row>
    <row r="35" spans="1:14" ht="17.25" thickBot="1" x14ac:dyDescent="0.35">
      <c r="A35" s="326" t="s">
        <v>25</v>
      </c>
      <c r="B35" s="327"/>
      <c r="C35" s="327"/>
      <c r="D35" s="327"/>
      <c r="E35" s="328"/>
      <c r="F35" s="199"/>
      <c r="G35" s="22"/>
      <c r="H35" s="22"/>
      <c r="I35" s="22"/>
      <c r="J35" s="22"/>
      <c r="K35" s="22"/>
      <c r="L35" s="22"/>
    </row>
    <row r="36" spans="1:14" ht="16.5" x14ac:dyDescent="0.3">
      <c r="A36" s="234"/>
      <c r="B36" s="199"/>
      <c r="C36" s="199"/>
      <c r="D36" s="199"/>
      <c r="E36" s="199"/>
      <c r="F36" s="199"/>
      <c r="G36" s="22"/>
      <c r="H36" s="22"/>
      <c r="I36" s="22"/>
      <c r="J36" s="22"/>
      <c r="K36" s="22"/>
      <c r="L36" s="22"/>
    </row>
    <row r="37" spans="1:14" ht="17.25" thickBot="1" x14ac:dyDescent="0.35">
      <c r="A37" s="234"/>
      <c r="B37" s="199"/>
      <c r="C37" s="199"/>
      <c r="D37" s="199"/>
      <c r="E37" s="199"/>
      <c r="F37" s="199"/>
      <c r="G37" s="22"/>
      <c r="H37" s="22"/>
      <c r="I37" s="22"/>
      <c r="J37" s="22"/>
      <c r="K37" s="22"/>
      <c r="L37" s="22"/>
    </row>
    <row r="38" spans="1:14" ht="19.5" thickBot="1" x14ac:dyDescent="0.35">
      <c r="A38" s="295" t="s">
        <v>143</v>
      </c>
      <c r="B38" s="296"/>
      <c r="C38" s="296"/>
      <c r="D38" s="296"/>
      <c r="E38" s="296"/>
      <c r="F38" s="296"/>
      <c r="G38" s="296"/>
      <c r="H38" s="297"/>
      <c r="I38" s="189"/>
      <c r="J38" s="189"/>
      <c r="K38" s="298" t="s">
        <v>126</v>
      </c>
      <c r="L38" s="299"/>
    </row>
    <row r="39" spans="1:14" ht="64.5" thickBot="1" x14ac:dyDescent="0.3">
      <c r="A39" s="190" t="s">
        <v>127</v>
      </c>
      <c r="B39" s="191" t="s">
        <v>23</v>
      </c>
      <c r="C39" s="192" t="s">
        <v>128</v>
      </c>
      <c r="D39" s="204" t="s">
        <v>129</v>
      </c>
      <c r="E39" s="194" t="s">
        <v>130</v>
      </c>
      <c r="F39" s="307"/>
      <c r="G39" s="193" t="s">
        <v>131</v>
      </c>
      <c r="H39" s="193" t="s">
        <v>132</v>
      </c>
      <c r="I39" s="193" t="s">
        <v>1</v>
      </c>
      <c r="J39" s="193" t="s">
        <v>133</v>
      </c>
      <c r="K39" s="194" t="s">
        <v>134</v>
      </c>
      <c r="L39" s="194" t="s">
        <v>144</v>
      </c>
    </row>
    <row r="40" spans="1:14" ht="17.25" thickBot="1" x14ac:dyDescent="0.35">
      <c r="A40" s="235" t="s">
        <v>136</v>
      </c>
      <c r="B40" s="251" t="s">
        <v>137</v>
      </c>
      <c r="C40" s="196">
        <v>30</v>
      </c>
      <c r="D40" s="237">
        <f>+B14</f>
        <v>19544791</v>
      </c>
      <c r="E40" s="198">
        <v>0.1</v>
      </c>
      <c r="F40" s="308"/>
      <c r="G40" s="238">
        <f>ROUND(D40*E40,2)</f>
        <v>1954479.1</v>
      </c>
      <c r="H40" s="238">
        <f>ROUND(D40+G40,2)</f>
        <v>21499270.100000001</v>
      </c>
      <c r="I40" s="238">
        <f>ROUND(H40*10%*19%,2)</f>
        <v>408486.13</v>
      </c>
      <c r="J40" s="238">
        <f>ROUND(H40+I40,2)</f>
        <v>21907756.23</v>
      </c>
      <c r="K40" s="264">
        <v>98</v>
      </c>
      <c r="L40" s="252">
        <f>ROUND(((K40*J40)*11),2)</f>
        <v>23616561215.939999</v>
      </c>
      <c r="N40" s="260"/>
    </row>
    <row r="41" spans="1:14" ht="33.75" thickBot="1" x14ac:dyDescent="0.35">
      <c r="A41" s="235" t="s">
        <v>146</v>
      </c>
      <c r="B41" s="251" t="s">
        <v>137</v>
      </c>
      <c r="C41" s="196">
        <v>30</v>
      </c>
      <c r="D41" s="237">
        <f>+B15</f>
        <v>19544791</v>
      </c>
      <c r="E41" s="198">
        <v>0.1</v>
      </c>
      <c r="F41" s="308"/>
      <c r="G41" s="238">
        <f t="shared" ref="G41:G46" si="0">ROUND(D41*E41,2)</f>
        <v>1954479.1</v>
      </c>
      <c r="H41" s="238">
        <f t="shared" ref="H41:H43" si="1">ROUND(D41+G41,2)</f>
        <v>21499270.100000001</v>
      </c>
      <c r="I41" s="185" t="s">
        <v>113</v>
      </c>
      <c r="J41" s="238">
        <f>ROUND(H41,2)</f>
        <v>21499270.100000001</v>
      </c>
      <c r="K41" s="265">
        <v>6</v>
      </c>
      <c r="L41" s="252">
        <f>ROUND(((K41*J41)*11),2)</f>
        <v>1418951826.5999999</v>
      </c>
    </row>
    <row r="42" spans="1:14" ht="33.75" thickBot="1" x14ac:dyDescent="0.35">
      <c r="A42" s="235" t="s">
        <v>149</v>
      </c>
      <c r="B42" s="251" t="s">
        <v>139</v>
      </c>
      <c r="C42" s="196">
        <v>20</v>
      </c>
      <c r="D42" s="253">
        <f>ROUND($D$9*$C$30/30*C42/13*12,2)</f>
        <v>5723917.5599999996</v>
      </c>
      <c r="E42" s="198">
        <v>0.1</v>
      </c>
      <c r="F42" s="308"/>
      <c r="G42" s="238">
        <f t="shared" si="0"/>
        <v>572391.76</v>
      </c>
      <c r="H42" s="238">
        <f t="shared" si="1"/>
        <v>6296309.3200000003</v>
      </c>
      <c r="I42" s="238">
        <f>ROUND(H42*10%*19%,2)</f>
        <v>119629.88</v>
      </c>
      <c r="J42" s="238">
        <f>ROUND(H42+I42,2)</f>
        <v>6415939.2000000002</v>
      </c>
      <c r="K42" s="265">
        <v>17</v>
      </c>
      <c r="L42" s="252">
        <f t="shared" ref="L42:L45" si="2">ROUND(((K42*J42)*11),2)</f>
        <v>1199780630.4000001</v>
      </c>
    </row>
    <row r="43" spans="1:14" ht="33.75" thickBot="1" x14ac:dyDescent="0.35">
      <c r="A43" s="235" t="s">
        <v>147</v>
      </c>
      <c r="B43" s="251" t="s">
        <v>14</v>
      </c>
      <c r="C43" s="196">
        <v>22</v>
      </c>
      <c r="D43" s="253">
        <f>ROUND($D$9*$C$30/30*C43/13*12,2)</f>
        <v>6296309.3200000003</v>
      </c>
      <c r="E43" s="198">
        <v>0.1</v>
      </c>
      <c r="F43" s="308"/>
      <c r="G43" s="238">
        <f>ROUND(D43*E43,2)</f>
        <v>629630.93000000005</v>
      </c>
      <c r="H43" s="238">
        <f t="shared" si="1"/>
        <v>6925940.25</v>
      </c>
      <c r="I43" s="238">
        <f>ROUND(H43*10%*19%,2)</f>
        <v>131592.85999999999</v>
      </c>
      <c r="J43" s="238">
        <f>ROUND(H43+I43,2)</f>
        <v>7057533.1100000003</v>
      </c>
      <c r="K43" s="265">
        <v>2</v>
      </c>
      <c r="L43" s="252">
        <f t="shared" si="2"/>
        <v>155265728.41999999</v>
      </c>
    </row>
    <row r="44" spans="1:14" ht="26.25" customHeight="1" thickBot="1" x14ac:dyDescent="0.35">
      <c r="A44" s="235" t="s">
        <v>138</v>
      </c>
      <c r="B44" s="251" t="s">
        <v>137</v>
      </c>
      <c r="C44" s="196">
        <v>30</v>
      </c>
      <c r="D44" s="237">
        <f>+B15</f>
        <v>19544791</v>
      </c>
      <c r="E44" s="201">
        <v>0.08</v>
      </c>
      <c r="F44" s="308"/>
      <c r="G44" s="238">
        <f t="shared" si="0"/>
        <v>1563583.28</v>
      </c>
      <c r="H44" s="238">
        <f>ROUND(D44+G44,2)</f>
        <v>21108374.280000001</v>
      </c>
      <c r="I44" s="238">
        <f t="shared" ref="I44:I46" si="3">ROUND(H44*10%*19%,2)</f>
        <v>401059.11</v>
      </c>
      <c r="J44" s="238">
        <f t="shared" ref="J44:J46" si="4">ROUND(H44+I44,2)</f>
        <v>21509433.390000001</v>
      </c>
      <c r="K44" s="265">
        <v>1</v>
      </c>
      <c r="L44" s="252">
        <f t="shared" si="2"/>
        <v>236603767.28999999</v>
      </c>
    </row>
    <row r="45" spans="1:14" ht="33.75" thickBot="1" x14ac:dyDescent="0.35">
      <c r="A45" s="235" t="s">
        <v>148</v>
      </c>
      <c r="B45" s="251" t="s">
        <v>137</v>
      </c>
      <c r="C45" s="196">
        <v>30</v>
      </c>
      <c r="D45" s="253">
        <f>ROUND($D$9*$C$30/30*C45/13*12,2)</f>
        <v>8585876.3399999999</v>
      </c>
      <c r="E45" s="201">
        <v>0.1</v>
      </c>
      <c r="F45" s="308"/>
      <c r="G45" s="238">
        <f t="shared" si="0"/>
        <v>858587.63</v>
      </c>
      <c r="H45" s="238">
        <f>ROUND(D45+G45,2)</f>
        <v>9444463.9700000007</v>
      </c>
      <c r="I45" s="238">
        <f t="shared" si="3"/>
        <v>179444.82</v>
      </c>
      <c r="J45" s="238">
        <f t="shared" si="4"/>
        <v>9623908.7899999991</v>
      </c>
      <c r="K45" s="265">
        <v>0</v>
      </c>
      <c r="L45" s="252">
        <f t="shared" si="2"/>
        <v>0</v>
      </c>
    </row>
    <row r="46" spans="1:14" ht="33.75" thickBot="1" x14ac:dyDescent="0.35">
      <c r="A46" s="235" t="s">
        <v>150</v>
      </c>
      <c r="B46" s="251" t="s">
        <v>151</v>
      </c>
      <c r="C46" s="196">
        <v>20</v>
      </c>
      <c r="D46" s="253">
        <f>ROUND($D$9*$C$30/30*C46/13*12,2)</f>
        <v>5723917.5599999996</v>
      </c>
      <c r="E46" s="202">
        <v>0.08</v>
      </c>
      <c r="F46" s="308"/>
      <c r="G46" s="238">
        <f t="shared" si="0"/>
        <v>457913.4</v>
      </c>
      <c r="H46" s="237">
        <f>ROUND(D46+G46,2)</f>
        <v>6181830.96</v>
      </c>
      <c r="I46" s="237">
        <f t="shared" si="3"/>
        <v>117454.79</v>
      </c>
      <c r="J46" s="237">
        <f t="shared" si="4"/>
        <v>6299285.75</v>
      </c>
      <c r="K46" s="266">
        <v>5</v>
      </c>
      <c r="L46" s="252">
        <f>ROUND(((K46*J46)*11),2)</f>
        <v>346460716.25</v>
      </c>
    </row>
    <row r="47" spans="1:14" ht="17.25" thickBot="1" x14ac:dyDescent="0.35">
      <c r="A47" s="22"/>
      <c r="B47" s="22"/>
      <c r="C47" s="22"/>
      <c r="D47" s="22"/>
      <c r="E47" s="22"/>
      <c r="F47" s="22"/>
      <c r="G47" s="22"/>
      <c r="H47" s="22"/>
      <c r="I47" s="22"/>
      <c r="J47" s="22"/>
      <c r="K47" s="203">
        <f>SUM(K40:K46)</f>
        <v>129</v>
      </c>
      <c r="L47" s="254">
        <f>ROUND(SUM(L40:L46),2)</f>
        <v>26973623884.900002</v>
      </c>
      <c r="N47" s="260"/>
    </row>
    <row r="48" spans="1:14" ht="15.75" x14ac:dyDescent="0.25">
      <c r="J48" s="439" t="s">
        <v>170</v>
      </c>
      <c r="K48" s="439"/>
      <c r="L48" s="442">
        <f>L47</f>
        <v>26973623884.900002</v>
      </c>
    </row>
    <row r="49" spans="1:14" customFormat="1" ht="17.25" thickBot="1" x14ac:dyDescent="0.35">
      <c r="A49" s="355" t="s">
        <v>167</v>
      </c>
      <c r="B49" s="356"/>
      <c r="C49" s="356"/>
      <c r="D49" s="356"/>
      <c r="E49" s="356"/>
      <c r="F49" s="356"/>
      <c r="G49" s="356"/>
    </row>
    <row r="50" spans="1:14" customFormat="1" ht="19.5" thickBot="1" x14ac:dyDescent="0.35">
      <c r="A50" s="295" t="s">
        <v>140</v>
      </c>
      <c r="B50" s="296"/>
      <c r="C50" s="296"/>
      <c r="D50" s="296"/>
      <c r="E50" s="296"/>
      <c r="F50" s="296"/>
      <c r="G50" s="296"/>
      <c r="H50" s="297"/>
      <c r="I50" s="189"/>
      <c r="J50" s="189"/>
      <c r="K50" s="298" t="s">
        <v>126</v>
      </c>
      <c r="L50" s="299"/>
    </row>
    <row r="51" spans="1:14" customFormat="1" ht="64.5" thickBot="1" x14ac:dyDescent="0.3">
      <c r="A51" s="190" t="s">
        <v>127</v>
      </c>
      <c r="B51" s="191" t="s">
        <v>23</v>
      </c>
      <c r="C51" s="204" t="s">
        <v>128</v>
      </c>
      <c r="D51" s="193" t="s">
        <v>129</v>
      </c>
      <c r="E51" s="193" t="s">
        <v>130</v>
      </c>
      <c r="F51" s="307"/>
      <c r="G51" s="193" t="s">
        <v>131</v>
      </c>
      <c r="H51" s="193" t="s">
        <v>132</v>
      </c>
      <c r="I51" s="193" t="s">
        <v>1</v>
      </c>
      <c r="J51" s="193" t="s">
        <v>133</v>
      </c>
      <c r="K51" s="194" t="s">
        <v>134</v>
      </c>
      <c r="L51" s="195" t="s">
        <v>168</v>
      </c>
    </row>
    <row r="52" spans="1:14" customFormat="1" ht="17.25" thickBot="1" x14ac:dyDescent="0.35">
      <c r="A52" s="246" t="s">
        <v>136</v>
      </c>
      <c r="B52" s="236" t="s">
        <v>137</v>
      </c>
      <c r="C52" s="90">
        <v>30</v>
      </c>
      <c r="D52" s="237">
        <f>$D$9</f>
        <v>19544791</v>
      </c>
      <c r="E52" s="201">
        <v>0.1</v>
      </c>
      <c r="F52" s="308"/>
      <c r="G52" s="237">
        <f>ROUND(D52*E52,2)</f>
        <v>1954479.1</v>
      </c>
      <c r="H52" s="247">
        <f>ROUND(D52+G52,2)</f>
        <v>21499270.100000001</v>
      </c>
      <c r="I52" s="247">
        <f>ROUND(H52*10%*19%,2)</f>
        <v>408486.13</v>
      </c>
      <c r="J52" s="247">
        <f>ROUND(H52+I52,2)</f>
        <v>21907756.23</v>
      </c>
      <c r="K52" s="205">
        <v>1</v>
      </c>
      <c r="L52" s="240">
        <f>ROUND(K52*J52,2)*11</f>
        <v>240985318.53</v>
      </c>
      <c r="N52" s="272"/>
    </row>
    <row r="53" spans="1:14" customFormat="1" ht="17.25" thickBot="1" x14ac:dyDescent="0.35">
      <c r="A53" s="22"/>
      <c r="B53" s="22"/>
      <c r="C53" s="22"/>
      <c r="D53" s="22"/>
      <c r="E53" s="22"/>
      <c r="F53" s="22"/>
      <c r="G53" s="22"/>
      <c r="H53" s="22"/>
      <c r="I53" s="22"/>
      <c r="J53" s="22"/>
      <c r="K53" s="203">
        <f>SUM(K52:K52)</f>
        <v>1</v>
      </c>
      <c r="L53" s="248">
        <f>ROUND(SUM(L52:L52),2)</f>
        <v>240985318.53</v>
      </c>
    </row>
    <row r="55" spans="1:14" ht="15.75" x14ac:dyDescent="0.25">
      <c r="J55" s="439" t="s">
        <v>169</v>
      </c>
      <c r="K55" s="439"/>
      <c r="L55" s="444">
        <f>L53</f>
        <v>240985318.53</v>
      </c>
    </row>
  </sheetData>
  <mergeCells count="51">
    <mergeCell ref="J48:K48"/>
    <mergeCell ref="A49:G49"/>
    <mergeCell ref="A50:H50"/>
    <mergeCell ref="K50:L50"/>
    <mergeCell ref="F51:F52"/>
    <mergeCell ref="J55:K55"/>
    <mergeCell ref="A6:C6"/>
    <mergeCell ref="D6:E6"/>
    <mergeCell ref="A1:E1"/>
    <mergeCell ref="B3:E3"/>
    <mergeCell ref="A4:E4"/>
    <mergeCell ref="A5:C5"/>
    <mergeCell ref="D5:E5"/>
    <mergeCell ref="A7:C7"/>
    <mergeCell ref="D7:E7"/>
    <mergeCell ref="A8:C8"/>
    <mergeCell ref="D8:E8"/>
    <mergeCell ref="A9:C9"/>
    <mergeCell ref="D9:E9"/>
    <mergeCell ref="A12:E12"/>
    <mergeCell ref="A18:E18"/>
    <mergeCell ref="A19:C19"/>
    <mergeCell ref="D19:E19"/>
    <mergeCell ref="A20:C20"/>
    <mergeCell ref="D20:E20"/>
    <mergeCell ref="A21:C21"/>
    <mergeCell ref="D21:E21"/>
    <mergeCell ref="A22:C22"/>
    <mergeCell ref="D22:E22"/>
    <mergeCell ref="A23:C23"/>
    <mergeCell ref="D23:E23"/>
    <mergeCell ref="A24:C24"/>
    <mergeCell ref="D24:E24"/>
    <mergeCell ref="A25:C25"/>
    <mergeCell ref="D25:E25"/>
    <mergeCell ref="A28:E28"/>
    <mergeCell ref="F39:F46"/>
    <mergeCell ref="G29:K29"/>
    <mergeCell ref="A30:B31"/>
    <mergeCell ref="C30:E31"/>
    <mergeCell ref="G30:K31"/>
    <mergeCell ref="A32:B32"/>
    <mergeCell ref="C32:E32"/>
    <mergeCell ref="G32:K32"/>
    <mergeCell ref="A29:B29"/>
    <mergeCell ref="C29:E29"/>
    <mergeCell ref="G33:K33"/>
    <mergeCell ref="A34:E34"/>
    <mergeCell ref="A35:E35"/>
    <mergeCell ref="A38:H38"/>
    <mergeCell ref="K38:L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E445D-852E-4C3B-9750-90D9E20DD845}">
  <dimension ref="A1:BO27"/>
  <sheetViews>
    <sheetView topLeftCell="AS24" zoomScale="90" zoomScaleNormal="90" workbookViewId="0">
      <selection activeCell="BE11" sqref="BE11"/>
    </sheetView>
  </sheetViews>
  <sheetFormatPr baseColWidth="10" defaultColWidth="11.42578125" defaultRowHeight="15" x14ac:dyDescent="0.25"/>
  <cols>
    <col min="1" max="1" width="5.28515625" customWidth="1"/>
    <col min="2" max="2" width="52" customWidth="1"/>
    <col min="3" max="3" width="14.5703125" customWidth="1"/>
    <col min="4" max="4" width="16.7109375" customWidth="1"/>
    <col min="5" max="5" width="2.7109375" customWidth="1"/>
    <col min="7" max="7" width="14.28515625" bestFit="1" customWidth="1"/>
    <col min="8" max="8" width="20" bestFit="1" customWidth="1"/>
    <col min="9" max="9" width="2.7109375" customWidth="1"/>
    <col min="11" max="11" width="14.28515625" bestFit="1" customWidth="1"/>
    <col min="12" max="12" width="22" bestFit="1" customWidth="1"/>
    <col min="13" max="13" width="2.7109375" customWidth="1"/>
    <col min="15" max="15" width="14.28515625" bestFit="1" customWidth="1"/>
    <col min="16" max="16" width="16.85546875" bestFit="1" customWidth="1"/>
    <col min="17" max="17" width="2.7109375" customWidth="1"/>
    <col min="19" max="20" width="15.28515625" bestFit="1" customWidth="1"/>
    <col min="21" max="21" width="2.7109375" customWidth="1"/>
    <col min="23" max="23" width="15.28515625" bestFit="1" customWidth="1"/>
    <col min="24" max="24" width="16.85546875" bestFit="1" customWidth="1"/>
    <col min="25" max="25" width="2.7109375" customWidth="1"/>
    <col min="27" max="27" width="15.28515625" bestFit="1" customWidth="1"/>
    <col min="28" max="28" width="16.85546875" bestFit="1" customWidth="1"/>
    <col min="29" max="29" width="2.7109375" hidden="1" customWidth="1"/>
    <col min="30" max="30" width="11.42578125" hidden="1" customWidth="1"/>
    <col min="31" max="32" width="15.28515625" hidden="1" customWidth="1"/>
    <col min="33" max="33" width="2.7109375" hidden="1" customWidth="1"/>
    <col min="34" max="34" width="11.42578125" hidden="1" customWidth="1"/>
    <col min="35" max="35" width="15.28515625" hidden="1" customWidth="1"/>
    <col min="36" max="36" width="16.85546875" hidden="1" customWidth="1"/>
    <col min="37" max="37" width="2.7109375" hidden="1" customWidth="1"/>
    <col min="38" max="38" width="11.42578125" hidden="1" customWidth="1"/>
    <col min="39" max="39" width="15.28515625" hidden="1" customWidth="1"/>
    <col min="40" max="40" width="16.85546875" hidden="1" customWidth="1"/>
    <col min="41" max="41" width="2.7109375" customWidth="1"/>
    <col min="42" max="42" width="14.28515625" customWidth="1"/>
    <col min="43" max="44" width="15.28515625" customWidth="1"/>
    <col min="45" max="45" width="14.28515625" customWidth="1"/>
    <col min="46" max="46" width="3.28515625" customWidth="1"/>
    <col min="47" max="47" width="14.28515625" customWidth="1"/>
    <col min="48" max="50" width="15.28515625" customWidth="1"/>
    <col min="51" max="51" width="3.28515625" customWidth="1"/>
    <col min="52" max="52" width="14.28515625" customWidth="1"/>
    <col min="53" max="55" width="15.28515625" customWidth="1"/>
    <col min="56" max="56" width="2.28515625" customWidth="1"/>
    <col min="57" max="57" width="14.85546875" customWidth="1"/>
    <col min="58" max="58" width="18.28515625" customWidth="1"/>
    <col min="59" max="59" width="16.7109375" customWidth="1"/>
    <col min="60" max="60" width="2.28515625" customWidth="1"/>
    <col min="61" max="62" width="14.28515625" bestFit="1" customWidth="1"/>
    <col min="63" max="63" width="16.85546875" bestFit="1" customWidth="1"/>
    <col min="64" max="64" width="2.28515625" customWidth="1"/>
    <col min="65" max="66" width="14.28515625" bestFit="1" customWidth="1"/>
    <col min="67" max="67" width="16.85546875" bestFit="1" customWidth="1"/>
  </cols>
  <sheetData>
    <row r="1" spans="1:67" ht="18.75" thickBot="1" x14ac:dyDescent="0.3">
      <c r="A1" s="400" t="s">
        <v>115</v>
      </c>
      <c r="B1" s="401"/>
      <c r="C1" s="401"/>
      <c r="D1" s="401"/>
      <c r="E1" s="401"/>
      <c r="F1" s="401"/>
      <c r="G1" s="401"/>
      <c r="H1" s="401"/>
      <c r="I1" s="401"/>
      <c r="J1" s="401"/>
      <c r="K1" s="401"/>
      <c r="L1" s="401"/>
      <c r="M1" s="401"/>
      <c r="N1" s="401"/>
      <c r="O1" s="401"/>
      <c r="P1" s="401"/>
      <c r="Q1" s="401"/>
      <c r="R1" s="401"/>
      <c r="S1" s="401"/>
      <c r="T1" s="401"/>
      <c r="U1" s="401"/>
      <c r="V1" s="401"/>
      <c r="W1" s="401"/>
      <c r="X1" s="401"/>
      <c r="Y1" s="401"/>
      <c r="Z1" s="401"/>
      <c r="AA1" s="401"/>
      <c r="AB1" s="401"/>
      <c r="AC1" s="401"/>
      <c r="AD1" s="401"/>
      <c r="AE1" s="401"/>
      <c r="AF1" s="401"/>
      <c r="AG1" s="401"/>
      <c r="AH1" s="401"/>
      <c r="AI1" s="401"/>
      <c r="AJ1" s="401"/>
      <c r="AK1" s="401"/>
      <c r="AL1" s="401"/>
      <c r="AM1" s="401"/>
      <c r="AN1" s="401"/>
      <c r="AO1" s="401"/>
      <c r="AP1" s="401"/>
      <c r="AQ1" s="401"/>
      <c r="AR1" s="401"/>
      <c r="AS1" s="401"/>
      <c r="AT1" s="401"/>
      <c r="AU1" s="401"/>
      <c r="AV1" s="401"/>
      <c r="AW1" s="401"/>
      <c r="AX1" s="401"/>
      <c r="AY1" s="401"/>
      <c r="AZ1" s="401"/>
      <c r="BA1" s="401"/>
      <c r="BB1" s="401"/>
      <c r="BC1" s="401"/>
      <c r="BD1" s="401"/>
      <c r="BE1" s="401"/>
      <c r="BF1" s="401"/>
      <c r="BG1" s="401"/>
      <c r="BH1" s="401"/>
      <c r="BI1" s="401"/>
      <c r="BJ1" s="401"/>
      <c r="BK1" s="401"/>
      <c r="BL1" s="401"/>
      <c r="BM1" s="401"/>
      <c r="BN1" s="401"/>
      <c r="BO1" s="402"/>
    </row>
    <row r="2" spans="1:67" ht="35.450000000000003" customHeight="1" thickBot="1" x14ac:dyDescent="0.3">
      <c r="A2" s="74"/>
      <c r="B2" s="116" t="s">
        <v>0</v>
      </c>
      <c r="C2" s="403" t="s">
        <v>114</v>
      </c>
      <c r="D2" s="404"/>
      <c r="E2" s="404"/>
      <c r="F2" s="404"/>
      <c r="G2" s="404"/>
      <c r="H2" s="404"/>
      <c r="I2" s="404"/>
      <c r="J2" s="404"/>
      <c r="K2" s="404"/>
      <c r="L2" s="404"/>
      <c r="M2" s="404"/>
      <c r="N2" s="404"/>
      <c r="O2" s="404"/>
      <c r="P2" s="404"/>
      <c r="Q2" s="404"/>
      <c r="R2" s="404"/>
      <c r="S2" s="404"/>
      <c r="T2" s="404"/>
      <c r="U2" s="404"/>
      <c r="V2" s="404"/>
      <c r="W2" s="404"/>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c r="AZ2" s="404"/>
      <c r="BA2" s="404"/>
      <c r="BB2" s="404"/>
      <c r="BC2" s="404"/>
      <c r="BD2" s="404"/>
      <c r="BE2" s="404"/>
      <c r="BF2" s="404"/>
      <c r="BG2" s="404"/>
      <c r="BH2" s="404"/>
      <c r="BI2" s="404"/>
      <c r="BJ2" s="404"/>
      <c r="BK2" s="404"/>
      <c r="BL2" s="404"/>
      <c r="BM2" s="404"/>
      <c r="BN2" s="404"/>
      <c r="BO2" s="405"/>
    </row>
    <row r="3" spans="1:67" ht="18" x14ac:dyDescent="0.25">
      <c r="A3" s="26"/>
      <c r="B3" s="27"/>
      <c r="C3" s="28"/>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row>
    <row r="4" spans="1:67" ht="18" x14ac:dyDescent="0.25">
      <c r="A4" s="30"/>
      <c r="B4" s="30"/>
      <c r="C4" s="28"/>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row>
    <row r="5" spans="1:67" ht="16.149999999999999" customHeight="1" thickBot="1" x14ac:dyDescent="0.3">
      <c r="A5" s="31"/>
      <c r="B5" s="31"/>
      <c r="C5" s="31"/>
      <c r="D5" s="31"/>
      <c r="E5" s="32"/>
      <c r="F5" s="406" t="s">
        <v>26</v>
      </c>
      <c r="G5" s="406"/>
      <c r="H5" s="406"/>
      <c r="I5" s="33"/>
      <c r="J5" s="33"/>
      <c r="K5" s="34"/>
      <c r="L5" s="34"/>
      <c r="M5" s="34"/>
      <c r="N5" s="34"/>
      <c r="O5" s="34"/>
      <c r="P5" s="34"/>
      <c r="Q5" s="34"/>
      <c r="R5" s="406" t="s">
        <v>68</v>
      </c>
      <c r="S5" s="406"/>
      <c r="T5" s="406"/>
      <c r="U5" s="406"/>
      <c r="V5" s="406"/>
      <c r="W5" s="406"/>
      <c r="X5" s="406"/>
      <c r="Y5" s="34"/>
      <c r="Z5" s="34"/>
      <c r="AA5" s="34"/>
      <c r="AB5" s="34"/>
      <c r="AC5" s="29"/>
      <c r="AD5" s="406"/>
      <c r="AE5" s="406"/>
      <c r="AF5" s="406"/>
      <c r="AG5" s="406"/>
      <c r="AH5" s="406"/>
      <c r="AI5" s="406"/>
      <c r="AJ5" s="406"/>
      <c r="AK5" s="34"/>
      <c r="AL5" s="34"/>
      <c r="AM5" s="34"/>
      <c r="AN5" s="34"/>
      <c r="AO5" s="34"/>
      <c r="AP5" s="35"/>
      <c r="AQ5" s="35"/>
      <c r="AR5" s="35"/>
      <c r="AS5" s="35"/>
      <c r="AU5" s="35"/>
      <c r="AV5" s="35"/>
      <c r="AW5" s="35"/>
      <c r="AX5" s="35"/>
      <c r="AZ5" s="35"/>
      <c r="BA5" s="35"/>
      <c r="BB5" s="35"/>
      <c r="BC5" s="35"/>
      <c r="BE5" s="406"/>
      <c r="BF5" s="406"/>
      <c r="BG5" s="406"/>
      <c r="BH5" s="33"/>
      <c r="BI5" s="33"/>
      <c r="BJ5" s="34"/>
      <c r="BK5" s="34"/>
      <c r="BL5" s="34"/>
      <c r="BM5" s="34"/>
      <c r="BN5" s="34"/>
      <c r="BO5" s="34"/>
    </row>
    <row r="6" spans="1:67" ht="18.75" thickBot="1" x14ac:dyDescent="0.3">
      <c r="A6" s="385" t="s">
        <v>27</v>
      </c>
      <c r="B6" s="385" t="s">
        <v>28</v>
      </c>
      <c r="C6" s="385" t="s">
        <v>29</v>
      </c>
      <c r="D6" s="385" t="s">
        <v>30</v>
      </c>
      <c r="E6" s="32"/>
      <c r="F6" s="407" t="s">
        <v>31</v>
      </c>
      <c r="G6" s="408"/>
      <c r="H6" s="408"/>
      <c r="I6" s="408"/>
      <c r="J6" s="408"/>
      <c r="K6" s="408"/>
      <c r="L6" s="408"/>
      <c r="M6" s="408"/>
      <c r="N6" s="408"/>
      <c r="O6" s="408"/>
      <c r="P6" s="409"/>
      <c r="Q6" s="36"/>
      <c r="R6" s="407" t="s">
        <v>32</v>
      </c>
      <c r="S6" s="408"/>
      <c r="T6" s="408"/>
      <c r="U6" s="408"/>
      <c r="V6" s="408"/>
      <c r="W6" s="408"/>
      <c r="X6" s="408"/>
      <c r="Y6" s="408"/>
      <c r="Z6" s="408"/>
      <c r="AA6" s="408"/>
      <c r="AB6" s="409"/>
      <c r="AC6" s="29"/>
      <c r="AD6" s="407" t="s">
        <v>69</v>
      </c>
      <c r="AE6" s="408"/>
      <c r="AF6" s="408"/>
      <c r="AG6" s="408"/>
      <c r="AH6" s="408"/>
      <c r="AI6" s="408"/>
      <c r="AJ6" s="408"/>
      <c r="AK6" s="408"/>
      <c r="AL6" s="408"/>
      <c r="AM6" s="408"/>
      <c r="AN6" s="409"/>
      <c r="AO6" s="36"/>
      <c r="AP6" s="410" t="s">
        <v>33</v>
      </c>
      <c r="AQ6" s="411"/>
      <c r="AR6" s="411"/>
      <c r="AS6" s="412"/>
      <c r="AT6" s="37"/>
      <c r="AU6" s="410" t="s">
        <v>33</v>
      </c>
      <c r="AV6" s="411"/>
      <c r="AW6" s="411"/>
      <c r="AX6" s="412"/>
      <c r="AY6" s="37"/>
      <c r="AZ6" s="410" t="s">
        <v>33</v>
      </c>
      <c r="BA6" s="411"/>
      <c r="BB6" s="411"/>
      <c r="BC6" s="412"/>
      <c r="BD6" s="38"/>
      <c r="BE6" s="397" t="s">
        <v>34</v>
      </c>
      <c r="BF6" s="398"/>
      <c r="BG6" s="398"/>
      <c r="BH6" s="398"/>
      <c r="BI6" s="398"/>
      <c r="BJ6" s="398"/>
      <c r="BK6" s="398"/>
      <c r="BL6" s="398"/>
      <c r="BM6" s="398"/>
      <c r="BN6" s="398"/>
      <c r="BO6" s="399"/>
    </row>
    <row r="7" spans="1:67" ht="30" customHeight="1" thickBot="1" x14ac:dyDescent="0.3">
      <c r="A7" s="386"/>
      <c r="B7" s="386"/>
      <c r="C7" s="386"/>
      <c r="D7" s="386"/>
      <c r="E7" s="32"/>
      <c r="F7" s="388" t="s">
        <v>35</v>
      </c>
      <c r="G7" s="389"/>
      <c r="H7" s="390"/>
      <c r="I7" s="36"/>
      <c r="J7" s="388" t="s">
        <v>36</v>
      </c>
      <c r="K7" s="389"/>
      <c r="L7" s="390"/>
      <c r="M7" s="36"/>
      <c r="N7" s="388" t="s">
        <v>37</v>
      </c>
      <c r="O7" s="389"/>
      <c r="P7" s="390"/>
      <c r="Q7" s="36"/>
      <c r="R7" s="388" t="s">
        <v>35</v>
      </c>
      <c r="S7" s="389"/>
      <c r="T7" s="390"/>
      <c r="U7" s="95"/>
      <c r="V7" s="388" t="s">
        <v>36</v>
      </c>
      <c r="W7" s="389"/>
      <c r="X7" s="390"/>
      <c r="Y7" s="36"/>
      <c r="Z7" s="388" t="s">
        <v>37</v>
      </c>
      <c r="AA7" s="389"/>
      <c r="AB7" s="390"/>
      <c r="AC7" s="29"/>
      <c r="AD7" s="388" t="s">
        <v>35</v>
      </c>
      <c r="AE7" s="389"/>
      <c r="AF7" s="390"/>
      <c r="AG7" s="95"/>
      <c r="AH7" s="388" t="s">
        <v>36</v>
      </c>
      <c r="AI7" s="389"/>
      <c r="AJ7" s="390"/>
      <c r="AK7" s="36"/>
      <c r="AL7" s="388" t="s">
        <v>37</v>
      </c>
      <c r="AM7" s="389"/>
      <c r="AN7" s="390"/>
      <c r="AO7" s="36"/>
      <c r="AP7" s="391" t="s">
        <v>38</v>
      </c>
      <c r="AQ7" s="392"/>
      <c r="AR7" s="392"/>
      <c r="AS7" s="393"/>
      <c r="AT7" s="37"/>
      <c r="AU7" s="391" t="s">
        <v>39</v>
      </c>
      <c r="AV7" s="392"/>
      <c r="AW7" s="392"/>
      <c r="AX7" s="393"/>
      <c r="AY7" s="37"/>
      <c r="AZ7" s="391" t="s">
        <v>40</v>
      </c>
      <c r="BA7" s="392"/>
      <c r="BB7" s="392"/>
      <c r="BC7" s="393"/>
      <c r="BD7" s="38"/>
      <c r="BE7" s="388" t="s">
        <v>35</v>
      </c>
      <c r="BF7" s="389"/>
      <c r="BG7" s="390"/>
      <c r="BH7" s="36"/>
      <c r="BI7" s="388" t="s">
        <v>36</v>
      </c>
      <c r="BJ7" s="389"/>
      <c r="BK7" s="390"/>
      <c r="BL7" s="36"/>
      <c r="BM7" s="388" t="s">
        <v>37</v>
      </c>
      <c r="BN7" s="389"/>
      <c r="BO7" s="390"/>
    </row>
    <row r="8" spans="1:67" ht="18.75" thickBot="1" x14ac:dyDescent="0.3">
      <c r="A8" s="386"/>
      <c r="B8" s="386"/>
      <c r="C8" s="386"/>
      <c r="D8" s="386"/>
      <c r="E8" s="32"/>
      <c r="F8" s="383" t="s">
        <v>41</v>
      </c>
      <c r="G8" s="384"/>
      <c r="H8" s="39">
        <v>1</v>
      </c>
      <c r="I8" s="37"/>
      <c r="J8" s="383" t="s">
        <v>41</v>
      </c>
      <c r="K8" s="384"/>
      <c r="L8" s="39">
        <v>12</v>
      </c>
      <c r="M8" s="37"/>
      <c r="N8" s="383" t="s">
        <v>41</v>
      </c>
      <c r="O8" s="384"/>
      <c r="P8" s="39">
        <v>11</v>
      </c>
      <c r="Q8" s="36"/>
      <c r="R8" s="383" t="s">
        <v>41</v>
      </c>
      <c r="S8" s="384"/>
      <c r="T8" s="39">
        <v>1</v>
      </c>
      <c r="U8" s="95"/>
      <c r="V8" s="383" t="s">
        <v>41</v>
      </c>
      <c r="W8" s="384"/>
      <c r="X8" s="39">
        <v>12</v>
      </c>
      <c r="Y8" s="37"/>
      <c r="Z8" s="383" t="s">
        <v>41</v>
      </c>
      <c r="AA8" s="384"/>
      <c r="AB8" s="39">
        <v>11</v>
      </c>
      <c r="AC8" s="29"/>
      <c r="AD8" s="383" t="s">
        <v>41</v>
      </c>
      <c r="AE8" s="384"/>
      <c r="AF8" s="39">
        <v>1</v>
      </c>
      <c r="AG8" s="95"/>
      <c r="AH8" s="383" t="s">
        <v>41</v>
      </c>
      <c r="AI8" s="384"/>
      <c r="AJ8" s="39">
        <v>12</v>
      </c>
      <c r="AK8" s="37"/>
      <c r="AL8" s="383" t="s">
        <v>41</v>
      </c>
      <c r="AM8" s="384"/>
      <c r="AN8" s="39">
        <v>11</v>
      </c>
      <c r="AO8" s="37"/>
      <c r="AP8" s="394"/>
      <c r="AQ8" s="395"/>
      <c r="AR8" s="395"/>
      <c r="AS8" s="396"/>
      <c r="AT8" s="37"/>
      <c r="AU8" s="394"/>
      <c r="AV8" s="395"/>
      <c r="AW8" s="395"/>
      <c r="AX8" s="396"/>
      <c r="AY8" s="37"/>
      <c r="AZ8" s="394"/>
      <c r="BA8" s="395"/>
      <c r="BB8" s="395"/>
      <c r="BC8" s="396"/>
      <c r="BD8" s="38"/>
      <c r="BE8" s="383" t="s">
        <v>41</v>
      </c>
      <c r="BF8" s="384"/>
      <c r="BG8" s="39">
        <v>1</v>
      </c>
      <c r="BH8" s="37"/>
      <c r="BI8" s="383" t="s">
        <v>41</v>
      </c>
      <c r="BJ8" s="384"/>
      <c r="BK8" s="39">
        <v>12</v>
      </c>
      <c r="BL8" s="37"/>
      <c r="BM8" s="383" t="s">
        <v>41</v>
      </c>
      <c r="BN8" s="384"/>
      <c r="BO8" s="39">
        <v>11</v>
      </c>
    </row>
    <row r="9" spans="1:67" ht="95.25" thickBot="1" x14ac:dyDescent="0.3">
      <c r="A9" s="387"/>
      <c r="B9" s="387"/>
      <c r="C9" s="387"/>
      <c r="D9" s="387"/>
      <c r="E9" s="40"/>
      <c r="F9" s="41" t="s">
        <v>42</v>
      </c>
      <c r="G9" s="41" t="s">
        <v>43</v>
      </c>
      <c r="H9" s="41" t="s">
        <v>44</v>
      </c>
      <c r="I9" s="42"/>
      <c r="J9" s="41" t="s">
        <v>42</v>
      </c>
      <c r="K9" s="41" t="s">
        <v>43</v>
      </c>
      <c r="L9" s="41" t="s">
        <v>45</v>
      </c>
      <c r="M9" s="42"/>
      <c r="N9" s="41" t="s">
        <v>42</v>
      </c>
      <c r="O9" s="41" t="s">
        <v>43</v>
      </c>
      <c r="P9" s="41" t="s">
        <v>46</v>
      </c>
      <c r="Q9" s="43"/>
      <c r="R9" s="41" t="s">
        <v>42</v>
      </c>
      <c r="S9" s="41" t="s">
        <v>43</v>
      </c>
      <c r="T9" s="41" t="s">
        <v>44</v>
      </c>
      <c r="U9" s="96"/>
      <c r="V9" s="41" t="s">
        <v>42</v>
      </c>
      <c r="W9" s="41" t="s">
        <v>43</v>
      </c>
      <c r="X9" s="41" t="s">
        <v>45</v>
      </c>
      <c r="Y9" s="42"/>
      <c r="Z9" s="41" t="s">
        <v>42</v>
      </c>
      <c r="AA9" s="41" t="s">
        <v>43</v>
      </c>
      <c r="AB9" s="41" t="s">
        <v>46</v>
      </c>
      <c r="AC9" s="29"/>
      <c r="AD9" s="41" t="s">
        <v>42</v>
      </c>
      <c r="AE9" s="41" t="s">
        <v>43</v>
      </c>
      <c r="AF9" s="41" t="s">
        <v>44</v>
      </c>
      <c r="AG9" s="96"/>
      <c r="AH9" s="41" t="s">
        <v>42</v>
      </c>
      <c r="AI9" s="41" t="s">
        <v>43</v>
      </c>
      <c r="AJ9" s="41" t="s">
        <v>45</v>
      </c>
      <c r="AK9" s="42"/>
      <c r="AL9" s="41" t="s">
        <v>42</v>
      </c>
      <c r="AM9" s="41" t="s">
        <v>43</v>
      </c>
      <c r="AN9" s="41" t="s">
        <v>46</v>
      </c>
      <c r="AO9" s="42"/>
      <c r="AP9" s="44" t="s">
        <v>47</v>
      </c>
      <c r="AQ9" s="44" t="s">
        <v>48</v>
      </c>
      <c r="AR9" s="44" t="s">
        <v>49</v>
      </c>
      <c r="AS9" s="44" t="s">
        <v>50</v>
      </c>
      <c r="AT9" s="45"/>
      <c r="AU9" s="44" t="s">
        <v>47</v>
      </c>
      <c r="AV9" s="44" t="s">
        <v>48</v>
      </c>
      <c r="AW9" s="44" t="s">
        <v>49</v>
      </c>
      <c r="AX9" s="44" t="s">
        <v>50</v>
      </c>
      <c r="AY9" s="45"/>
      <c r="AZ9" s="44" t="s">
        <v>47</v>
      </c>
      <c r="BA9" s="44" t="s">
        <v>48</v>
      </c>
      <c r="BB9" s="44" t="s">
        <v>49</v>
      </c>
      <c r="BC9" s="44" t="s">
        <v>50</v>
      </c>
      <c r="BD9" s="45"/>
      <c r="BE9" s="46" t="s">
        <v>42</v>
      </c>
      <c r="BF9" s="41" t="s">
        <v>43</v>
      </c>
      <c r="BG9" s="41" t="s">
        <v>44</v>
      </c>
      <c r="BH9" s="42"/>
      <c r="BI9" s="41" t="s">
        <v>42</v>
      </c>
      <c r="BJ9" s="41" t="s">
        <v>43</v>
      </c>
      <c r="BK9" s="41" t="s">
        <v>45</v>
      </c>
      <c r="BL9" s="42"/>
      <c r="BM9" s="41" t="s">
        <v>42</v>
      </c>
      <c r="BN9" s="41" t="s">
        <v>43</v>
      </c>
      <c r="BO9" s="41" t="s">
        <v>46</v>
      </c>
    </row>
    <row r="10" spans="1:67" ht="18.75" thickBot="1" x14ac:dyDescent="0.3">
      <c r="A10" s="377" t="s">
        <v>66</v>
      </c>
      <c r="B10" s="378"/>
      <c r="C10" s="378"/>
      <c r="D10" s="379"/>
      <c r="E10" s="32"/>
      <c r="F10" s="47"/>
      <c r="G10" s="48"/>
      <c r="H10" s="48"/>
      <c r="I10" s="49"/>
      <c r="J10" s="49"/>
      <c r="K10" s="50"/>
      <c r="L10" s="50"/>
      <c r="M10" s="50"/>
      <c r="N10" s="50"/>
      <c r="O10" s="50"/>
      <c r="P10" s="50"/>
      <c r="Q10" s="50"/>
      <c r="R10" s="51"/>
      <c r="S10" s="49"/>
      <c r="T10" s="49"/>
      <c r="U10" s="52"/>
      <c r="V10" s="49"/>
      <c r="W10" s="50"/>
      <c r="X10" s="50"/>
      <c r="Y10" s="50"/>
      <c r="Z10" s="50"/>
      <c r="AA10" s="50"/>
      <c r="AB10" s="97"/>
      <c r="AC10" s="29"/>
      <c r="AD10" s="51"/>
      <c r="AE10" s="49"/>
      <c r="AF10" s="49"/>
      <c r="AG10" s="52"/>
      <c r="AH10" s="49"/>
      <c r="AI10" s="50"/>
      <c r="AJ10" s="50"/>
      <c r="AK10" s="50"/>
      <c r="AL10" s="50"/>
      <c r="AM10" s="50"/>
      <c r="AN10" s="97"/>
      <c r="AO10" s="50"/>
      <c r="AP10" s="53"/>
      <c r="AQ10" s="53"/>
      <c r="AR10" s="53"/>
      <c r="AS10" s="53"/>
      <c r="AU10" s="53"/>
      <c r="AV10" s="53"/>
      <c r="AW10" s="53"/>
      <c r="AX10" s="53"/>
      <c r="AZ10" s="53"/>
      <c r="BA10" s="53"/>
      <c r="BB10" s="53"/>
      <c r="BC10" s="53"/>
      <c r="BE10" s="54"/>
      <c r="BF10" s="55"/>
      <c r="BG10" s="55"/>
      <c r="BH10" s="49"/>
      <c r="BI10" s="49"/>
      <c r="BJ10" s="50"/>
      <c r="BK10" s="50"/>
      <c r="BL10" s="50"/>
      <c r="BM10" s="50"/>
      <c r="BN10" s="50"/>
      <c r="BO10" s="50"/>
    </row>
    <row r="11" spans="1:67" ht="79.5" thickBot="1" x14ac:dyDescent="0.3">
      <c r="A11" s="75">
        <v>1</v>
      </c>
      <c r="B11" s="267" t="s">
        <v>52</v>
      </c>
      <c r="C11" s="56" t="s">
        <v>51</v>
      </c>
      <c r="D11" s="57">
        <v>96</v>
      </c>
      <c r="E11" s="58"/>
      <c r="F11" s="76">
        <v>142458.32999999999</v>
      </c>
      <c r="G11" s="77">
        <f>ROUND(F11*$D11,2)</f>
        <v>13675999.68</v>
      </c>
      <c r="H11" s="78">
        <f>ROUND(G11*$H$8,2)</f>
        <v>13675999.68</v>
      </c>
      <c r="I11" s="59"/>
      <c r="J11" s="76">
        <v>142458.32999999999</v>
      </c>
      <c r="K11" s="82">
        <f>ROUND(J11*$D11,2)</f>
        <v>13675999.68</v>
      </c>
      <c r="L11" s="78">
        <f>ROUND(K11*$L$8,2)</f>
        <v>164111996.16</v>
      </c>
      <c r="M11" s="59"/>
      <c r="N11" s="76">
        <v>142458.32999999999</v>
      </c>
      <c r="O11" s="82">
        <f>ROUND(N11*$D11,2)</f>
        <v>13675999.68</v>
      </c>
      <c r="P11" s="78">
        <f>ROUND(O11*$P$8,2)</f>
        <v>150435996.47999999</v>
      </c>
      <c r="Q11" s="59"/>
      <c r="R11" s="86">
        <v>152540.07</v>
      </c>
      <c r="S11" s="87">
        <f>ROUND(R11*$D11,2)</f>
        <v>14643846.720000001</v>
      </c>
      <c r="T11" s="88">
        <f>ROUND(S11*$T$8,2)</f>
        <v>14643846.720000001</v>
      </c>
      <c r="U11" s="98"/>
      <c r="V11" s="86">
        <v>162424.67000000001</v>
      </c>
      <c r="W11" s="87">
        <f>ROUND(V11*$D11,2)</f>
        <v>15592768.32</v>
      </c>
      <c r="X11" s="92">
        <f>ROUND(W11*$X$8,2)</f>
        <v>187113219.84</v>
      </c>
      <c r="Y11" s="59"/>
      <c r="Z11" s="93">
        <v>170221.05</v>
      </c>
      <c r="AA11" s="87">
        <f>ROUND(Z11*$D11,2)</f>
        <v>16341220.800000001</v>
      </c>
      <c r="AB11" s="88">
        <f>ROUND(AA11*$AB$8,2)</f>
        <v>179753428.80000001</v>
      </c>
      <c r="AC11" s="29"/>
      <c r="AD11" s="105"/>
      <c r="AE11" s="106">
        <f>ROUND(AD11*$D11,2)</f>
        <v>0</v>
      </c>
      <c r="AF11" s="107">
        <f>ROUND(AE11*$T$8,2)</f>
        <v>0</v>
      </c>
      <c r="AG11" s="98"/>
      <c r="AH11" s="105"/>
      <c r="AI11" s="106">
        <f>ROUND(AH11*$D11,2)</f>
        <v>0</v>
      </c>
      <c r="AJ11" s="110">
        <f>ROUND(AI11*$X$8,2)</f>
        <v>0</v>
      </c>
      <c r="AK11" s="59"/>
      <c r="AL11" s="112"/>
      <c r="AM11" s="106">
        <f>ROUND(AL11*$D11,2)</f>
        <v>0</v>
      </c>
      <c r="AN11" s="107">
        <f>ROUND(AM11*$AB$8,2)</f>
        <v>0</v>
      </c>
      <c r="AO11" s="59"/>
      <c r="AP11" s="60">
        <f>ROUND(MIN(F11,R11),2)</f>
        <v>142458.32999999999</v>
      </c>
      <c r="AQ11" s="61">
        <f>ROUND(MAX(F11,R11),2)</f>
        <v>152540.07</v>
      </c>
      <c r="AR11" s="61">
        <f>ROUND(AVERAGE(F11,R11),2)</f>
        <v>147499.20000000001</v>
      </c>
      <c r="AS11" s="62">
        <f>ROUND(AVERAGE(AP11,AR11),2)</f>
        <v>144978.76999999999</v>
      </c>
      <c r="AU11" s="60">
        <f>ROUND(MIN(J11,V11),2)</f>
        <v>142458.32999999999</v>
      </c>
      <c r="AV11" s="61">
        <f>ROUND(MAX(J11,V11),2)</f>
        <v>162424.67000000001</v>
      </c>
      <c r="AW11" s="61">
        <f>ROUND(AVERAGE(J11,V11),2)</f>
        <v>152441.5</v>
      </c>
      <c r="AX11" s="62">
        <f>ROUND(AVERAGE(AU11,AW11),2)</f>
        <v>147449.92000000001</v>
      </c>
      <c r="AZ11" s="60">
        <f>ROUND(MIN(N11,Z11),2)</f>
        <v>142458.32999999999</v>
      </c>
      <c r="BA11" s="61">
        <f>ROUND(MAX(N11,Z11),2)</f>
        <v>170221.05</v>
      </c>
      <c r="BB11" s="61">
        <f>ROUND(AVERAGE(N11,Z11),2)</f>
        <v>156339.69</v>
      </c>
      <c r="BC11" s="62">
        <f>ROUND(AVERAGE(AZ11,BB11),2)</f>
        <v>149399.01</v>
      </c>
      <c r="BE11" s="219">
        <f>AP11</f>
        <v>142458.32999999999</v>
      </c>
      <c r="BF11" s="220">
        <f>ROUND(BE11*$D11,2)</f>
        <v>13675999.68</v>
      </c>
      <c r="BG11" s="221">
        <f>ROUND(BF11*$BG$8,2)</f>
        <v>13675999.68</v>
      </c>
      <c r="BH11" s="59"/>
      <c r="BI11" s="222">
        <f>AU11</f>
        <v>142458.32999999999</v>
      </c>
      <c r="BJ11" s="223">
        <f>ROUND(BI11*$D11,2)</f>
        <v>13675999.68</v>
      </c>
      <c r="BK11" s="224">
        <f>ROUND(BJ11*$BK$8,2)</f>
        <v>164111996.16</v>
      </c>
      <c r="BL11" s="59"/>
      <c r="BM11" s="225">
        <f>AZ11</f>
        <v>142458.32999999999</v>
      </c>
      <c r="BN11" s="106">
        <f>ROUND(BM11*$D11,2)</f>
        <v>13675999.68</v>
      </c>
      <c r="BO11" s="107">
        <f>ROUND(BN11*$BO$8,2)</f>
        <v>150435996.47999999</v>
      </c>
    </row>
    <row r="12" spans="1:67" ht="151.5" thickBot="1" x14ac:dyDescent="0.3">
      <c r="A12" s="75">
        <v>2</v>
      </c>
      <c r="B12" s="267" t="s">
        <v>53</v>
      </c>
      <c r="C12" s="63" t="s">
        <v>51</v>
      </c>
      <c r="D12" s="64">
        <v>494</v>
      </c>
      <c r="E12" s="58"/>
      <c r="F12" s="79">
        <v>21119.58</v>
      </c>
      <c r="G12" s="80">
        <f t="shared" ref="G12:G26" si="0">ROUND(F12*$D12,2)</f>
        <v>10433072.52</v>
      </c>
      <c r="H12" s="81">
        <f t="shared" ref="H12:H26" si="1">ROUND(G12*$H$8,2)</f>
        <v>10433072.52</v>
      </c>
      <c r="I12" s="59"/>
      <c r="J12" s="79">
        <v>21119.58</v>
      </c>
      <c r="K12" s="82">
        <f t="shared" ref="K12:K26" si="2">ROUND(J12*$D12,2)</f>
        <v>10433072.52</v>
      </c>
      <c r="L12" s="78">
        <f t="shared" ref="L12:L26" si="3">ROUND(K12*$L$8,2)</f>
        <v>125196870.23999999</v>
      </c>
      <c r="M12" s="59"/>
      <c r="N12" s="79">
        <v>21119.58</v>
      </c>
      <c r="O12" s="82">
        <f t="shared" ref="O12:O26" si="4">ROUND(N12*$D12,2)</f>
        <v>10433072.52</v>
      </c>
      <c r="P12" s="78">
        <f t="shared" ref="P12:P26" si="5">ROUND(O12*$P$8,2)</f>
        <v>114763797.72</v>
      </c>
      <c r="Q12" s="59"/>
      <c r="R12" s="86">
        <v>63957.37</v>
      </c>
      <c r="S12" s="87">
        <f t="shared" ref="S12:S26" si="6">ROUND(R12*$D12,2)</f>
        <v>31594940.780000001</v>
      </c>
      <c r="T12" s="88">
        <f t="shared" ref="T12:T26" si="7">ROUND(S12*$T$8,2)</f>
        <v>31594940.780000001</v>
      </c>
      <c r="U12" s="98"/>
      <c r="V12" s="86">
        <v>68101.81</v>
      </c>
      <c r="W12" s="87">
        <f t="shared" ref="W12:W26" si="8">ROUND(V12*$D12,2)</f>
        <v>33642294.140000001</v>
      </c>
      <c r="X12" s="92">
        <f t="shared" ref="X12:X26" si="9">ROUND(W12*$X$8,2)</f>
        <v>403707529.68000001</v>
      </c>
      <c r="Y12" s="59"/>
      <c r="Z12" s="94">
        <v>71370.7</v>
      </c>
      <c r="AA12" s="87">
        <f t="shared" ref="AA12:AA26" si="10">ROUND(Z12*$D12,2)</f>
        <v>35257125.799999997</v>
      </c>
      <c r="AB12" s="88">
        <f t="shared" ref="AB12:AB26" si="11">ROUND(AA12*$AB$8,2)</f>
        <v>387828383.80000001</v>
      </c>
      <c r="AC12" s="29"/>
      <c r="AD12" s="105"/>
      <c r="AE12" s="106">
        <f t="shared" ref="AE12:AE26" si="12">ROUND(AD12*$D12,2)</f>
        <v>0</v>
      </c>
      <c r="AF12" s="107">
        <f t="shared" ref="AF12:AF26" si="13">ROUND(AE12*$T$8,2)</f>
        <v>0</v>
      </c>
      <c r="AG12" s="98"/>
      <c r="AH12" s="105"/>
      <c r="AI12" s="106">
        <f t="shared" ref="AI12:AI26" si="14">ROUND(AH12*$D12,2)</f>
        <v>0</v>
      </c>
      <c r="AJ12" s="110">
        <f t="shared" ref="AJ12:AJ26" si="15">ROUND(AI12*$X$8,2)</f>
        <v>0</v>
      </c>
      <c r="AK12" s="59"/>
      <c r="AL12" s="113"/>
      <c r="AM12" s="106">
        <f t="shared" ref="AM12:AM26" si="16">ROUND(AL12*$D12,2)</f>
        <v>0</v>
      </c>
      <c r="AN12" s="107">
        <f t="shared" ref="AN12:AN26" si="17">ROUND(AM12*$AB$8,2)</f>
        <v>0</v>
      </c>
      <c r="AO12" s="59"/>
      <c r="AP12" s="60">
        <f t="shared" ref="AP12:AP26" si="18">ROUND(MIN(F12,R12),2)</f>
        <v>21119.58</v>
      </c>
      <c r="AQ12" s="61">
        <f t="shared" ref="AQ12:AQ26" si="19">ROUND(MAX(F12,R12),2)</f>
        <v>63957.37</v>
      </c>
      <c r="AR12" s="61">
        <f t="shared" ref="AR12:AR26" si="20">ROUND(AVERAGE(F12,R12),2)</f>
        <v>42538.48</v>
      </c>
      <c r="AS12" s="62">
        <f t="shared" ref="AS12:AS26" si="21">ROUND(AVERAGE(AP12,AR12),2)</f>
        <v>31829.03</v>
      </c>
      <c r="AU12" s="60">
        <f t="shared" ref="AU12:AU26" si="22">ROUND(MIN(J12,V12),2)</f>
        <v>21119.58</v>
      </c>
      <c r="AV12" s="61">
        <f t="shared" ref="AV12:AV26" si="23">ROUND(MAX(J12,V12),2)</f>
        <v>68101.81</v>
      </c>
      <c r="AW12" s="61">
        <f t="shared" ref="AW12:AW26" si="24">ROUND(AVERAGE(J12,V12),2)</f>
        <v>44610.7</v>
      </c>
      <c r="AX12" s="62">
        <f t="shared" ref="AX12:AX25" si="25">ROUND(AVERAGE(AU12,AW12),2)</f>
        <v>32865.14</v>
      </c>
      <c r="AZ12" s="60">
        <f t="shared" ref="AZ12:AZ26" si="26">ROUND(MIN(N12,Z12),2)</f>
        <v>21119.58</v>
      </c>
      <c r="BA12" s="61">
        <f t="shared" ref="BA12:BA26" si="27">ROUND(MAX(N12,Z12),2)</f>
        <v>71370.7</v>
      </c>
      <c r="BB12" s="61">
        <f t="shared" ref="BB12:BB26" si="28">ROUND(AVERAGE(N12,Z12),2)</f>
        <v>46245.14</v>
      </c>
      <c r="BC12" s="62">
        <f t="shared" ref="BC12:BC26" si="29">ROUND(AVERAGE(AZ12,BB12),2)</f>
        <v>33682.36</v>
      </c>
      <c r="BE12" s="219">
        <f t="shared" ref="BE12:BE26" si="30">AP12</f>
        <v>21119.58</v>
      </c>
      <c r="BF12" s="220">
        <f t="shared" ref="BF12:BF26" si="31">ROUND(BE12*$D12,2)</f>
        <v>10433072.52</v>
      </c>
      <c r="BG12" s="221">
        <f t="shared" ref="BG12:BG26" si="32">ROUND(BF12*$BG$8,2)</f>
        <v>10433072.52</v>
      </c>
      <c r="BH12" s="59"/>
      <c r="BI12" s="222">
        <f t="shared" ref="BI12:BI26" si="33">AU12</f>
        <v>21119.58</v>
      </c>
      <c r="BJ12" s="223">
        <f t="shared" ref="BJ12:BJ26" si="34">ROUND(BI12*$D12,2)</f>
        <v>10433072.52</v>
      </c>
      <c r="BK12" s="224">
        <f t="shared" ref="BK12:BK26" si="35">ROUND(BJ12*$BK$8,2)</f>
        <v>125196870.23999999</v>
      </c>
      <c r="BL12" s="59"/>
      <c r="BM12" s="225">
        <f t="shared" ref="BM12:BM26" si="36">AZ12</f>
        <v>21119.58</v>
      </c>
      <c r="BN12" s="106">
        <f t="shared" ref="BN12:BN26" si="37">ROUND(BM12*$D12,2)</f>
        <v>10433072.52</v>
      </c>
      <c r="BO12" s="107">
        <f t="shared" ref="BO12:BO26" si="38">ROUND(BN12*$BO$8,2)</f>
        <v>114763797.72</v>
      </c>
    </row>
    <row r="13" spans="1:67" ht="151.5" thickBot="1" x14ac:dyDescent="0.3">
      <c r="A13" s="75">
        <v>3</v>
      </c>
      <c r="B13" s="268" t="s">
        <v>54</v>
      </c>
      <c r="C13" s="63" t="s">
        <v>51</v>
      </c>
      <c r="D13" s="64">
        <v>301</v>
      </c>
      <c r="E13" s="58"/>
      <c r="F13" s="79">
        <v>26270.83</v>
      </c>
      <c r="G13" s="80">
        <f t="shared" si="0"/>
        <v>7907519.8300000001</v>
      </c>
      <c r="H13" s="81">
        <f t="shared" si="1"/>
        <v>7907519.8300000001</v>
      </c>
      <c r="I13" s="59"/>
      <c r="J13" s="79">
        <v>26270.83</v>
      </c>
      <c r="K13" s="82">
        <f t="shared" si="2"/>
        <v>7907519.8300000001</v>
      </c>
      <c r="L13" s="78">
        <f t="shared" si="3"/>
        <v>94890237.959999993</v>
      </c>
      <c r="M13" s="59"/>
      <c r="N13" s="79">
        <v>26270.83</v>
      </c>
      <c r="O13" s="82">
        <f t="shared" si="4"/>
        <v>7907519.8300000001</v>
      </c>
      <c r="P13" s="78">
        <f t="shared" si="5"/>
        <v>86982718.129999995</v>
      </c>
      <c r="Q13" s="59"/>
      <c r="R13" s="86">
        <v>61718.09</v>
      </c>
      <c r="S13" s="87">
        <f t="shared" si="6"/>
        <v>18577145.09</v>
      </c>
      <c r="T13" s="88">
        <f t="shared" si="7"/>
        <v>18577145.09</v>
      </c>
      <c r="U13" s="98"/>
      <c r="V13" s="86">
        <v>65717.42</v>
      </c>
      <c r="W13" s="87">
        <f t="shared" si="8"/>
        <v>19780943.420000002</v>
      </c>
      <c r="X13" s="92">
        <f t="shared" si="9"/>
        <v>237371321.03999999</v>
      </c>
      <c r="Y13" s="59"/>
      <c r="Z13" s="94">
        <v>68871.86</v>
      </c>
      <c r="AA13" s="87">
        <f t="shared" si="10"/>
        <v>20730429.859999999</v>
      </c>
      <c r="AB13" s="88">
        <f t="shared" si="11"/>
        <v>228034728.46000001</v>
      </c>
      <c r="AC13" s="29"/>
      <c r="AD13" s="105"/>
      <c r="AE13" s="106">
        <f t="shared" si="12"/>
        <v>0</v>
      </c>
      <c r="AF13" s="107">
        <f t="shared" si="13"/>
        <v>0</v>
      </c>
      <c r="AG13" s="98"/>
      <c r="AH13" s="105"/>
      <c r="AI13" s="106">
        <f t="shared" si="14"/>
        <v>0</v>
      </c>
      <c r="AJ13" s="110">
        <f t="shared" si="15"/>
        <v>0</v>
      </c>
      <c r="AK13" s="59"/>
      <c r="AL13" s="113"/>
      <c r="AM13" s="106">
        <f t="shared" si="16"/>
        <v>0</v>
      </c>
      <c r="AN13" s="107">
        <f t="shared" si="17"/>
        <v>0</v>
      </c>
      <c r="AO13" s="59"/>
      <c r="AP13" s="60">
        <f t="shared" si="18"/>
        <v>26270.83</v>
      </c>
      <c r="AQ13" s="61">
        <f t="shared" si="19"/>
        <v>61718.09</v>
      </c>
      <c r="AR13" s="61">
        <f t="shared" si="20"/>
        <v>43994.46</v>
      </c>
      <c r="AS13" s="62">
        <f t="shared" si="21"/>
        <v>35132.65</v>
      </c>
      <c r="AU13" s="60">
        <f t="shared" si="22"/>
        <v>26270.83</v>
      </c>
      <c r="AV13" s="61">
        <f t="shared" si="23"/>
        <v>65717.42</v>
      </c>
      <c r="AW13" s="61">
        <f t="shared" si="24"/>
        <v>45994.13</v>
      </c>
      <c r="AX13" s="62">
        <f t="shared" si="25"/>
        <v>36132.480000000003</v>
      </c>
      <c r="AZ13" s="60">
        <f t="shared" si="26"/>
        <v>26270.83</v>
      </c>
      <c r="BA13" s="61">
        <f t="shared" si="27"/>
        <v>68871.86</v>
      </c>
      <c r="BB13" s="61">
        <f t="shared" si="28"/>
        <v>47571.35</v>
      </c>
      <c r="BC13" s="62">
        <f t="shared" si="29"/>
        <v>36921.089999999997</v>
      </c>
      <c r="BE13" s="219">
        <f t="shared" si="30"/>
        <v>26270.83</v>
      </c>
      <c r="BF13" s="220">
        <f t="shared" si="31"/>
        <v>7907519.8300000001</v>
      </c>
      <c r="BG13" s="221">
        <f t="shared" si="32"/>
        <v>7907519.8300000001</v>
      </c>
      <c r="BH13" s="59"/>
      <c r="BI13" s="222">
        <f t="shared" si="33"/>
        <v>26270.83</v>
      </c>
      <c r="BJ13" s="223">
        <f t="shared" si="34"/>
        <v>7907519.8300000001</v>
      </c>
      <c r="BK13" s="224">
        <f t="shared" si="35"/>
        <v>94890237.959999993</v>
      </c>
      <c r="BL13" s="59"/>
      <c r="BM13" s="225">
        <f t="shared" si="36"/>
        <v>26270.83</v>
      </c>
      <c r="BN13" s="106">
        <f t="shared" si="37"/>
        <v>7907519.8300000001</v>
      </c>
      <c r="BO13" s="107">
        <f t="shared" si="38"/>
        <v>86982718.129999995</v>
      </c>
    </row>
    <row r="14" spans="1:67" ht="166.5" thickBot="1" x14ac:dyDescent="0.3">
      <c r="A14" s="75">
        <v>4</v>
      </c>
      <c r="B14" s="267" t="s">
        <v>55</v>
      </c>
      <c r="C14" s="63" t="s">
        <v>51</v>
      </c>
      <c r="D14" s="64">
        <v>92</v>
      </c>
      <c r="E14" s="58"/>
      <c r="F14" s="79">
        <v>157787.5</v>
      </c>
      <c r="G14" s="80">
        <f t="shared" si="0"/>
        <v>14516450</v>
      </c>
      <c r="H14" s="81">
        <f t="shared" si="1"/>
        <v>14516450</v>
      </c>
      <c r="I14" s="59"/>
      <c r="J14" s="79">
        <v>157787.5</v>
      </c>
      <c r="K14" s="82">
        <f t="shared" si="2"/>
        <v>14516450</v>
      </c>
      <c r="L14" s="78">
        <f t="shared" si="3"/>
        <v>174197400</v>
      </c>
      <c r="M14" s="59"/>
      <c r="N14" s="79">
        <v>157787.5</v>
      </c>
      <c r="O14" s="82">
        <f t="shared" si="4"/>
        <v>14516450</v>
      </c>
      <c r="P14" s="78">
        <f t="shared" si="5"/>
        <v>159680950</v>
      </c>
      <c r="Q14" s="59"/>
      <c r="R14" s="86">
        <v>320753.90000000002</v>
      </c>
      <c r="S14" s="87">
        <f t="shared" si="6"/>
        <v>29509358.800000001</v>
      </c>
      <c r="T14" s="88">
        <f t="shared" si="7"/>
        <v>29509358.800000001</v>
      </c>
      <c r="U14" s="98"/>
      <c r="V14" s="86">
        <v>341538.75</v>
      </c>
      <c r="W14" s="87">
        <f t="shared" si="8"/>
        <v>31421565</v>
      </c>
      <c r="X14" s="92">
        <f t="shared" si="9"/>
        <v>377058780</v>
      </c>
      <c r="Y14" s="59"/>
      <c r="Z14" s="94">
        <v>357932.61</v>
      </c>
      <c r="AA14" s="87">
        <f t="shared" si="10"/>
        <v>32929800.120000001</v>
      </c>
      <c r="AB14" s="88">
        <f t="shared" si="11"/>
        <v>362227801.31999999</v>
      </c>
      <c r="AC14" s="29"/>
      <c r="AD14" s="105"/>
      <c r="AE14" s="106">
        <f t="shared" si="12"/>
        <v>0</v>
      </c>
      <c r="AF14" s="107">
        <f t="shared" si="13"/>
        <v>0</v>
      </c>
      <c r="AG14" s="98"/>
      <c r="AH14" s="105"/>
      <c r="AI14" s="106">
        <f t="shared" si="14"/>
        <v>0</v>
      </c>
      <c r="AJ14" s="110">
        <f t="shared" si="15"/>
        <v>0</v>
      </c>
      <c r="AK14" s="59"/>
      <c r="AL14" s="113"/>
      <c r="AM14" s="106">
        <f t="shared" si="16"/>
        <v>0</v>
      </c>
      <c r="AN14" s="107">
        <f t="shared" si="17"/>
        <v>0</v>
      </c>
      <c r="AO14" s="59"/>
      <c r="AP14" s="60">
        <f t="shared" si="18"/>
        <v>157787.5</v>
      </c>
      <c r="AQ14" s="61">
        <f t="shared" si="19"/>
        <v>320753.90000000002</v>
      </c>
      <c r="AR14" s="61">
        <f t="shared" si="20"/>
        <v>239270.7</v>
      </c>
      <c r="AS14" s="62">
        <f t="shared" si="21"/>
        <v>198529.1</v>
      </c>
      <c r="AU14" s="60">
        <f t="shared" si="22"/>
        <v>157787.5</v>
      </c>
      <c r="AV14" s="61">
        <f t="shared" si="23"/>
        <v>341538.75</v>
      </c>
      <c r="AW14" s="61">
        <f t="shared" si="24"/>
        <v>249663.13</v>
      </c>
      <c r="AX14" s="62">
        <f t="shared" si="25"/>
        <v>203725.32</v>
      </c>
      <c r="AZ14" s="60">
        <f t="shared" si="26"/>
        <v>157787.5</v>
      </c>
      <c r="BA14" s="61">
        <f t="shared" si="27"/>
        <v>357932.61</v>
      </c>
      <c r="BB14" s="61">
        <f t="shared" si="28"/>
        <v>257860.06</v>
      </c>
      <c r="BC14" s="62">
        <f t="shared" si="29"/>
        <v>207823.78</v>
      </c>
      <c r="BE14" s="219">
        <f t="shared" si="30"/>
        <v>157787.5</v>
      </c>
      <c r="BF14" s="220">
        <f t="shared" si="31"/>
        <v>14516450</v>
      </c>
      <c r="BG14" s="221">
        <f t="shared" si="32"/>
        <v>14516450</v>
      </c>
      <c r="BH14" s="59"/>
      <c r="BI14" s="222">
        <f t="shared" si="33"/>
        <v>157787.5</v>
      </c>
      <c r="BJ14" s="223">
        <f t="shared" si="34"/>
        <v>14516450</v>
      </c>
      <c r="BK14" s="224">
        <f t="shared" si="35"/>
        <v>174197400</v>
      </c>
      <c r="BL14" s="59"/>
      <c r="BM14" s="225">
        <f t="shared" si="36"/>
        <v>157787.5</v>
      </c>
      <c r="BN14" s="106">
        <f t="shared" si="37"/>
        <v>14516450</v>
      </c>
      <c r="BO14" s="107">
        <f t="shared" si="38"/>
        <v>159680950</v>
      </c>
    </row>
    <row r="15" spans="1:67" ht="227.25" thickBot="1" x14ac:dyDescent="0.3">
      <c r="A15" s="75">
        <v>5</v>
      </c>
      <c r="B15" s="268" t="s">
        <v>56</v>
      </c>
      <c r="C15" s="63" t="s">
        <v>51</v>
      </c>
      <c r="D15" s="64">
        <v>95</v>
      </c>
      <c r="E15" s="58"/>
      <c r="F15" s="79">
        <v>175127.17</v>
      </c>
      <c r="G15" s="80">
        <f t="shared" si="0"/>
        <v>16637081.15</v>
      </c>
      <c r="H15" s="81">
        <f t="shared" si="1"/>
        <v>16637081.15</v>
      </c>
      <c r="I15" s="59"/>
      <c r="J15" s="79">
        <v>175127.17</v>
      </c>
      <c r="K15" s="82">
        <f t="shared" si="2"/>
        <v>16637081.15</v>
      </c>
      <c r="L15" s="78">
        <f t="shared" si="3"/>
        <v>199644973.80000001</v>
      </c>
      <c r="M15" s="59"/>
      <c r="N15" s="79">
        <v>175127.17</v>
      </c>
      <c r="O15" s="82">
        <f t="shared" si="4"/>
        <v>16637081.15</v>
      </c>
      <c r="P15" s="78">
        <f t="shared" si="5"/>
        <v>183007892.65000001</v>
      </c>
      <c r="Q15" s="59"/>
      <c r="R15" s="86">
        <v>218549.52</v>
      </c>
      <c r="S15" s="87">
        <f t="shared" si="6"/>
        <v>20762204.399999999</v>
      </c>
      <c r="T15" s="88">
        <f t="shared" si="7"/>
        <v>20762204.399999999</v>
      </c>
      <c r="U15" s="98"/>
      <c r="V15" s="86">
        <v>232711.53</v>
      </c>
      <c r="W15" s="87">
        <f t="shared" si="8"/>
        <v>22107595.350000001</v>
      </c>
      <c r="X15" s="92">
        <f t="shared" si="9"/>
        <v>265291144.19999999</v>
      </c>
      <c r="Y15" s="59"/>
      <c r="Z15" s="94">
        <v>243881.68</v>
      </c>
      <c r="AA15" s="87">
        <f t="shared" si="10"/>
        <v>23168759.600000001</v>
      </c>
      <c r="AB15" s="88">
        <f t="shared" si="11"/>
        <v>254856355.59999999</v>
      </c>
      <c r="AC15" s="29"/>
      <c r="AD15" s="105"/>
      <c r="AE15" s="106">
        <f t="shared" si="12"/>
        <v>0</v>
      </c>
      <c r="AF15" s="107">
        <f t="shared" si="13"/>
        <v>0</v>
      </c>
      <c r="AG15" s="98"/>
      <c r="AH15" s="105"/>
      <c r="AI15" s="106">
        <f t="shared" si="14"/>
        <v>0</v>
      </c>
      <c r="AJ15" s="110">
        <f t="shared" si="15"/>
        <v>0</v>
      </c>
      <c r="AK15" s="59"/>
      <c r="AL15" s="113"/>
      <c r="AM15" s="106">
        <f t="shared" si="16"/>
        <v>0</v>
      </c>
      <c r="AN15" s="107">
        <f t="shared" si="17"/>
        <v>0</v>
      </c>
      <c r="AO15" s="59"/>
      <c r="AP15" s="60">
        <f t="shared" si="18"/>
        <v>175127.17</v>
      </c>
      <c r="AQ15" s="61">
        <f t="shared" si="19"/>
        <v>218549.52</v>
      </c>
      <c r="AR15" s="61">
        <f t="shared" si="20"/>
        <v>196838.35</v>
      </c>
      <c r="AS15" s="62">
        <f t="shared" si="21"/>
        <v>185982.76</v>
      </c>
      <c r="AU15" s="60">
        <f t="shared" si="22"/>
        <v>175127.17</v>
      </c>
      <c r="AV15" s="61">
        <f t="shared" si="23"/>
        <v>232711.53</v>
      </c>
      <c r="AW15" s="61">
        <f t="shared" si="24"/>
        <v>203919.35</v>
      </c>
      <c r="AX15" s="62">
        <f t="shared" si="25"/>
        <v>189523.26</v>
      </c>
      <c r="AZ15" s="60">
        <f t="shared" si="26"/>
        <v>175127.17</v>
      </c>
      <c r="BA15" s="61">
        <f t="shared" si="27"/>
        <v>243881.68</v>
      </c>
      <c r="BB15" s="61">
        <f t="shared" si="28"/>
        <v>209504.43</v>
      </c>
      <c r="BC15" s="62">
        <f t="shared" si="29"/>
        <v>192315.8</v>
      </c>
      <c r="BE15" s="219">
        <f t="shared" si="30"/>
        <v>175127.17</v>
      </c>
      <c r="BF15" s="220">
        <f t="shared" si="31"/>
        <v>16637081.15</v>
      </c>
      <c r="BG15" s="221">
        <f t="shared" si="32"/>
        <v>16637081.15</v>
      </c>
      <c r="BH15" s="59"/>
      <c r="BI15" s="222">
        <f t="shared" si="33"/>
        <v>175127.17</v>
      </c>
      <c r="BJ15" s="223">
        <f t="shared" si="34"/>
        <v>16637081.15</v>
      </c>
      <c r="BK15" s="224">
        <f t="shared" si="35"/>
        <v>199644973.80000001</v>
      </c>
      <c r="BL15" s="59"/>
      <c r="BM15" s="225">
        <f t="shared" si="36"/>
        <v>175127.17</v>
      </c>
      <c r="BN15" s="106">
        <f t="shared" si="37"/>
        <v>16637081.15</v>
      </c>
      <c r="BO15" s="107">
        <f t="shared" si="38"/>
        <v>183007892.65000001</v>
      </c>
    </row>
    <row r="16" spans="1:67" ht="79.5" thickBot="1" x14ac:dyDescent="0.3">
      <c r="A16" s="75">
        <v>6</v>
      </c>
      <c r="B16" s="269" t="s">
        <v>57</v>
      </c>
      <c r="C16" s="63" t="s">
        <v>51</v>
      </c>
      <c r="D16" s="57">
        <v>28</v>
      </c>
      <c r="E16" s="58"/>
      <c r="F16" s="79">
        <v>67545.83</v>
      </c>
      <c r="G16" s="80">
        <f t="shared" si="0"/>
        <v>1891283.24</v>
      </c>
      <c r="H16" s="81">
        <f t="shared" si="1"/>
        <v>1891283.24</v>
      </c>
      <c r="I16" s="59"/>
      <c r="J16" s="79">
        <v>67545.83</v>
      </c>
      <c r="K16" s="82">
        <f t="shared" si="2"/>
        <v>1891283.24</v>
      </c>
      <c r="L16" s="78">
        <f t="shared" si="3"/>
        <v>22695398.879999999</v>
      </c>
      <c r="M16" s="59"/>
      <c r="N16" s="79">
        <v>67545.83</v>
      </c>
      <c r="O16" s="82">
        <f t="shared" si="4"/>
        <v>1891283.24</v>
      </c>
      <c r="P16" s="78">
        <f t="shared" si="5"/>
        <v>20804115.640000001</v>
      </c>
      <c r="Q16" s="59"/>
      <c r="R16" s="86">
        <v>450544.7</v>
      </c>
      <c r="S16" s="87">
        <f t="shared" si="6"/>
        <v>12615251.6</v>
      </c>
      <c r="T16" s="88">
        <f t="shared" si="7"/>
        <v>12615251.6</v>
      </c>
      <c r="U16" s="98"/>
      <c r="V16" s="86">
        <v>479740</v>
      </c>
      <c r="W16" s="87">
        <f t="shared" si="8"/>
        <v>13432720</v>
      </c>
      <c r="X16" s="92">
        <f t="shared" si="9"/>
        <v>161192640</v>
      </c>
      <c r="Y16" s="59"/>
      <c r="Z16" s="94">
        <v>502767.52</v>
      </c>
      <c r="AA16" s="87">
        <f t="shared" si="10"/>
        <v>14077490.560000001</v>
      </c>
      <c r="AB16" s="88">
        <f t="shared" si="11"/>
        <v>154852396.16</v>
      </c>
      <c r="AC16" s="29"/>
      <c r="AD16" s="105"/>
      <c r="AE16" s="106">
        <f t="shared" si="12"/>
        <v>0</v>
      </c>
      <c r="AF16" s="107">
        <f t="shared" si="13"/>
        <v>0</v>
      </c>
      <c r="AG16" s="98"/>
      <c r="AH16" s="105"/>
      <c r="AI16" s="106">
        <f t="shared" si="14"/>
        <v>0</v>
      </c>
      <c r="AJ16" s="110">
        <f t="shared" si="15"/>
        <v>0</v>
      </c>
      <c r="AK16" s="59"/>
      <c r="AL16" s="113"/>
      <c r="AM16" s="106">
        <f t="shared" si="16"/>
        <v>0</v>
      </c>
      <c r="AN16" s="107">
        <f t="shared" si="17"/>
        <v>0</v>
      </c>
      <c r="AO16" s="59"/>
      <c r="AP16" s="60">
        <f t="shared" si="18"/>
        <v>67545.83</v>
      </c>
      <c r="AQ16" s="61">
        <f t="shared" si="19"/>
        <v>450544.7</v>
      </c>
      <c r="AR16" s="61">
        <f t="shared" si="20"/>
        <v>259045.27</v>
      </c>
      <c r="AS16" s="62">
        <f t="shared" si="21"/>
        <v>163295.54999999999</v>
      </c>
      <c r="AU16" s="60">
        <f t="shared" si="22"/>
        <v>67545.83</v>
      </c>
      <c r="AV16" s="61">
        <f t="shared" si="23"/>
        <v>479740</v>
      </c>
      <c r="AW16" s="61">
        <f t="shared" si="24"/>
        <v>273642.92</v>
      </c>
      <c r="AX16" s="62">
        <f t="shared" si="25"/>
        <v>170594.38</v>
      </c>
      <c r="AZ16" s="60">
        <f t="shared" si="26"/>
        <v>67545.83</v>
      </c>
      <c r="BA16" s="61">
        <f t="shared" si="27"/>
        <v>502767.52</v>
      </c>
      <c r="BB16" s="61">
        <f t="shared" si="28"/>
        <v>285156.68</v>
      </c>
      <c r="BC16" s="62">
        <f t="shared" si="29"/>
        <v>176351.26</v>
      </c>
      <c r="BE16" s="219">
        <f t="shared" si="30"/>
        <v>67545.83</v>
      </c>
      <c r="BF16" s="220">
        <f t="shared" si="31"/>
        <v>1891283.24</v>
      </c>
      <c r="BG16" s="221">
        <f t="shared" si="32"/>
        <v>1891283.24</v>
      </c>
      <c r="BH16" s="59"/>
      <c r="BI16" s="222">
        <f t="shared" si="33"/>
        <v>67545.83</v>
      </c>
      <c r="BJ16" s="223">
        <f t="shared" si="34"/>
        <v>1891283.24</v>
      </c>
      <c r="BK16" s="224">
        <f t="shared" si="35"/>
        <v>22695398.879999999</v>
      </c>
      <c r="BL16" s="59"/>
      <c r="BM16" s="225">
        <f t="shared" si="36"/>
        <v>67545.83</v>
      </c>
      <c r="BN16" s="106">
        <f t="shared" si="37"/>
        <v>1891283.24</v>
      </c>
      <c r="BO16" s="107">
        <f t="shared" si="38"/>
        <v>20804115.640000001</v>
      </c>
    </row>
    <row r="17" spans="1:67" ht="317.25" thickBot="1" x14ac:dyDescent="0.3">
      <c r="A17" s="75">
        <v>7</v>
      </c>
      <c r="B17" s="267" t="s">
        <v>58</v>
      </c>
      <c r="C17" s="63" t="s">
        <v>51</v>
      </c>
      <c r="D17" s="57">
        <v>44</v>
      </c>
      <c r="E17" s="58"/>
      <c r="F17" s="79">
        <v>173333.33</v>
      </c>
      <c r="G17" s="80">
        <f t="shared" si="0"/>
        <v>7626666.5199999996</v>
      </c>
      <c r="H17" s="81">
        <f t="shared" si="1"/>
        <v>7626666.5199999996</v>
      </c>
      <c r="I17" s="59"/>
      <c r="J17" s="79">
        <v>173333.33</v>
      </c>
      <c r="K17" s="82">
        <f t="shared" si="2"/>
        <v>7626666.5199999996</v>
      </c>
      <c r="L17" s="78">
        <f t="shared" si="3"/>
        <v>91519998.239999995</v>
      </c>
      <c r="M17" s="59"/>
      <c r="N17" s="79">
        <v>173333.33</v>
      </c>
      <c r="O17" s="82">
        <f t="shared" si="4"/>
        <v>7626666.5199999996</v>
      </c>
      <c r="P17" s="78">
        <f t="shared" si="5"/>
        <v>83893331.719999999</v>
      </c>
      <c r="Q17" s="59"/>
      <c r="R17" s="86">
        <v>247495.77</v>
      </c>
      <c r="S17" s="87">
        <f t="shared" si="6"/>
        <v>10889813.880000001</v>
      </c>
      <c r="T17" s="88">
        <f t="shared" si="7"/>
        <v>10889813.880000001</v>
      </c>
      <c r="U17" s="98"/>
      <c r="V17" s="86">
        <v>263533.5</v>
      </c>
      <c r="W17" s="87">
        <f t="shared" si="8"/>
        <v>11595474</v>
      </c>
      <c r="X17" s="92">
        <f t="shared" si="9"/>
        <v>139145688</v>
      </c>
      <c r="Y17" s="59"/>
      <c r="Z17" s="94">
        <v>276183.11</v>
      </c>
      <c r="AA17" s="87">
        <f t="shared" si="10"/>
        <v>12152056.84</v>
      </c>
      <c r="AB17" s="88">
        <f t="shared" si="11"/>
        <v>133672625.23999999</v>
      </c>
      <c r="AC17" s="29"/>
      <c r="AD17" s="105"/>
      <c r="AE17" s="106">
        <f t="shared" si="12"/>
        <v>0</v>
      </c>
      <c r="AF17" s="107">
        <f t="shared" si="13"/>
        <v>0</v>
      </c>
      <c r="AG17" s="98"/>
      <c r="AH17" s="105"/>
      <c r="AI17" s="106">
        <f t="shared" si="14"/>
        <v>0</v>
      </c>
      <c r="AJ17" s="110">
        <f t="shared" si="15"/>
        <v>0</v>
      </c>
      <c r="AK17" s="59"/>
      <c r="AL17" s="113"/>
      <c r="AM17" s="106">
        <f t="shared" si="16"/>
        <v>0</v>
      </c>
      <c r="AN17" s="107">
        <f t="shared" si="17"/>
        <v>0</v>
      </c>
      <c r="AO17" s="59"/>
      <c r="AP17" s="60">
        <f t="shared" si="18"/>
        <v>173333.33</v>
      </c>
      <c r="AQ17" s="61">
        <f t="shared" si="19"/>
        <v>247495.77</v>
      </c>
      <c r="AR17" s="61">
        <f t="shared" si="20"/>
        <v>210414.55</v>
      </c>
      <c r="AS17" s="62">
        <f t="shared" si="21"/>
        <v>191873.94</v>
      </c>
      <c r="AU17" s="60">
        <f t="shared" si="22"/>
        <v>173333.33</v>
      </c>
      <c r="AV17" s="61">
        <f t="shared" si="23"/>
        <v>263533.5</v>
      </c>
      <c r="AW17" s="61">
        <f t="shared" si="24"/>
        <v>218433.42</v>
      </c>
      <c r="AX17" s="62">
        <f t="shared" si="25"/>
        <v>195883.38</v>
      </c>
      <c r="AZ17" s="60">
        <f t="shared" si="26"/>
        <v>173333.33</v>
      </c>
      <c r="BA17" s="61">
        <f t="shared" si="27"/>
        <v>276183.11</v>
      </c>
      <c r="BB17" s="61">
        <f t="shared" si="28"/>
        <v>224758.22</v>
      </c>
      <c r="BC17" s="62">
        <f t="shared" si="29"/>
        <v>199045.78</v>
      </c>
      <c r="BE17" s="219">
        <f t="shared" si="30"/>
        <v>173333.33</v>
      </c>
      <c r="BF17" s="220">
        <f t="shared" si="31"/>
        <v>7626666.5199999996</v>
      </c>
      <c r="BG17" s="221">
        <f t="shared" si="32"/>
        <v>7626666.5199999996</v>
      </c>
      <c r="BH17" s="59"/>
      <c r="BI17" s="222">
        <f t="shared" si="33"/>
        <v>173333.33</v>
      </c>
      <c r="BJ17" s="223">
        <f t="shared" si="34"/>
        <v>7626666.5199999996</v>
      </c>
      <c r="BK17" s="224">
        <f t="shared" si="35"/>
        <v>91519998.239999995</v>
      </c>
      <c r="BL17" s="59"/>
      <c r="BM17" s="225">
        <f t="shared" si="36"/>
        <v>173333.33</v>
      </c>
      <c r="BN17" s="106">
        <f t="shared" si="37"/>
        <v>7626666.5199999996</v>
      </c>
      <c r="BO17" s="107">
        <f t="shared" si="38"/>
        <v>83893331.719999999</v>
      </c>
    </row>
    <row r="18" spans="1:67" ht="167.25" thickBot="1" x14ac:dyDescent="0.3">
      <c r="A18" s="75">
        <v>8</v>
      </c>
      <c r="B18" s="267" t="s">
        <v>59</v>
      </c>
      <c r="C18" s="63" t="s">
        <v>51</v>
      </c>
      <c r="D18" s="64">
        <v>56</v>
      </c>
      <c r="E18" s="58"/>
      <c r="F18" s="79">
        <v>243750</v>
      </c>
      <c r="G18" s="80">
        <f t="shared" si="0"/>
        <v>13650000</v>
      </c>
      <c r="H18" s="81">
        <f t="shared" si="1"/>
        <v>13650000</v>
      </c>
      <c r="I18" s="59"/>
      <c r="J18" s="79">
        <v>243750</v>
      </c>
      <c r="K18" s="82">
        <f t="shared" si="2"/>
        <v>13650000</v>
      </c>
      <c r="L18" s="78">
        <f t="shared" si="3"/>
        <v>163800000</v>
      </c>
      <c r="M18" s="59"/>
      <c r="N18" s="79">
        <v>243750</v>
      </c>
      <c r="O18" s="82">
        <f t="shared" si="4"/>
        <v>13650000</v>
      </c>
      <c r="P18" s="78">
        <f t="shared" si="5"/>
        <v>150150000</v>
      </c>
      <c r="Q18" s="59"/>
      <c r="R18" s="86">
        <v>436499.33</v>
      </c>
      <c r="S18" s="87">
        <f t="shared" si="6"/>
        <v>24443962.48</v>
      </c>
      <c r="T18" s="88">
        <f t="shared" si="7"/>
        <v>24443962.48</v>
      </c>
      <c r="U18" s="98"/>
      <c r="V18" s="86">
        <v>464784.49</v>
      </c>
      <c r="W18" s="87">
        <f t="shared" si="8"/>
        <v>26027931.440000001</v>
      </c>
      <c r="X18" s="92">
        <f t="shared" si="9"/>
        <v>312335177.27999997</v>
      </c>
      <c r="Y18" s="59"/>
      <c r="Z18" s="94">
        <v>487094.15</v>
      </c>
      <c r="AA18" s="87">
        <f t="shared" si="10"/>
        <v>27277272.399999999</v>
      </c>
      <c r="AB18" s="88">
        <f t="shared" si="11"/>
        <v>300049996.39999998</v>
      </c>
      <c r="AC18" s="29"/>
      <c r="AD18" s="105"/>
      <c r="AE18" s="106">
        <f t="shared" si="12"/>
        <v>0</v>
      </c>
      <c r="AF18" s="107">
        <f t="shared" si="13"/>
        <v>0</v>
      </c>
      <c r="AG18" s="98"/>
      <c r="AH18" s="105"/>
      <c r="AI18" s="106">
        <f t="shared" si="14"/>
        <v>0</v>
      </c>
      <c r="AJ18" s="110">
        <f t="shared" si="15"/>
        <v>0</v>
      </c>
      <c r="AK18" s="59"/>
      <c r="AL18" s="113"/>
      <c r="AM18" s="106">
        <f t="shared" si="16"/>
        <v>0</v>
      </c>
      <c r="AN18" s="107">
        <f t="shared" si="17"/>
        <v>0</v>
      </c>
      <c r="AO18" s="59"/>
      <c r="AP18" s="60">
        <f t="shared" si="18"/>
        <v>243750</v>
      </c>
      <c r="AQ18" s="61">
        <f t="shared" si="19"/>
        <v>436499.33</v>
      </c>
      <c r="AR18" s="61">
        <f t="shared" si="20"/>
        <v>340124.67</v>
      </c>
      <c r="AS18" s="62">
        <f t="shared" si="21"/>
        <v>291937.34000000003</v>
      </c>
      <c r="AU18" s="60">
        <f t="shared" si="22"/>
        <v>243750</v>
      </c>
      <c r="AV18" s="61">
        <f t="shared" si="23"/>
        <v>464784.49</v>
      </c>
      <c r="AW18" s="61">
        <f t="shared" si="24"/>
        <v>354267.25</v>
      </c>
      <c r="AX18" s="62">
        <f t="shared" si="25"/>
        <v>299008.63</v>
      </c>
      <c r="AZ18" s="60">
        <f t="shared" si="26"/>
        <v>243750</v>
      </c>
      <c r="BA18" s="61">
        <f t="shared" si="27"/>
        <v>487094.15</v>
      </c>
      <c r="BB18" s="61">
        <f t="shared" si="28"/>
        <v>365422.08000000002</v>
      </c>
      <c r="BC18" s="62">
        <f t="shared" si="29"/>
        <v>304586.03999999998</v>
      </c>
      <c r="BE18" s="219">
        <f t="shared" si="30"/>
        <v>243750</v>
      </c>
      <c r="BF18" s="220">
        <f t="shared" si="31"/>
        <v>13650000</v>
      </c>
      <c r="BG18" s="221">
        <f t="shared" si="32"/>
        <v>13650000</v>
      </c>
      <c r="BH18" s="59"/>
      <c r="BI18" s="222">
        <f t="shared" si="33"/>
        <v>243750</v>
      </c>
      <c r="BJ18" s="223">
        <f t="shared" si="34"/>
        <v>13650000</v>
      </c>
      <c r="BK18" s="224">
        <f t="shared" si="35"/>
        <v>163800000</v>
      </c>
      <c r="BL18" s="59"/>
      <c r="BM18" s="225">
        <f t="shared" si="36"/>
        <v>243750</v>
      </c>
      <c r="BN18" s="106">
        <f t="shared" si="37"/>
        <v>13650000</v>
      </c>
      <c r="BO18" s="107">
        <f t="shared" si="38"/>
        <v>150150000</v>
      </c>
    </row>
    <row r="19" spans="1:67" ht="226.5" thickBot="1" x14ac:dyDescent="0.3">
      <c r="A19" s="75">
        <v>9</v>
      </c>
      <c r="B19" s="267" t="s">
        <v>60</v>
      </c>
      <c r="C19" s="63" t="s">
        <v>51</v>
      </c>
      <c r="D19" s="64">
        <v>10</v>
      </c>
      <c r="E19" s="58"/>
      <c r="F19" s="79">
        <v>886816.67</v>
      </c>
      <c r="G19" s="80">
        <f t="shared" si="0"/>
        <v>8868166.6999999993</v>
      </c>
      <c r="H19" s="81">
        <f t="shared" si="1"/>
        <v>8868166.6999999993</v>
      </c>
      <c r="I19" s="59"/>
      <c r="J19" s="79">
        <v>886816.67</v>
      </c>
      <c r="K19" s="82">
        <f t="shared" si="2"/>
        <v>8868166.6999999993</v>
      </c>
      <c r="L19" s="78">
        <f t="shared" si="3"/>
        <v>106418000.40000001</v>
      </c>
      <c r="M19" s="59"/>
      <c r="N19" s="79">
        <v>886816.67</v>
      </c>
      <c r="O19" s="82">
        <f t="shared" si="4"/>
        <v>8868166.6999999993</v>
      </c>
      <c r="P19" s="78">
        <f t="shared" si="5"/>
        <v>97549833.700000003</v>
      </c>
      <c r="Q19" s="59"/>
      <c r="R19" s="86">
        <v>427295.9</v>
      </c>
      <c r="S19" s="87">
        <f t="shared" si="6"/>
        <v>4272959</v>
      </c>
      <c r="T19" s="88">
        <f t="shared" si="7"/>
        <v>4272959</v>
      </c>
      <c r="U19" s="98"/>
      <c r="V19" s="86">
        <v>454984.67</v>
      </c>
      <c r="W19" s="87">
        <f t="shared" si="8"/>
        <v>4549846.7</v>
      </c>
      <c r="X19" s="92">
        <f t="shared" si="9"/>
        <v>54598160.399999999</v>
      </c>
      <c r="Y19" s="59"/>
      <c r="Z19" s="94">
        <v>476823.93</v>
      </c>
      <c r="AA19" s="87">
        <f t="shared" si="10"/>
        <v>4768239.3</v>
      </c>
      <c r="AB19" s="88">
        <f t="shared" si="11"/>
        <v>52450632.299999997</v>
      </c>
      <c r="AC19" s="29"/>
      <c r="AD19" s="105"/>
      <c r="AE19" s="106">
        <f t="shared" si="12"/>
        <v>0</v>
      </c>
      <c r="AF19" s="107">
        <f t="shared" si="13"/>
        <v>0</v>
      </c>
      <c r="AG19" s="98"/>
      <c r="AH19" s="105"/>
      <c r="AI19" s="106">
        <f t="shared" si="14"/>
        <v>0</v>
      </c>
      <c r="AJ19" s="110">
        <f t="shared" si="15"/>
        <v>0</v>
      </c>
      <c r="AK19" s="59"/>
      <c r="AL19" s="113"/>
      <c r="AM19" s="106">
        <f t="shared" si="16"/>
        <v>0</v>
      </c>
      <c r="AN19" s="107">
        <f t="shared" si="17"/>
        <v>0</v>
      </c>
      <c r="AO19" s="59"/>
      <c r="AP19" s="60">
        <f t="shared" si="18"/>
        <v>427295.9</v>
      </c>
      <c r="AQ19" s="61">
        <f t="shared" si="19"/>
        <v>886816.67</v>
      </c>
      <c r="AR19" s="61">
        <f t="shared" si="20"/>
        <v>657056.29</v>
      </c>
      <c r="AS19" s="62">
        <f t="shared" si="21"/>
        <v>542176.1</v>
      </c>
      <c r="AU19" s="60">
        <f t="shared" si="22"/>
        <v>454984.67</v>
      </c>
      <c r="AV19" s="61">
        <f t="shared" si="23"/>
        <v>886816.67</v>
      </c>
      <c r="AW19" s="61">
        <f t="shared" si="24"/>
        <v>670900.67000000004</v>
      </c>
      <c r="AX19" s="62">
        <f t="shared" si="25"/>
        <v>562942.67000000004</v>
      </c>
      <c r="AZ19" s="60">
        <f t="shared" si="26"/>
        <v>476823.93</v>
      </c>
      <c r="BA19" s="61">
        <f t="shared" si="27"/>
        <v>886816.67</v>
      </c>
      <c r="BB19" s="61">
        <f t="shared" si="28"/>
        <v>681820.3</v>
      </c>
      <c r="BC19" s="62">
        <f t="shared" si="29"/>
        <v>579322.12</v>
      </c>
      <c r="BE19" s="219">
        <f t="shared" si="30"/>
        <v>427295.9</v>
      </c>
      <c r="BF19" s="220">
        <f t="shared" si="31"/>
        <v>4272959</v>
      </c>
      <c r="BG19" s="221">
        <f t="shared" si="32"/>
        <v>4272959</v>
      </c>
      <c r="BH19" s="59"/>
      <c r="BI19" s="222">
        <f t="shared" si="33"/>
        <v>454984.67</v>
      </c>
      <c r="BJ19" s="223">
        <f t="shared" si="34"/>
        <v>4549846.7</v>
      </c>
      <c r="BK19" s="224">
        <f t="shared" si="35"/>
        <v>54598160.399999999</v>
      </c>
      <c r="BL19" s="59"/>
      <c r="BM19" s="225">
        <f t="shared" si="36"/>
        <v>476823.93</v>
      </c>
      <c r="BN19" s="106">
        <f t="shared" si="37"/>
        <v>4768239.3</v>
      </c>
      <c r="BO19" s="107">
        <f t="shared" si="38"/>
        <v>52450632.299999997</v>
      </c>
    </row>
    <row r="20" spans="1:67" ht="136.5" thickBot="1" x14ac:dyDescent="0.3">
      <c r="A20" s="75">
        <v>10</v>
      </c>
      <c r="B20" s="269" t="s">
        <v>159</v>
      </c>
      <c r="C20" s="63" t="s">
        <v>51</v>
      </c>
      <c r="D20" s="57">
        <v>58</v>
      </c>
      <c r="E20" s="58"/>
      <c r="F20" s="79">
        <v>108333.33</v>
      </c>
      <c r="G20" s="80">
        <f t="shared" si="0"/>
        <v>6283333.1399999997</v>
      </c>
      <c r="H20" s="81">
        <f t="shared" si="1"/>
        <v>6283333.1399999997</v>
      </c>
      <c r="I20" s="59"/>
      <c r="J20" s="79">
        <v>108333.33</v>
      </c>
      <c r="K20" s="82">
        <f t="shared" si="2"/>
        <v>6283333.1399999997</v>
      </c>
      <c r="L20" s="78">
        <f t="shared" si="3"/>
        <v>75399997.680000007</v>
      </c>
      <c r="M20" s="59"/>
      <c r="N20" s="79">
        <v>108333.33</v>
      </c>
      <c r="O20" s="82">
        <f t="shared" si="4"/>
        <v>6283333.1399999997</v>
      </c>
      <c r="P20" s="78">
        <f t="shared" si="5"/>
        <v>69116664.540000007</v>
      </c>
      <c r="Q20" s="59"/>
      <c r="R20" s="86">
        <v>539952.11</v>
      </c>
      <c r="S20" s="87">
        <f t="shared" si="6"/>
        <v>31317222.379999999</v>
      </c>
      <c r="T20" s="88">
        <f t="shared" si="7"/>
        <v>31317222.379999999</v>
      </c>
      <c r="U20" s="98"/>
      <c r="V20" s="86">
        <v>574941.01</v>
      </c>
      <c r="W20" s="87">
        <f t="shared" si="8"/>
        <v>33346578.579999998</v>
      </c>
      <c r="X20" s="92">
        <f t="shared" si="9"/>
        <v>400158942.95999998</v>
      </c>
      <c r="Y20" s="59"/>
      <c r="Z20" s="94">
        <v>602538.18000000005</v>
      </c>
      <c r="AA20" s="87">
        <f t="shared" si="10"/>
        <v>34947214.439999998</v>
      </c>
      <c r="AB20" s="88">
        <f t="shared" si="11"/>
        <v>384419358.83999997</v>
      </c>
      <c r="AC20" s="29"/>
      <c r="AD20" s="105"/>
      <c r="AE20" s="106">
        <f t="shared" si="12"/>
        <v>0</v>
      </c>
      <c r="AF20" s="107">
        <f t="shared" si="13"/>
        <v>0</v>
      </c>
      <c r="AG20" s="98"/>
      <c r="AH20" s="105"/>
      <c r="AI20" s="106">
        <f t="shared" si="14"/>
        <v>0</v>
      </c>
      <c r="AJ20" s="110">
        <f t="shared" si="15"/>
        <v>0</v>
      </c>
      <c r="AK20" s="59"/>
      <c r="AL20" s="113"/>
      <c r="AM20" s="106">
        <f t="shared" si="16"/>
        <v>0</v>
      </c>
      <c r="AN20" s="107">
        <f t="shared" si="17"/>
        <v>0</v>
      </c>
      <c r="AO20" s="59"/>
      <c r="AP20" s="60">
        <f t="shared" si="18"/>
        <v>108333.33</v>
      </c>
      <c r="AQ20" s="61">
        <f t="shared" si="19"/>
        <v>539952.11</v>
      </c>
      <c r="AR20" s="61">
        <f t="shared" si="20"/>
        <v>324142.71999999997</v>
      </c>
      <c r="AS20" s="62">
        <f t="shared" si="21"/>
        <v>216238.03</v>
      </c>
      <c r="AU20" s="60">
        <f t="shared" si="22"/>
        <v>108333.33</v>
      </c>
      <c r="AV20" s="61">
        <f t="shared" si="23"/>
        <v>574941.01</v>
      </c>
      <c r="AW20" s="61">
        <f t="shared" si="24"/>
        <v>341637.17</v>
      </c>
      <c r="AX20" s="62">
        <f t="shared" si="25"/>
        <v>224985.25</v>
      </c>
      <c r="AZ20" s="60">
        <f t="shared" si="26"/>
        <v>108333.33</v>
      </c>
      <c r="BA20" s="61">
        <f t="shared" si="27"/>
        <v>602538.18000000005</v>
      </c>
      <c r="BB20" s="61">
        <f t="shared" si="28"/>
        <v>355435.76</v>
      </c>
      <c r="BC20" s="62">
        <f t="shared" si="29"/>
        <v>231884.55</v>
      </c>
      <c r="BE20" s="219">
        <f t="shared" si="30"/>
        <v>108333.33</v>
      </c>
      <c r="BF20" s="220">
        <f t="shared" si="31"/>
        <v>6283333.1399999997</v>
      </c>
      <c r="BG20" s="221">
        <f t="shared" si="32"/>
        <v>6283333.1399999997</v>
      </c>
      <c r="BH20" s="59"/>
      <c r="BI20" s="222">
        <f t="shared" si="33"/>
        <v>108333.33</v>
      </c>
      <c r="BJ20" s="223">
        <f t="shared" si="34"/>
        <v>6283333.1399999997</v>
      </c>
      <c r="BK20" s="224">
        <f t="shared" si="35"/>
        <v>75399997.680000007</v>
      </c>
      <c r="BL20" s="59"/>
      <c r="BM20" s="225">
        <f t="shared" si="36"/>
        <v>108333.33</v>
      </c>
      <c r="BN20" s="106">
        <f t="shared" si="37"/>
        <v>6283333.1399999997</v>
      </c>
      <c r="BO20" s="107">
        <f t="shared" si="38"/>
        <v>69116664.540000007</v>
      </c>
    </row>
    <row r="21" spans="1:67" ht="212.25" thickBot="1" x14ac:dyDescent="0.3">
      <c r="A21" s="75">
        <v>11</v>
      </c>
      <c r="B21" s="269" t="s">
        <v>61</v>
      </c>
      <c r="C21" s="63" t="s">
        <v>51</v>
      </c>
      <c r="D21" s="64">
        <v>81</v>
      </c>
      <c r="E21" s="58"/>
      <c r="F21" s="79">
        <v>433333.33</v>
      </c>
      <c r="G21" s="80">
        <f t="shared" si="0"/>
        <v>35099999.729999997</v>
      </c>
      <c r="H21" s="81">
        <f t="shared" si="1"/>
        <v>35099999.729999997</v>
      </c>
      <c r="I21" s="59"/>
      <c r="J21" s="79">
        <v>433333.33</v>
      </c>
      <c r="K21" s="82">
        <f t="shared" si="2"/>
        <v>35099999.729999997</v>
      </c>
      <c r="L21" s="78">
        <f t="shared" si="3"/>
        <v>421199996.75999999</v>
      </c>
      <c r="M21" s="59"/>
      <c r="N21" s="79">
        <v>433333.33</v>
      </c>
      <c r="O21" s="82">
        <f t="shared" si="4"/>
        <v>35099999.729999997</v>
      </c>
      <c r="P21" s="78">
        <f t="shared" si="5"/>
        <v>386099997.02999997</v>
      </c>
      <c r="Q21" s="59"/>
      <c r="R21" s="86">
        <v>385636.28</v>
      </c>
      <c r="S21" s="87">
        <f t="shared" si="6"/>
        <v>31236538.68</v>
      </c>
      <c r="T21" s="88">
        <f t="shared" si="7"/>
        <v>31236538.68</v>
      </c>
      <c r="U21" s="98"/>
      <c r="V21" s="86">
        <v>410625.51</v>
      </c>
      <c r="W21" s="87">
        <f t="shared" si="8"/>
        <v>33260666.309999999</v>
      </c>
      <c r="X21" s="92">
        <f t="shared" si="9"/>
        <v>399127995.72000003</v>
      </c>
      <c r="Y21" s="59"/>
      <c r="Z21" s="94">
        <v>430335.53</v>
      </c>
      <c r="AA21" s="87">
        <f t="shared" si="10"/>
        <v>34857177.93</v>
      </c>
      <c r="AB21" s="88">
        <f t="shared" si="11"/>
        <v>383428957.23000002</v>
      </c>
      <c r="AC21" s="29"/>
      <c r="AD21" s="105"/>
      <c r="AE21" s="106">
        <f t="shared" si="12"/>
        <v>0</v>
      </c>
      <c r="AF21" s="107">
        <f t="shared" si="13"/>
        <v>0</v>
      </c>
      <c r="AG21" s="98"/>
      <c r="AH21" s="105"/>
      <c r="AI21" s="106">
        <f t="shared" si="14"/>
        <v>0</v>
      </c>
      <c r="AJ21" s="110">
        <f t="shared" si="15"/>
        <v>0</v>
      </c>
      <c r="AK21" s="59"/>
      <c r="AL21" s="113"/>
      <c r="AM21" s="106">
        <f t="shared" si="16"/>
        <v>0</v>
      </c>
      <c r="AN21" s="107">
        <f t="shared" si="17"/>
        <v>0</v>
      </c>
      <c r="AO21" s="59"/>
      <c r="AP21" s="60">
        <f t="shared" si="18"/>
        <v>385636.28</v>
      </c>
      <c r="AQ21" s="61">
        <f t="shared" si="19"/>
        <v>433333.33</v>
      </c>
      <c r="AR21" s="61">
        <f t="shared" si="20"/>
        <v>409484.81</v>
      </c>
      <c r="AS21" s="62">
        <f t="shared" si="21"/>
        <v>397560.55</v>
      </c>
      <c r="AU21" s="60">
        <f t="shared" si="22"/>
        <v>410625.51</v>
      </c>
      <c r="AV21" s="61">
        <f t="shared" si="23"/>
        <v>433333.33</v>
      </c>
      <c r="AW21" s="61">
        <f t="shared" si="24"/>
        <v>421979.42</v>
      </c>
      <c r="AX21" s="62">
        <f t="shared" si="25"/>
        <v>416302.47</v>
      </c>
      <c r="AZ21" s="60">
        <f t="shared" si="26"/>
        <v>430335.53</v>
      </c>
      <c r="BA21" s="61">
        <f t="shared" si="27"/>
        <v>433333.33</v>
      </c>
      <c r="BB21" s="61">
        <f t="shared" si="28"/>
        <v>431834.43</v>
      </c>
      <c r="BC21" s="62">
        <f t="shared" si="29"/>
        <v>431084.98</v>
      </c>
      <c r="BE21" s="219">
        <f t="shared" si="30"/>
        <v>385636.28</v>
      </c>
      <c r="BF21" s="220">
        <f t="shared" si="31"/>
        <v>31236538.68</v>
      </c>
      <c r="BG21" s="221">
        <f t="shared" si="32"/>
        <v>31236538.68</v>
      </c>
      <c r="BH21" s="59"/>
      <c r="BI21" s="222">
        <f t="shared" si="33"/>
        <v>410625.51</v>
      </c>
      <c r="BJ21" s="223">
        <f t="shared" si="34"/>
        <v>33260666.309999999</v>
      </c>
      <c r="BK21" s="224">
        <f t="shared" si="35"/>
        <v>399127995.72000003</v>
      </c>
      <c r="BL21" s="59"/>
      <c r="BM21" s="225">
        <f t="shared" si="36"/>
        <v>430335.53</v>
      </c>
      <c r="BN21" s="106">
        <f t="shared" si="37"/>
        <v>34857177.93</v>
      </c>
      <c r="BO21" s="107">
        <f t="shared" si="38"/>
        <v>383428957.23000002</v>
      </c>
    </row>
    <row r="22" spans="1:67" ht="121.5" thickBot="1" x14ac:dyDescent="0.3">
      <c r="A22" s="75">
        <v>12</v>
      </c>
      <c r="B22" s="269" t="s">
        <v>160</v>
      </c>
      <c r="C22" s="63" t="s">
        <v>51</v>
      </c>
      <c r="D22" s="64">
        <v>81</v>
      </c>
      <c r="E22" s="58"/>
      <c r="F22" s="79">
        <v>96197.62</v>
      </c>
      <c r="G22" s="80">
        <f t="shared" si="0"/>
        <v>7792007.2199999997</v>
      </c>
      <c r="H22" s="81">
        <f t="shared" si="1"/>
        <v>7792007.2199999997</v>
      </c>
      <c r="I22" s="59"/>
      <c r="J22" s="79">
        <v>96197.62</v>
      </c>
      <c r="K22" s="82">
        <f t="shared" si="2"/>
        <v>7792007.2199999997</v>
      </c>
      <c r="L22" s="78">
        <f t="shared" si="3"/>
        <v>93504086.640000001</v>
      </c>
      <c r="M22" s="59"/>
      <c r="N22" s="79">
        <v>96197.62</v>
      </c>
      <c r="O22" s="82">
        <f t="shared" si="4"/>
        <v>7792007.2199999997</v>
      </c>
      <c r="P22" s="78">
        <f t="shared" si="5"/>
        <v>85712079.420000002</v>
      </c>
      <c r="Q22" s="59"/>
      <c r="R22" s="86">
        <v>128533.19</v>
      </c>
      <c r="S22" s="87">
        <f t="shared" si="6"/>
        <v>10411188.390000001</v>
      </c>
      <c r="T22" s="88">
        <f t="shared" si="7"/>
        <v>10411188.390000001</v>
      </c>
      <c r="U22" s="98"/>
      <c r="V22" s="86">
        <v>136862.14000000001</v>
      </c>
      <c r="W22" s="87">
        <f t="shared" si="8"/>
        <v>11085833.34</v>
      </c>
      <c r="X22" s="92">
        <f t="shared" si="9"/>
        <v>133030000.08</v>
      </c>
      <c r="Y22" s="59"/>
      <c r="Z22" s="94">
        <v>143431.51999999999</v>
      </c>
      <c r="AA22" s="87">
        <f t="shared" si="10"/>
        <v>11617953.119999999</v>
      </c>
      <c r="AB22" s="88">
        <f t="shared" si="11"/>
        <v>127797484.31999999</v>
      </c>
      <c r="AC22" s="29"/>
      <c r="AD22" s="105"/>
      <c r="AE22" s="106">
        <f t="shared" si="12"/>
        <v>0</v>
      </c>
      <c r="AF22" s="107">
        <f t="shared" si="13"/>
        <v>0</v>
      </c>
      <c r="AG22" s="98"/>
      <c r="AH22" s="105"/>
      <c r="AI22" s="106">
        <f t="shared" si="14"/>
        <v>0</v>
      </c>
      <c r="AJ22" s="110">
        <f t="shared" si="15"/>
        <v>0</v>
      </c>
      <c r="AK22" s="59"/>
      <c r="AL22" s="113"/>
      <c r="AM22" s="106">
        <f t="shared" si="16"/>
        <v>0</v>
      </c>
      <c r="AN22" s="107">
        <f t="shared" si="17"/>
        <v>0</v>
      </c>
      <c r="AO22" s="59"/>
      <c r="AP22" s="60">
        <f t="shared" si="18"/>
        <v>96197.62</v>
      </c>
      <c r="AQ22" s="61">
        <f t="shared" si="19"/>
        <v>128533.19</v>
      </c>
      <c r="AR22" s="61">
        <f t="shared" si="20"/>
        <v>112365.41</v>
      </c>
      <c r="AS22" s="62">
        <f t="shared" si="21"/>
        <v>104281.52</v>
      </c>
      <c r="AU22" s="60">
        <f t="shared" si="22"/>
        <v>96197.62</v>
      </c>
      <c r="AV22" s="61">
        <f t="shared" si="23"/>
        <v>136862.14000000001</v>
      </c>
      <c r="AW22" s="61">
        <f t="shared" si="24"/>
        <v>116529.88</v>
      </c>
      <c r="AX22" s="62">
        <f t="shared" si="25"/>
        <v>106363.75</v>
      </c>
      <c r="AZ22" s="60">
        <f t="shared" si="26"/>
        <v>96197.62</v>
      </c>
      <c r="BA22" s="61">
        <f t="shared" si="27"/>
        <v>143431.51999999999</v>
      </c>
      <c r="BB22" s="61">
        <f t="shared" si="28"/>
        <v>119814.57</v>
      </c>
      <c r="BC22" s="62">
        <f t="shared" si="29"/>
        <v>108006.1</v>
      </c>
      <c r="BE22" s="219">
        <f t="shared" si="30"/>
        <v>96197.62</v>
      </c>
      <c r="BF22" s="220">
        <f t="shared" si="31"/>
        <v>7792007.2199999997</v>
      </c>
      <c r="BG22" s="221">
        <f t="shared" si="32"/>
        <v>7792007.2199999997</v>
      </c>
      <c r="BH22" s="59"/>
      <c r="BI22" s="222">
        <f t="shared" si="33"/>
        <v>96197.62</v>
      </c>
      <c r="BJ22" s="223">
        <f t="shared" si="34"/>
        <v>7792007.2199999997</v>
      </c>
      <c r="BK22" s="224">
        <f t="shared" si="35"/>
        <v>93504086.640000001</v>
      </c>
      <c r="BL22" s="59"/>
      <c r="BM22" s="225">
        <f t="shared" si="36"/>
        <v>96197.62</v>
      </c>
      <c r="BN22" s="106">
        <f t="shared" si="37"/>
        <v>7792007.2199999997</v>
      </c>
      <c r="BO22" s="107">
        <f t="shared" si="38"/>
        <v>85712079.420000002</v>
      </c>
    </row>
    <row r="23" spans="1:67" ht="79.5" thickBot="1" x14ac:dyDescent="0.3">
      <c r="A23" s="75">
        <v>13</v>
      </c>
      <c r="B23" s="270" t="s">
        <v>62</v>
      </c>
      <c r="C23" s="65" t="s">
        <v>51</v>
      </c>
      <c r="D23" s="64">
        <v>192</v>
      </c>
      <c r="E23" s="58"/>
      <c r="F23" s="79">
        <v>73450</v>
      </c>
      <c r="G23" s="80">
        <f t="shared" si="0"/>
        <v>14102400</v>
      </c>
      <c r="H23" s="81">
        <f t="shared" si="1"/>
        <v>14102400</v>
      </c>
      <c r="I23" s="59"/>
      <c r="J23" s="79">
        <v>73450</v>
      </c>
      <c r="K23" s="82">
        <f t="shared" si="2"/>
        <v>14102400</v>
      </c>
      <c r="L23" s="78">
        <f t="shared" si="3"/>
        <v>169228800</v>
      </c>
      <c r="M23" s="59"/>
      <c r="N23" s="79">
        <v>73450</v>
      </c>
      <c r="O23" s="82">
        <f t="shared" si="4"/>
        <v>14102400</v>
      </c>
      <c r="P23" s="78">
        <f t="shared" si="5"/>
        <v>155126400</v>
      </c>
      <c r="Q23" s="59"/>
      <c r="R23" s="86">
        <v>789743.12</v>
      </c>
      <c r="S23" s="87">
        <f t="shared" si="6"/>
        <v>151630679.03999999</v>
      </c>
      <c r="T23" s="88">
        <f t="shared" si="7"/>
        <v>151630679.03999999</v>
      </c>
      <c r="U23" s="98"/>
      <c r="V23" s="86">
        <v>840918.47</v>
      </c>
      <c r="W23" s="87">
        <f t="shared" si="8"/>
        <v>161456346.24000001</v>
      </c>
      <c r="X23" s="92">
        <f t="shared" si="9"/>
        <v>1937476154.8800001</v>
      </c>
      <c r="Y23" s="59"/>
      <c r="Z23" s="94">
        <v>881282.56000000006</v>
      </c>
      <c r="AA23" s="87">
        <f t="shared" si="10"/>
        <v>169206251.52000001</v>
      </c>
      <c r="AB23" s="88">
        <f t="shared" si="11"/>
        <v>1861268766.72</v>
      </c>
      <c r="AC23" s="29"/>
      <c r="AD23" s="105"/>
      <c r="AE23" s="106">
        <f t="shared" si="12"/>
        <v>0</v>
      </c>
      <c r="AF23" s="107">
        <f t="shared" si="13"/>
        <v>0</v>
      </c>
      <c r="AG23" s="98"/>
      <c r="AH23" s="105"/>
      <c r="AI23" s="106">
        <f t="shared" si="14"/>
        <v>0</v>
      </c>
      <c r="AJ23" s="110">
        <f t="shared" si="15"/>
        <v>0</v>
      </c>
      <c r="AK23" s="59"/>
      <c r="AL23" s="113"/>
      <c r="AM23" s="106">
        <f t="shared" si="16"/>
        <v>0</v>
      </c>
      <c r="AN23" s="107">
        <f t="shared" si="17"/>
        <v>0</v>
      </c>
      <c r="AO23" s="59"/>
      <c r="AP23" s="60">
        <f t="shared" si="18"/>
        <v>73450</v>
      </c>
      <c r="AQ23" s="61">
        <f t="shared" si="19"/>
        <v>789743.12</v>
      </c>
      <c r="AR23" s="61">
        <f t="shared" si="20"/>
        <v>431596.56</v>
      </c>
      <c r="AS23" s="62">
        <f t="shared" si="21"/>
        <v>252523.28</v>
      </c>
      <c r="AU23" s="60">
        <f t="shared" si="22"/>
        <v>73450</v>
      </c>
      <c r="AV23" s="61">
        <f t="shared" si="23"/>
        <v>840918.47</v>
      </c>
      <c r="AW23" s="61">
        <f t="shared" si="24"/>
        <v>457184.24</v>
      </c>
      <c r="AX23" s="62">
        <f t="shared" si="25"/>
        <v>265317.12</v>
      </c>
      <c r="AZ23" s="60">
        <f t="shared" si="26"/>
        <v>73450</v>
      </c>
      <c r="BA23" s="61">
        <f t="shared" si="27"/>
        <v>881282.56000000006</v>
      </c>
      <c r="BB23" s="61">
        <f t="shared" si="28"/>
        <v>477366.28</v>
      </c>
      <c r="BC23" s="62">
        <f t="shared" si="29"/>
        <v>275408.14</v>
      </c>
      <c r="BE23" s="219">
        <f t="shared" si="30"/>
        <v>73450</v>
      </c>
      <c r="BF23" s="220">
        <f t="shared" si="31"/>
        <v>14102400</v>
      </c>
      <c r="BG23" s="221">
        <f t="shared" si="32"/>
        <v>14102400</v>
      </c>
      <c r="BH23" s="59"/>
      <c r="BI23" s="222">
        <f t="shared" si="33"/>
        <v>73450</v>
      </c>
      <c r="BJ23" s="223">
        <f t="shared" si="34"/>
        <v>14102400</v>
      </c>
      <c r="BK23" s="224">
        <f t="shared" si="35"/>
        <v>169228800</v>
      </c>
      <c r="BL23" s="59"/>
      <c r="BM23" s="225">
        <f t="shared" si="36"/>
        <v>73450</v>
      </c>
      <c r="BN23" s="106">
        <f t="shared" si="37"/>
        <v>14102400</v>
      </c>
      <c r="BO23" s="107">
        <f t="shared" si="38"/>
        <v>155126400</v>
      </c>
    </row>
    <row r="24" spans="1:67" ht="138.75" thickBot="1" x14ac:dyDescent="0.3">
      <c r="A24" s="75">
        <v>14</v>
      </c>
      <c r="B24" s="267" t="s">
        <v>63</v>
      </c>
      <c r="C24" s="63" t="s">
        <v>51</v>
      </c>
      <c r="D24" s="57">
        <v>16</v>
      </c>
      <c r="E24" s="58"/>
      <c r="F24" s="79">
        <v>205827.92</v>
      </c>
      <c r="G24" s="80">
        <f t="shared" si="0"/>
        <v>3293246.72</v>
      </c>
      <c r="H24" s="81">
        <f t="shared" si="1"/>
        <v>3293246.72</v>
      </c>
      <c r="I24" s="59"/>
      <c r="J24" s="79">
        <v>205827.92</v>
      </c>
      <c r="K24" s="82">
        <f t="shared" si="2"/>
        <v>3293246.72</v>
      </c>
      <c r="L24" s="78">
        <f t="shared" si="3"/>
        <v>39518960.640000001</v>
      </c>
      <c r="M24" s="59"/>
      <c r="N24" s="79">
        <v>205827.92</v>
      </c>
      <c r="O24" s="82">
        <f t="shared" si="4"/>
        <v>3293246.72</v>
      </c>
      <c r="P24" s="78">
        <f t="shared" si="5"/>
        <v>36225713.920000002</v>
      </c>
      <c r="Q24" s="59"/>
      <c r="R24" s="86">
        <v>649232.81000000006</v>
      </c>
      <c r="S24" s="87">
        <f t="shared" si="6"/>
        <v>10387724.960000001</v>
      </c>
      <c r="T24" s="88">
        <f t="shared" si="7"/>
        <v>10387724.960000001</v>
      </c>
      <c r="U24" s="98"/>
      <c r="V24" s="86">
        <v>691303.1</v>
      </c>
      <c r="W24" s="87">
        <f t="shared" si="8"/>
        <v>11060849.6</v>
      </c>
      <c r="X24" s="92">
        <f t="shared" si="9"/>
        <v>132730195.2</v>
      </c>
      <c r="Y24" s="59"/>
      <c r="Z24" s="94">
        <v>724485.65</v>
      </c>
      <c r="AA24" s="87">
        <f t="shared" si="10"/>
        <v>11591770.4</v>
      </c>
      <c r="AB24" s="88">
        <f t="shared" si="11"/>
        <v>127509474.40000001</v>
      </c>
      <c r="AC24" s="29"/>
      <c r="AD24" s="105"/>
      <c r="AE24" s="106">
        <f t="shared" si="12"/>
        <v>0</v>
      </c>
      <c r="AF24" s="107">
        <f t="shared" si="13"/>
        <v>0</v>
      </c>
      <c r="AG24" s="98"/>
      <c r="AH24" s="105"/>
      <c r="AI24" s="106">
        <f t="shared" si="14"/>
        <v>0</v>
      </c>
      <c r="AJ24" s="110">
        <f t="shared" si="15"/>
        <v>0</v>
      </c>
      <c r="AK24" s="59"/>
      <c r="AL24" s="113"/>
      <c r="AM24" s="106">
        <f t="shared" si="16"/>
        <v>0</v>
      </c>
      <c r="AN24" s="107">
        <f t="shared" si="17"/>
        <v>0</v>
      </c>
      <c r="AO24" s="59"/>
      <c r="AP24" s="60">
        <f t="shared" si="18"/>
        <v>205827.92</v>
      </c>
      <c r="AQ24" s="61">
        <f t="shared" si="19"/>
        <v>649232.81000000006</v>
      </c>
      <c r="AR24" s="61">
        <f t="shared" si="20"/>
        <v>427530.37</v>
      </c>
      <c r="AS24" s="62">
        <f t="shared" si="21"/>
        <v>316679.15000000002</v>
      </c>
      <c r="AU24" s="60">
        <f t="shared" si="22"/>
        <v>205827.92</v>
      </c>
      <c r="AV24" s="61">
        <f t="shared" si="23"/>
        <v>691303.1</v>
      </c>
      <c r="AW24" s="61">
        <f t="shared" si="24"/>
        <v>448565.51</v>
      </c>
      <c r="AX24" s="62">
        <f t="shared" si="25"/>
        <v>327196.71999999997</v>
      </c>
      <c r="AZ24" s="60">
        <f t="shared" si="26"/>
        <v>205827.92</v>
      </c>
      <c r="BA24" s="61">
        <f t="shared" si="27"/>
        <v>724485.65</v>
      </c>
      <c r="BB24" s="61">
        <f t="shared" si="28"/>
        <v>465156.79</v>
      </c>
      <c r="BC24" s="62">
        <f t="shared" si="29"/>
        <v>335492.36</v>
      </c>
      <c r="BE24" s="219">
        <f t="shared" si="30"/>
        <v>205827.92</v>
      </c>
      <c r="BF24" s="220">
        <f t="shared" si="31"/>
        <v>3293246.72</v>
      </c>
      <c r="BG24" s="221">
        <f t="shared" si="32"/>
        <v>3293246.72</v>
      </c>
      <c r="BH24" s="59"/>
      <c r="BI24" s="222">
        <f t="shared" si="33"/>
        <v>205827.92</v>
      </c>
      <c r="BJ24" s="223">
        <f t="shared" si="34"/>
        <v>3293246.72</v>
      </c>
      <c r="BK24" s="224">
        <f t="shared" si="35"/>
        <v>39518960.640000001</v>
      </c>
      <c r="BL24" s="59"/>
      <c r="BM24" s="225">
        <f t="shared" si="36"/>
        <v>205827.92</v>
      </c>
      <c r="BN24" s="106">
        <f t="shared" si="37"/>
        <v>3293246.72</v>
      </c>
      <c r="BO24" s="107">
        <f t="shared" si="38"/>
        <v>36225713.920000002</v>
      </c>
    </row>
    <row r="25" spans="1:67" ht="211.5" thickBot="1" x14ac:dyDescent="0.3">
      <c r="A25" s="75">
        <v>15</v>
      </c>
      <c r="B25" s="267" t="s">
        <v>64</v>
      </c>
      <c r="C25" s="63" t="s">
        <v>51</v>
      </c>
      <c r="D25" s="64">
        <v>1</v>
      </c>
      <c r="E25" s="58"/>
      <c r="F25" s="79">
        <v>9750000</v>
      </c>
      <c r="G25" s="80">
        <f t="shared" si="0"/>
        <v>9750000</v>
      </c>
      <c r="H25" s="81">
        <f t="shared" si="1"/>
        <v>9750000</v>
      </c>
      <c r="I25" s="59"/>
      <c r="J25" s="79">
        <v>9750000</v>
      </c>
      <c r="K25" s="82">
        <f t="shared" si="2"/>
        <v>9750000</v>
      </c>
      <c r="L25" s="78">
        <f t="shared" si="3"/>
        <v>117000000</v>
      </c>
      <c r="M25" s="59"/>
      <c r="N25" s="79">
        <v>9750000</v>
      </c>
      <c r="O25" s="82">
        <f t="shared" si="4"/>
        <v>9750000</v>
      </c>
      <c r="P25" s="78">
        <f t="shared" si="5"/>
        <v>107250000</v>
      </c>
      <c r="Q25" s="59"/>
      <c r="R25" s="86">
        <v>10338872.699999999</v>
      </c>
      <c r="S25" s="87">
        <f t="shared" si="6"/>
        <v>10338872.699999999</v>
      </c>
      <c r="T25" s="88">
        <f t="shared" si="7"/>
        <v>10338872.699999999</v>
      </c>
      <c r="U25" s="98"/>
      <c r="V25" s="86">
        <v>11008831.65</v>
      </c>
      <c r="W25" s="87">
        <f t="shared" si="8"/>
        <v>11008831.65</v>
      </c>
      <c r="X25" s="92">
        <f t="shared" si="9"/>
        <v>132105979.8</v>
      </c>
      <c r="Y25" s="59"/>
      <c r="Z25" s="94">
        <v>11537255.57</v>
      </c>
      <c r="AA25" s="87">
        <f t="shared" si="10"/>
        <v>11537255.57</v>
      </c>
      <c r="AB25" s="88">
        <f t="shared" si="11"/>
        <v>126909811.27</v>
      </c>
      <c r="AC25" s="29"/>
      <c r="AD25" s="105"/>
      <c r="AE25" s="106">
        <f t="shared" si="12"/>
        <v>0</v>
      </c>
      <c r="AF25" s="107">
        <f t="shared" si="13"/>
        <v>0</v>
      </c>
      <c r="AG25" s="98"/>
      <c r="AH25" s="105"/>
      <c r="AI25" s="106">
        <f t="shared" si="14"/>
        <v>0</v>
      </c>
      <c r="AJ25" s="110">
        <f t="shared" si="15"/>
        <v>0</v>
      </c>
      <c r="AK25" s="59"/>
      <c r="AL25" s="113"/>
      <c r="AM25" s="106">
        <f t="shared" si="16"/>
        <v>0</v>
      </c>
      <c r="AN25" s="107">
        <f t="shared" si="17"/>
        <v>0</v>
      </c>
      <c r="AO25" s="59"/>
      <c r="AP25" s="60">
        <f t="shared" si="18"/>
        <v>9750000</v>
      </c>
      <c r="AQ25" s="61">
        <f t="shared" si="19"/>
        <v>10338872.699999999</v>
      </c>
      <c r="AR25" s="61">
        <f t="shared" si="20"/>
        <v>10044436.35</v>
      </c>
      <c r="AS25" s="62">
        <f t="shared" si="21"/>
        <v>9897218.1799999997</v>
      </c>
      <c r="AU25" s="60">
        <f t="shared" si="22"/>
        <v>9750000</v>
      </c>
      <c r="AV25" s="61">
        <f t="shared" si="23"/>
        <v>11008831.65</v>
      </c>
      <c r="AW25" s="61">
        <f t="shared" si="24"/>
        <v>10379415.83</v>
      </c>
      <c r="AX25" s="62">
        <f t="shared" si="25"/>
        <v>10064707.92</v>
      </c>
      <c r="AZ25" s="60">
        <f t="shared" si="26"/>
        <v>9750000</v>
      </c>
      <c r="BA25" s="61">
        <f t="shared" si="27"/>
        <v>11537255.57</v>
      </c>
      <c r="BB25" s="61">
        <f t="shared" si="28"/>
        <v>10643627.789999999</v>
      </c>
      <c r="BC25" s="62">
        <f t="shared" si="29"/>
        <v>10196813.9</v>
      </c>
      <c r="BE25" s="219">
        <f t="shared" si="30"/>
        <v>9750000</v>
      </c>
      <c r="BF25" s="220">
        <f t="shared" si="31"/>
        <v>9750000</v>
      </c>
      <c r="BG25" s="221">
        <f t="shared" si="32"/>
        <v>9750000</v>
      </c>
      <c r="BH25" s="59"/>
      <c r="BI25" s="222">
        <f t="shared" si="33"/>
        <v>9750000</v>
      </c>
      <c r="BJ25" s="223">
        <f t="shared" si="34"/>
        <v>9750000</v>
      </c>
      <c r="BK25" s="224">
        <f t="shared" si="35"/>
        <v>117000000</v>
      </c>
      <c r="BL25" s="59"/>
      <c r="BM25" s="225">
        <f t="shared" si="36"/>
        <v>9750000</v>
      </c>
      <c r="BN25" s="106">
        <f t="shared" si="37"/>
        <v>9750000</v>
      </c>
      <c r="BO25" s="107">
        <f t="shared" si="38"/>
        <v>107250000</v>
      </c>
    </row>
    <row r="26" spans="1:67" ht="136.5" thickBot="1" x14ac:dyDescent="0.3">
      <c r="A26" s="75">
        <v>16</v>
      </c>
      <c r="B26" s="268" t="s">
        <v>65</v>
      </c>
      <c r="C26" s="65" t="s">
        <v>51</v>
      </c>
      <c r="D26" s="64">
        <v>28</v>
      </c>
      <c r="E26" s="58"/>
      <c r="F26" s="83">
        <v>95062.5</v>
      </c>
      <c r="G26" s="85">
        <f t="shared" si="0"/>
        <v>2661750</v>
      </c>
      <c r="H26" s="84">
        <f t="shared" si="1"/>
        <v>2661750</v>
      </c>
      <c r="I26" s="59"/>
      <c r="J26" s="79">
        <v>95062.5</v>
      </c>
      <c r="K26" s="82">
        <f t="shared" si="2"/>
        <v>2661750</v>
      </c>
      <c r="L26" s="78">
        <f t="shared" si="3"/>
        <v>31941000</v>
      </c>
      <c r="M26" s="59"/>
      <c r="N26" s="79">
        <v>95062.5</v>
      </c>
      <c r="O26" s="82">
        <f t="shared" si="4"/>
        <v>2661750</v>
      </c>
      <c r="P26" s="78">
        <f t="shared" si="5"/>
        <v>29279250</v>
      </c>
      <c r="Q26" s="59"/>
      <c r="R26" s="86">
        <v>258987.76</v>
      </c>
      <c r="S26" s="99">
        <f t="shared" si="6"/>
        <v>7251657.2800000003</v>
      </c>
      <c r="T26" s="100">
        <f t="shared" si="7"/>
        <v>7251657.2800000003</v>
      </c>
      <c r="U26" s="101"/>
      <c r="V26" s="86">
        <v>275770.17</v>
      </c>
      <c r="W26" s="99">
        <f t="shared" si="8"/>
        <v>7721564.7599999998</v>
      </c>
      <c r="X26" s="102">
        <f t="shared" si="9"/>
        <v>92658777.120000005</v>
      </c>
      <c r="Y26" s="103"/>
      <c r="Z26" s="104">
        <v>289007.14</v>
      </c>
      <c r="AA26" s="99">
        <f t="shared" si="10"/>
        <v>8092199.9199999999</v>
      </c>
      <c r="AB26" s="100">
        <f t="shared" si="11"/>
        <v>89014199.120000005</v>
      </c>
      <c r="AC26" s="29"/>
      <c r="AD26" s="105"/>
      <c r="AE26" s="108">
        <f t="shared" si="12"/>
        <v>0</v>
      </c>
      <c r="AF26" s="109">
        <f t="shared" si="13"/>
        <v>0</v>
      </c>
      <c r="AG26" s="101"/>
      <c r="AH26" s="105"/>
      <c r="AI26" s="108">
        <f t="shared" si="14"/>
        <v>0</v>
      </c>
      <c r="AJ26" s="111">
        <f t="shared" si="15"/>
        <v>0</v>
      </c>
      <c r="AK26" s="103"/>
      <c r="AL26" s="114"/>
      <c r="AM26" s="108">
        <f t="shared" si="16"/>
        <v>0</v>
      </c>
      <c r="AN26" s="109">
        <f t="shared" si="17"/>
        <v>0</v>
      </c>
      <c r="AO26" s="59"/>
      <c r="AP26" s="60">
        <f t="shared" si="18"/>
        <v>95062.5</v>
      </c>
      <c r="AQ26" s="61">
        <f t="shared" si="19"/>
        <v>258987.76</v>
      </c>
      <c r="AR26" s="61">
        <f t="shared" si="20"/>
        <v>177025.13</v>
      </c>
      <c r="AS26" s="62">
        <f t="shared" si="21"/>
        <v>136043.82</v>
      </c>
      <c r="AU26" s="60">
        <f t="shared" si="22"/>
        <v>95062.5</v>
      </c>
      <c r="AV26" s="61">
        <f t="shared" si="23"/>
        <v>275770.17</v>
      </c>
      <c r="AW26" s="61">
        <f t="shared" si="24"/>
        <v>185416.34</v>
      </c>
      <c r="AX26" s="62">
        <f>ROUND(AVERAGE(AU26,AW26),2)</f>
        <v>140239.42000000001</v>
      </c>
      <c r="AZ26" s="60">
        <f t="shared" si="26"/>
        <v>95062.5</v>
      </c>
      <c r="BA26" s="61">
        <f t="shared" si="27"/>
        <v>289007.14</v>
      </c>
      <c r="BB26" s="61">
        <f t="shared" si="28"/>
        <v>192034.82</v>
      </c>
      <c r="BC26" s="62">
        <f t="shared" si="29"/>
        <v>143548.66</v>
      </c>
      <c r="BE26" s="219">
        <f t="shared" si="30"/>
        <v>95062.5</v>
      </c>
      <c r="BF26" s="220">
        <f t="shared" si="31"/>
        <v>2661750</v>
      </c>
      <c r="BG26" s="221">
        <f t="shared" si="32"/>
        <v>2661750</v>
      </c>
      <c r="BH26" s="59"/>
      <c r="BI26" s="222">
        <f t="shared" si="33"/>
        <v>95062.5</v>
      </c>
      <c r="BJ26" s="223">
        <f t="shared" si="34"/>
        <v>2661750</v>
      </c>
      <c r="BK26" s="224">
        <f t="shared" si="35"/>
        <v>31941000</v>
      </c>
      <c r="BL26" s="59"/>
      <c r="BM26" s="225">
        <f t="shared" si="36"/>
        <v>95062.5</v>
      </c>
      <c r="BN26" s="106">
        <f t="shared" si="37"/>
        <v>2661750</v>
      </c>
      <c r="BO26" s="107">
        <f t="shared" si="38"/>
        <v>29279250</v>
      </c>
    </row>
    <row r="27" spans="1:67" ht="35.450000000000003" customHeight="1" thickBot="1" x14ac:dyDescent="0.3">
      <c r="A27" s="380" t="s">
        <v>67</v>
      </c>
      <c r="B27" s="381"/>
      <c r="C27" s="382"/>
      <c r="D27" s="66">
        <f>SUM(D11:D26)</f>
        <v>1673</v>
      </c>
      <c r="E27" s="32"/>
      <c r="F27" s="67"/>
      <c r="G27" s="59"/>
      <c r="H27" s="68">
        <f>ROUND(SUM(H11:H26),2)</f>
        <v>174188976.44999999</v>
      </c>
      <c r="I27" s="59"/>
      <c r="J27" s="59"/>
      <c r="K27" s="69"/>
      <c r="L27" s="70">
        <f>ROUND(SUM(L11:L26),2)</f>
        <v>2090267717.4000001</v>
      </c>
      <c r="M27" s="59"/>
      <c r="N27" s="69"/>
      <c r="O27" s="69"/>
      <c r="P27" s="68">
        <f>ROUND(SUM(P11:P26),2)</f>
        <v>1916078740.95</v>
      </c>
      <c r="Q27" s="69"/>
      <c r="R27" s="69"/>
      <c r="S27" s="69"/>
      <c r="T27" s="89">
        <f>ROUND(SUM(T11:T26),2)</f>
        <v>419883366.18000001</v>
      </c>
      <c r="U27" s="52"/>
      <c r="V27" s="59"/>
      <c r="W27" s="69"/>
      <c r="X27" s="89">
        <f>ROUND(SUM(X11:X26),2)</f>
        <v>5365101706.1999998</v>
      </c>
      <c r="Y27" s="59"/>
      <c r="Z27" s="69"/>
      <c r="AA27" s="69"/>
      <c r="AB27" s="89">
        <f>ROUND(SUM(AB11:AB26),2)</f>
        <v>5154074399.9799995</v>
      </c>
      <c r="AC27" s="29"/>
      <c r="AD27" s="69"/>
      <c r="AE27" s="69"/>
      <c r="AF27" s="115">
        <f>ROUND(SUM(AF11:AF26),2)</f>
        <v>0</v>
      </c>
      <c r="AG27" s="52"/>
      <c r="AH27" s="59"/>
      <c r="AI27" s="69"/>
      <c r="AJ27" s="115">
        <f>ROUND(SUM(AJ11:AJ26),2)</f>
        <v>0</v>
      </c>
      <c r="AK27" s="59"/>
      <c r="AL27" s="69"/>
      <c r="AM27" s="69"/>
      <c r="AN27" s="115">
        <f>ROUND(SUM(AN11:AN26),2)</f>
        <v>0</v>
      </c>
      <c r="AO27" s="71"/>
      <c r="AP27" s="72"/>
      <c r="AQ27" s="72"/>
      <c r="AR27" s="72"/>
      <c r="AS27" s="72"/>
      <c r="AU27" s="53"/>
      <c r="AV27" s="53"/>
      <c r="AW27" s="53"/>
      <c r="AX27" s="53"/>
      <c r="AZ27" s="72"/>
      <c r="BA27" s="72"/>
      <c r="BB27" s="72"/>
      <c r="BC27" s="72"/>
      <c r="BE27" s="73"/>
      <c r="BF27" s="59"/>
      <c r="BG27" s="68">
        <f>ROUND(SUM(BG11:BG26),2)</f>
        <v>165730307.69999999</v>
      </c>
      <c r="BH27" s="59"/>
      <c r="BI27" s="59"/>
      <c r="BJ27" s="69"/>
      <c r="BK27" s="68">
        <f>ROUND(SUM(BK11:BK26),2)</f>
        <v>2016375876.3599999</v>
      </c>
      <c r="BL27" s="59"/>
      <c r="BM27" s="69"/>
      <c r="BN27" s="69"/>
      <c r="BO27" s="68">
        <f>ROUND(SUM(BO11:BO26),2)</f>
        <v>1868308499.75</v>
      </c>
    </row>
  </sheetData>
  <mergeCells count="46">
    <mergeCell ref="BE6:BO6"/>
    <mergeCell ref="A1:BO1"/>
    <mergeCell ref="C2:BO2"/>
    <mergeCell ref="F5:H5"/>
    <mergeCell ref="BE5:BG5"/>
    <mergeCell ref="F6:P6"/>
    <mergeCell ref="R6:AB6"/>
    <mergeCell ref="AP6:AS6"/>
    <mergeCell ref="AU6:AX6"/>
    <mergeCell ref="AZ6:BC6"/>
    <mergeCell ref="R5:X5"/>
    <mergeCell ref="AD5:AJ5"/>
    <mergeCell ref="AD6:AN6"/>
    <mergeCell ref="A6:A9"/>
    <mergeCell ref="B6:B9"/>
    <mergeCell ref="C6:C9"/>
    <mergeCell ref="AZ7:BC8"/>
    <mergeCell ref="BE7:BG7"/>
    <mergeCell ref="BI7:BK7"/>
    <mergeCell ref="BM7:BO7"/>
    <mergeCell ref="BE8:BF8"/>
    <mergeCell ref="BI8:BJ8"/>
    <mergeCell ref="BM8:BN8"/>
    <mergeCell ref="R8:S8"/>
    <mergeCell ref="V8:W8"/>
    <mergeCell ref="Z8:AA8"/>
    <mergeCell ref="AP7:AS8"/>
    <mergeCell ref="AU7:AX8"/>
    <mergeCell ref="Z7:AB7"/>
    <mergeCell ref="AD7:AF7"/>
    <mergeCell ref="AH7:AJ7"/>
    <mergeCell ref="AD8:AE8"/>
    <mergeCell ref="AH8:AI8"/>
    <mergeCell ref="AL7:AN7"/>
    <mergeCell ref="AL8:AM8"/>
    <mergeCell ref="R7:T7"/>
    <mergeCell ref="V7:X7"/>
    <mergeCell ref="A10:D10"/>
    <mergeCell ref="A27:C27"/>
    <mergeCell ref="F8:G8"/>
    <mergeCell ref="J8:K8"/>
    <mergeCell ref="N8:O8"/>
    <mergeCell ref="D6:D9"/>
    <mergeCell ref="F7:H7"/>
    <mergeCell ref="J7:L7"/>
    <mergeCell ref="N7:P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F7E57-F2E4-47B6-9D58-587A2E423698}">
  <dimension ref="A1:X42"/>
  <sheetViews>
    <sheetView topLeftCell="B19" zoomScale="90" zoomScaleNormal="90" workbookViewId="0">
      <selection activeCell="I8" sqref="I8"/>
    </sheetView>
  </sheetViews>
  <sheetFormatPr baseColWidth="10" defaultColWidth="11.42578125" defaultRowHeight="15.75" x14ac:dyDescent="0.25"/>
  <cols>
    <col min="2" max="2" width="47.7109375" customWidth="1"/>
    <col min="3" max="3" width="15.140625" style="26" customWidth="1"/>
    <col min="5" max="5" width="1.7109375" customWidth="1"/>
    <col min="6" max="6" width="30" style="125" customWidth="1"/>
    <col min="7" max="7" width="5.42578125" style="31" customWidth="1"/>
    <col min="8" max="8" width="21.42578125" style="30" customWidth="1"/>
    <col min="9" max="9" width="19.5703125" style="30" customWidth="1"/>
    <col min="10" max="10" width="3.140625" style="31" customWidth="1"/>
    <col min="11" max="11" width="20.7109375" style="31" customWidth="1"/>
    <col min="12" max="12" width="20.7109375" style="31" hidden="1" customWidth="1"/>
    <col min="13" max="13" width="1.7109375" customWidth="1"/>
    <col min="14" max="14" width="13.7109375" bestFit="1" customWidth="1"/>
    <col min="15" max="15" width="17" bestFit="1" customWidth="1"/>
    <col min="16" max="16" width="21.140625" customWidth="1"/>
    <col min="17" max="17" width="2.7109375" customWidth="1"/>
    <col min="18" max="18" width="13.28515625" customWidth="1"/>
    <col min="19" max="19" width="16.85546875" customWidth="1"/>
    <col min="20" max="20" width="24.42578125" bestFit="1" customWidth="1"/>
    <col min="21" max="21" width="2.7109375" customWidth="1"/>
    <col min="22" max="22" width="13.28515625" customWidth="1"/>
    <col min="23" max="23" width="16.85546875" customWidth="1"/>
    <col min="24" max="24" width="24.42578125" bestFit="1" customWidth="1"/>
  </cols>
  <sheetData>
    <row r="1" spans="1:24" ht="91.5" customHeight="1" thickBot="1" x14ac:dyDescent="0.3">
      <c r="A1" s="413" t="s">
        <v>0</v>
      </c>
      <c r="B1" s="413"/>
      <c r="C1" s="414" t="s">
        <v>114</v>
      </c>
      <c r="D1" s="415"/>
      <c r="E1" s="415"/>
      <c r="F1" s="415"/>
      <c r="G1" s="415"/>
      <c r="H1" s="415"/>
      <c r="I1" s="415"/>
      <c r="J1" s="415"/>
      <c r="K1" s="415"/>
      <c r="L1" s="415"/>
      <c r="M1" s="415"/>
      <c r="N1" s="415"/>
      <c r="O1" s="415"/>
      <c r="P1" s="415"/>
      <c r="Q1" s="415"/>
      <c r="R1" s="415"/>
      <c r="S1" s="415"/>
      <c r="T1" s="415"/>
      <c r="U1" s="415"/>
      <c r="V1" s="415"/>
      <c r="W1" s="415"/>
      <c r="X1" s="416"/>
    </row>
    <row r="2" spans="1:24" ht="18" x14ac:dyDescent="0.25">
      <c r="A2" s="26"/>
      <c r="B2" s="27"/>
      <c r="C2" s="28"/>
      <c r="D2" s="29"/>
      <c r="E2" s="29"/>
      <c r="F2" s="29"/>
      <c r="G2" s="29"/>
      <c r="H2" s="29"/>
      <c r="I2" s="29"/>
      <c r="J2" s="29"/>
      <c r="K2" s="29"/>
      <c r="L2" s="29"/>
      <c r="M2" s="29"/>
      <c r="N2" s="29"/>
      <c r="O2" s="29"/>
      <c r="P2" s="29"/>
      <c r="Q2" s="29"/>
      <c r="R2" s="29"/>
      <c r="S2" s="29"/>
      <c r="T2" s="29"/>
      <c r="U2" s="29"/>
      <c r="V2" s="29"/>
      <c r="W2" s="29"/>
      <c r="X2" s="29"/>
    </row>
    <row r="3" spans="1:24" ht="16.5" thickBot="1" x14ac:dyDescent="0.3">
      <c r="A3" s="31"/>
      <c r="B3" s="31"/>
      <c r="C3" s="30"/>
      <c r="D3" s="31"/>
      <c r="E3" s="32"/>
      <c r="M3" s="32"/>
      <c r="N3" s="406"/>
      <c r="O3" s="406"/>
      <c r="P3" s="406"/>
      <c r="Q3" s="33"/>
      <c r="R3" s="33"/>
      <c r="S3" s="34"/>
      <c r="T3" s="34"/>
      <c r="U3" s="34"/>
      <c r="V3" s="34"/>
      <c r="W3" s="34"/>
      <c r="X3" s="34"/>
    </row>
    <row r="4" spans="1:24" ht="63" customHeight="1" thickBot="1" x14ac:dyDescent="0.3">
      <c r="A4" s="385" t="s">
        <v>27</v>
      </c>
      <c r="B4" s="385" t="s">
        <v>28</v>
      </c>
      <c r="C4" s="385" t="s">
        <v>29</v>
      </c>
      <c r="D4" s="385" t="s">
        <v>30</v>
      </c>
      <c r="E4" s="32"/>
      <c r="F4" s="423" t="s">
        <v>93</v>
      </c>
      <c r="G4" s="424"/>
      <c r="H4" s="424"/>
      <c r="I4" s="424"/>
      <c r="J4" s="424"/>
      <c r="K4" s="424"/>
      <c r="L4" s="425"/>
      <c r="M4" s="32"/>
      <c r="N4" s="397" t="s">
        <v>70</v>
      </c>
      <c r="O4" s="398"/>
      <c r="P4" s="398"/>
      <c r="Q4" s="398"/>
      <c r="R4" s="398"/>
      <c r="S4" s="398"/>
      <c r="T4" s="398"/>
      <c r="U4" s="398"/>
      <c r="V4" s="398"/>
      <c r="W4" s="398"/>
      <c r="X4" s="399"/>
    </row>
    <row r="5" spans="1:24" ht="16.149999999999999" customHeight="1" thickBot="1" x14ac:dyDescent="0.3">
      <c r="A5" s="386"/>
      <c r="B5" s="386"/>
      <c r="C5" s="386"/>
      <c r="D5" s="386"/>
      <c r="E5" s="32"/>
      <c r="F5" s="417" t="s">
        <v>116</v>
      </c>
      <c r="G5" s="32"/>
      <c r="H5" s="419" t="s">
        <v>88</v>
      </c>
      <c r="I5" s="420"/>
      <c r="J5" s="32"/>
      <c r="K5" s="419" t="s">
        <v>92</v>
      </c>
      <c r="L5" s="420"/>
      <c r="M5" s="32"/>
      <c r="N5" s="388" t="s">
        <v>35</v>
      </c>
      <c r="O5" s="389"/>
      <c r="P5" s="390"/>
      <c r="Q5" s="36"/>
      <c r="R5" s="388" t="s">
        <v>36</v>
      </c>
      <c r="S5" s="389"/>
      <c r="T5" s="390"/>
      <c r="U5" s="36"/>
      <c r="V5" s="388" t="s">
        <v>37</v>
      </c>
      <c r="W5" s="389"/>
      <c r="X5" s="390"/>
    </row>
    <row r="6" spans="1:24" ht="31.9" customHeight="1" thickBot="1" x14ac:dyDescent="0.3">
      <c r="A6" s="386"/>
      <c r="B6" s="386"/>
      <c r="C6" s="386"/>
      <c r="D6" s="386"/>
      <c r="E6" s="32"/>
      <c r="F6" s="418"/>
      <c r="G6" s="126"/>
      <c r="H6" s="421"/>
      <c r="I6" s="422"/>
      <c r="J6" s="45"/>
      <c r="K6" s="421"/>
      <c r="L6" s="422"/>
      <c r="M6" s="32"/>
      <c r="N6" s="383" t="s">
        <v>41</v>
      </c>
      <c r="O6" s="384"/>
      <c r="P6" s="39">
        <v>1</v>
      </c>
      <c r="Q6" s="37"/>
      <c r="R6" s="117" t="s">
        <v>41</v>
      </c>
      <c r="S6" s="118">
        <v>12</v>
      </c>
      <c r="T6" s="142">
        <v>4.3999999999999997E-2</v>
      </c>
      <c r="U6" s="37"/>
      <c r="V6" s="117" t="s">
        <v>41</v>
      </c>
      <c r="W6" s="118">
        <v>11</v>
      </c>
      <c r="X6" s="141">
        <v>0.03</v>
      </c>
    </row>
    <row r="7" spans="1:24" ht="109.9" customHeight="1" thickBot="1" x14ac:dyDescent="0.3">
      <c r="A7" s="387"/>
      <c r="B7" s="387"/>
      <c r="C7" s="387"/>
      <c r="D7" s="387"/>
      <c r="E7" s="40"/>
      <c r="F7" s="436" t="s">
        <v>89</v>
      </c>
      <c r="G7" s="126"/>
      <c r="H7" s="127" t="s">
        <v>91</v>
      </c>
      <c r="I7" s="128" t="s">
        <v>161</v>
      </c>
      <c r="J7" s="45"/>
      <c r="K7" s="426" t="s">
        <v>90</v>
      </c>
      <c r="L7" s="426" t="s">
        <v>94</v>
      </c>
      <c r="M7" s="40"/>
      <c r="N7" s="41" t="s">
        <v>42</v>
      </c>
      <c r="O7" s="41" t="s">
        <v>43</v>
      </c>
      <c r="P7" s="41" t="s">
        <v>44</v>
      </c>
      <c r="Q7" s="42"/>
      <c r="R7" s="41" t="s">
        <v>42</v>
      </c>
      <c r="S7" s="41" t="s">
        <v>43</v>
      </c>
      <c r="T7" s="41" t="s">
        <v>45</v>
      </c>
      <c r="U7" s="42"/>
      <c r="V7" s="41" t="s">
        <v>42</v>
      </c>
      <c r="W7" s="41" t="s">
        <v>43</v>
      </c>
      <c r="X7" s="41" t="s">
        <v>46</v>
      </c>
    </row>
    <row r="8" spans="1:24" ht="31.9" customHeight="1" thickBot="1" x14ac:dyDescent="0.3">
      <c r="A8" s="377" t="s">
        <v>87</v>
      </c>
      <c r="B8" s="378"/>
      <c r="C8" s="378"/>
      <c r="D8" s="379"/>
      <c r="E8" s="32"/>
      <c r="F8" s="437"/>
      <c r="G8" s="126"/>
      <c r="H8" s="129">
        <v>143.66999999999999</v>
      </c>
      <c r="I8" s="130">
        <v>161</v>
      </c>
      <c r="J8" s="45"/>
      <c r="K8" s="427"/>
      <c r="L8" s="427"/>
      <c r="M8" s="32"/>
      <c r="N8" s="263"/>
      <c r="O8" s="55"/>
      <c r="P8" s="55"/>
      <c r="Q8" s="49"/>
      <c r="R8" s="49"/>
      <c r="S8" s="50"/>
      <c r="T8" s="50"/>
      <c r="U8" s="50"/>
      <c r="V8" s="50"/>
      <c r="W8" s="50"/>
      <c r="X8" s="50"/>
    </row>
    <row r="9" spans="1:24" ht="79.5" thickBot="1" x14ac:dyDescent="0.3">
      <c r="A9" s="119">
        <v>1</v>
      </c>
      <c r="B9" s="120" t="s">
        <v>71</v>
      </c>
      <c r="C9" s="143" t="s">
        <v>51</v>
      </c>
      <c r="D9" s="57">
        <v>96</v>
      </c>
      <c r="E9" s="32"/>
      <c r="F9" s="148">
        <v>8360</v>
      </c>
      <c r="G9" s="131"/>
      <c r="H9" s="428">
        <f>ROUND($I$8/$H$8*F9,2)</f>
        <v>9368.41</v>
      </c>
      <c r="I9" s="429"/>
      <c r="K9" s="273">
        <f>ROUND(H9,0)</f>
        <v>9368</v>
      </c>
      <c r="L9" s="132">
        <f>K9*D9</f>
        <v>899328</v>
      </c>
      <c r="M9" s="32"/>
      <c r="N9" s="274">
        <f>K9</f>
        <v>9368</v>
      </c>
      <c r="O9" s="275">
        <f>ROUND(N9*$D9,0)</f>
        <v>899328</v>
      </c>
      <c r="P9" s="276">
        <f>ROUND(O9*$P$6,0)</f>
        <v>899328</v>
      </c>
      <c r="Q9" s="59"/>
      <c r="R9" s="277">
        <f>ROUND(N9+(N9*$T$6),0)</f>
        <v>9780</v>
      </c>
      <c r="S9" s="277">
        <f>ROUND(R9*$D9,2)</f>
        <v>938880</v>
      </c>
      <c r="T9" s="278">
        <f>ROUND(S9*$S$6,2)</f>
        <v>11266560</v>
      </c>
      <c r="U9" s="59"/>
      <c r="V9" s="121">
        <f>ROUND(R9+(R9*$X$6),0)</f>
        <v>10073</v>
      </c>
      <c r="W9" s="121">
        <f>ROUND(V9*$D9,2)</f>
        <v>967008</v>
      </c>
      <c r="X9" s="122">
        <f>ROUND(W9*$W$6,2)</f>
        <v>10637088</v>
      </c>
    </row>
    <row r="10" spans="1:24" ht="142.5" thickBot="1" x14ac:dyDescent="0.3">
      <c r="A10" s="119">
        <v>2</v>
      </c>
      <c r="B10" s="120" t="s">
        <v>79</v>
      </c>
      <c r="C10" s="143" t="s">
        <v>51</v>
      </c>
      <c r="D10" s="64">
        <v>494</v>
      </c>
      <c r="E10" s="32"/>
      <c r="F10" s="146">
        <v>3344</v>
      </c>
      <c r="H10" s="428">
        <f>ROUND($I$8/$H$8*F10,2)</f>
        <v>3747.37</v>
      </c>
      <c r="I10" s="429"/>
      <c r="K10" s="273">
        <f t="shared" ref="K10:K24" si="0">ROUND(H10,0)</f>
        <v>3747</v>
      </c>
      <c r="L10" s="132">
        <f t="shared" ref="L10:L24" si="1">K10*D10</f>
        <v>1851018</v>
      </c>
      <c r="M10" s="32"/>
      <c r="N10" s="274">
        <f t="shared" ref="N10:N24" si="2">K10</f>
        <v>3747</v>
      </c>
      <c r="O10" s="275">
        <f t="shared" ref="O10:O24" si="3">ROUND(N10*$D10,0)</f>
        <v>1851018</v>
      </c>
      <c r="P10" s="276">
        <f t="shared" ref="P10:P24" si="4">ROUND(O10*$P$6,0)</f>
        <v>1851018</v>
      </c>
      <c r="Q10" s="59"/>
      <c r="R10" s="277">
        <f t="shared" ref="R10:R23" si="5">ROUND(N10+(N10*$T$6),0)</f>
        <v>3912</v>
      </c>
      <c r="S10" s="277">
        <f t="shared" ref="S10:S24" si="6">ROUND(R10*$D10,2)</f>
        <v>1932528</v>
      </c>
      <c r="T10" s="278">
        <f t="shared" ref="T10:T24" si="7">ROUND(S10*$S$6,2)</f>
        <v>23190336</v>
      </c>
      <c r="U10" s="59"/>
      <c r="V10" s="121">
        <f t="shared" ref="V10:V24" si="8">ROUND(R10+(R10*$X$6),0)</f>
        <v>4029</v>
      </c>
      <c r="W10" s="121">
        <f t="shared" ref="W10:W24" si="9">ROUND(V10*$D10,2)</f>
        <v>1990326</v>
      </c>
      <c r="X10" s="122">
        <f t="shared" ref="X10:X24" si="10">ROUND(W10*$W$6,2)</f>
        <v>21893586</v>
      </c>
    </row>
    <row r="11" spans="1:24" ht="142.5" thickBot="1" x14ac:dyDescent="0.3">
      <c r="A11" s="119">
        <v>3</v>
      </c>
      <c r="B11" s="120" t="s">
        <v>80</v>
      </c>
      <c r="C11" s="143" t="s">
        <v>51</v>
      </c>
      <c r="D11" s="64">
        <v>301</v>
      </c>
      <c r="E11" s="32"/>
      <c r="F11" s="146">
        <v>3344</v>
      </c>
      <c r="H11" s="428">
        <f t="shared" ref="H11:H23" si="11">ROUND($I$8/$H$8*F11,2)</f>
        <v>3747.37</v>
      </c>
      <c r="I11" s="429"/>
      <c r="K11" s="273">
        <f t="shared" si="0"/>
        <v>3747</v>
      </c>
      <c r="L11" s="132">
        <f t="shared" si="1"/>
        <v>1127847</v>
      </c>
      <c r="M11" s="32"/>
      <c r="N11" s="274">
        <f t="shared" si="2"/>
        <v>3747</v>
      </c>
      <c r="O11" s="275">
        <f t="shared" si="3"/>
        <v>1127847</v>
      </c>
      <c r="P11" s="276">
        <f t="shared" si="4"/>
        <v>1127847</v>
      </c>
      <c r="Q11" s="59"/>
      <c r="R11" s="277">
        <f t="shared" si="5"/>
        <v>3912</v>
      </c>
      <c r="S11" s="277">
        <f t="shared" si="6"/>
        <v>1177512</v>
      </c>
      <c r="T11" s="278">
        <f t="shared" si="7"/>
        <v>14130144</v>
      </c>
      <c r="U11" s="59"/>
      <c r="V11" s="121">
        <f t="shared" si="8"/>
        <v>4029</v>
      </c>
      <c r="W11" s="121">
        <f t="shared" si="9"/>
        <v>1212729</v>
      </c>
      <c r="X11" s="122">
        <f t="shared" si="10"/>
        <v>13340019</v>
      </c>
    </row>
    <row r="12" spans="1:24" ht="174" thickBot="1" x14ac:dyDescent="0.3">
      <c r="A12" s="119">
        <v>4</v>
      </c>
      <c r="B12" s="120" t="s">
        <v>72</v>
      </c>
      <c r="C12" s="143" t="s">
        <v>51</v>
      </c>
      <c r="D12" s="64">
        <v>92</v>
      </c>
      <c r="E12" s="32"/>
      <c r="F12" s="146">
        <v>15049</v>
      </c>
      <c r="H12" s="428">
        <f t="shared" si="11"/>
        <v>16864.27</v>
      </c>
      <c r="I12" s="429"/>
      <c r="K12" s="273">
        <f t="shared" si="0"/>
        <v>16864</v>
      </c>
      <c r="L12" s="132">
        <f t="shared" si="1"/>
        <v>1551488</v>
      </c>
      <c r="M12" s="32"/>
      <c r="N12" s="274">
        <f t="shared" si="2"/>
        <v>16864</v>
      </c>
      <c r="O12" s="275">
        <f t="shared" si="3"/>
        <v>1551488</v>
      </c>
      <c r="P12" s="276">
        <f t="shared" si="4"/>
        <v>1551488</v>
      </c>
      <c r="Q12" s="59"/>
      <c r="R12" s="277">
        <f t="shared" si="5"/>
        <v>17606</v>
      </c>
      <c r="S12" s="277">
        <f t="shared" si="6"/>
        <v>1619752</v>
      </c>
      <c r="T12" s="278">
        <f t="shared" si="7"/>
        <v>19437024</v>
      </c>
      <c r="U12" s="59"/>
      <c r="V12" s="121">
        <f t="shared" si="8"/>
        <v>18134</v>
      </c>
      <c r="W12" s="121">
        <f t="shared" si="9"/>
        <v>1668328</v>
      </c>
      <c r="X12" s="122">
        <f t="shared" si="10"/>
        <v>18351608</v>
      </c>
    </row>
    <row r="13" spans="1:24" ht="205.5" thickBot="1" x14ac:dyDescent="0.3">
      <c r="A13" s="123">
        <v>5</v>
      </c>
      <c r="B13" s="120" t="s">
        <v>81</v>
      </c>
      <c r="C13" s="143" t="s">
        <v>51</v>
      </c>
      <c r="D13" s="64">
        <v>95</v>
      </c>
      <c r="E13" s="32"/>
      <c r="F13" s="146">
        <v>8360</v>
      </c>
      <c r="H13" s="428">
        <f t="shared" si="11"/>
        <v>9368.41</v>
      </c>
      <c r="I13" s="429"/>
      <c r="K13" s="273">
        <f t="shared" si="0"/>
        <v>9368</v>
      </c>
      <c r="L13" s="132">
        <f t="shared" si="1"/>
        <v>889960</v>
      </c>
      <c r="M13" s="32"/>
      <c r="N13" s="274">
        <f t="shared" si="2"/>
        <v>9368</v>
      </c>
      <c r="O13" s="275">
        <f t="shared" si="3"/>
        <v>889960</v>
      </c>
      <c r="P13" s="276">
        <f t="shared" si="4"/>
        <v>889960</v>
      </c>
      <c r="Q13" s="59"/>
      <c r="R13" s="277">
        <f t="shared" si="5"/>
        <v>9780</v>
      </c>
      <c r="S13" s="277">
        <f t="shared" si="6"/>
        <v>929100</v>
      </c>
      <c r="T13" s="278">
        <f t="shared" si="7"/>
        <v>11149200</v>
      </c>
      <c r="U13" s="59"/>
      <c r="V13" s="121">
        <f t="shared" si="8"/>
        <v>10073</v>
      </c>
      <c r="W13" s="121">
        <f t="shared" si="9"/>
        <v>956935</v>
      </c>
      <c r="X13" s="122">
        <f t="shared" si="10"/>
        <v>10526285</v>
      </c>
    </row>
    <row r="14" spans="1:24" ht="79.5" thickBot="1" x14ac:dyDescent="0.3">
      <c r="A14" s="119">
        <v>6</v>
      </c>
      <c r="B14" s="120" t="s">
        <v>75</v>
      </c>
      <c r="C14" s="143" t="s">
        <v>51</v>
      </c>
      <c r="D14" s="57">
        <v>28</v>
      </c>
      <c r="E14" s="32"/>
      <c r="F14" s="146">
        <v>6354</v>
      </c>
      <c r="H14" s="428">
        <f t="shared" si="11"/>
        <v>7120.44</v>
      </c>
      <c r="I14" s="429"/>
      <c r="K14" s="273">
        <f t="shared" si="0"/>
        <v>7120</v>
      </c>
      <c r="L14" s="132">
        <f t="shared" si="1"/>
        <v>199360</v>
      </c>
      <c r="M14" s="32"/>
      <c r="N14" s="274">
        <f t="shared" si="2"/>
        <v>7120</v>
      </c>
      <c r="O14" s="275">
        <f t="shared" si="3"/>
        <v>199360</v>
      </c>
      <c r="P14" s="276">
        <f t="shared" si="4"/>
        <v>199360</v>
      </c>
      <c r="Q14" s="59"/>
      <c r="R14" s="277">
        <f t="shared" si="5"/>
        <v>7433</v>
      </c>
      <c r="S14" s="277">
        <f t="shared" si="6"/>
        <v>208124</v>
      </c>
      <c r="T14" s="278">
        <f t="shared" si="7"/>
        <v>2497488</v>
      </c>
      <c r="U14" s="59"/>
      <c r="V14" s="121">
        <f t="shared" si="8"/>
        <v>7656</v>
      </c>
      <c r="W14" s="121">
        <f t="shared" si="9"/>
        <v>214368</v>
      </c>
      <c r="X14" s="122">
        <f t="shared" si="10"/>
        <v>2358048</v>
      </c>
    </row>
    <row r="15" spans="1:24" ht="315.75" thickBot="1" x14ac:dyDescent="0.3">
      <c r="A15" s="124">
        <v>7</v>
      </c>
      <c r="B15" s="120" t="s">
        <v>78</v>
      </c>
      <c r="C15" s="143" t="s">
        <v>51</v>
      </c>
      <c r="D15" s="57">
        <v>44</v>
      </c>
      <c r="E15" s="32"/>
      <c r="F15" s="145">
        <v>8360</v>
      </c>
      <c r="H15" s="428">
        <f t="shared" si="11"/>
        <v>9368.41</v>
      </c>
      <c r="I15" s="429"/>
      <c r="K15" s="273">
        <f t="shared" si="0"/>
        <v>9368</v>
      </c>
      <c r="L15" s="132">
        <f t="shared" si="1"/>
        <v>412192</v>
      </c>
      <c r="M15" s="32"/>
      <c r="N15" s="274">
        <f t="shared" si="2"/>
        <v>9368</v>
      </c>
      <c r="O15" s="275">
        <f t="shared" si="3"/>
        <v>412192</v>
      </c>
      <c r="P15" s="276">
        <f t="shared" si="4"/>
        <v>412192</v>
      </c>
      <c r="Q15" s="59"/>
      <c r="R15" s="277">
        <f t="shared" si="5"/>
        <v>9780</v>
      </c>
      <c r="S15" s="277">
        <f t="shared" si="6"/>
        <v>430320</v>
      </c>
      <c r="T15" s="278">
        <f t="shared" si="7"/>
        <v>5163840</v>
      </c>
      <c r="U15" s="59"/>
      <c r="V15" s="121">
        <f t="shared" si="8"/>
        <v>10073</v>
      </c>
      <c r="W15" s="121">
        <f t="shared" si="9"/>
        <v>443212</v>
      </c>
      <c r="X15" s="122">
        <f t="shared" si="10"/>
        <v>4875332</v>
      </c>
    </row>
    <row r="16" spans="1:24" ht="158.25" thickBot="1" x14ac:dyDescent="0.3">
      <c r="A16" s="124">
        <v>8</v>
      </c>
      <c r="B16" s="120" t="s">
        <v>76</v>
      </c>
      <c r="C16" s="143" t="s">
        <v>51</v>
      </c>
      <c r="D16" s="64">
        <v>56</v>
      </c>
      <c r="E16" s="32"/>
      <c r="F16" s="145">
        <v>23408</v>
      </c>
      <c r="H16" s="428">
        <f t="shared" si="11"/>
        <v>26231.56</v>
      </c>
      <c r="I16" s="429"/>
      <c r="K16" s="273">
        <f t="shared" si="0"/>
        <v>26232</v>
      </c>
      <c r="L16" s="132">
        <f t="shared" si="1"/>
        <v>1468992</v>
      </c>
      <c r="M16" s="32"/>
      <c r="N16" s="274">
        <f t="shared" si="2"/>
        <v>26232</v>
      </c>
      <c r="O16" s="275">
        <f t="shared" si="3"/>
        <v>1468992</v>
      </c>
      <c r="P16" s="276">
        <f t="shared" si="4"/>
        <v>1468992</v>
      </c>
      <c r="Q16" s="59"/>
      <c r="R16" s="277">
        <f t="shared" si="5"/>
        <v>27386</v>
      </c>
      <c r="S16" s="277">
        <f t="shared" si="6"/>
        <v>1533616</v>
      </c>
      <c r="T16" s="278">
        <f t="shared" si="7"/>
        <v>18403392</v>
      </c>
      <c r="U16" s="59"/>
      <c r="V16" s="121">
        <f t="shared" si="8"/>
        <v>28208</v>
      </c>
      <c r="W16" s="121">
        <f t="shared" si="9"/>
        <v>1579648</v>
      </c>
      <c r="X16" s="122">
        <f t="shared" si="10"/>
        <v>17376128</v>
      </c>
    </row>
    <row r="17" spans="1:24" ht="237" thickBot="1" x14ac:dyDescent="0.3">
      <c r="A17" s="124">
        <v>9</v>
      </c>
      <c r="B17" s="120" t="s">
        <v>82</v>
      </c>
      <c r="C17" s="143" t="s">
        <v>51</v>
      </c>
      <c r="D17" s="64">
        <v>10</v>
      </c>
      <c r="E17" s="32"/>
      <c r="F17" s="147">
        <v>17389</v>
      </c>
      <c r="H17" s="428">
        <f t="shared" si="11"/>
        <v>19486.52</v>
      </c>
      <c r="I17" s="429"/>
      <c r="K17" s="273">
        <f t="shared" si="0"/>
        <v>19487</v>
      </c>
      <c r="L17" s="132">
        <f t="shared" si="1"/>
        <v>194870</v>
      </c>
      <c r="M17" s="32"/>
      <c r="N17" s="274">
        <f t="shared" si="2"/>
        <v>19487</v>
      </c>
      <c r="O17" s="275">
        <f t="shared" si="3"/>
        <v>194870</v>
      </c>
      <c r="P17" s="276">
        <f t="shared" si="4"/>
        <v>194870</v>
      </c>
      <c r="Q17" s="59"/>
      <c r="R17" s="277">
        <f t="shared" si="5"/>
        <v>20344</v>
      </c>
      <c r="S17" s="277">
        <f t="shared" si="6"/>
        <v>203440</v>
      </c>
      <c r="T17" s="278">
        <f t="shared" si="7"/>
        <v>2441280</v>
      </c>
      <c r="U17" s="59"/>
      <c r="V17" s="121">
        <f t="shared" si="8"/>
        <v>20954</v>
      </c>
      <c r="W17" s="121">
        <f t="shared" si="9"/>
        <v>209540</v>
      </c>
      <c r="X17" s="122">
        <f t="shared" si="10"/>
        <v>2304940</v>
      </c>
    </row>
    <row r="18" spans="1:24" ht="126.75" thickBot="1" x14ac:dyDescent="0.3">
      <c r="A18" s="124">
        <v>10</v>
      </c>
      <c r="B18" s="120" t="s">
        <v>83</v>
      </c>
      <c r="C18" s="143" t="s">
        <v>51</v>
      </c>
      <c r="D18" s="57">
        <v>58</v>
      </c>
      <c r="E18" s="32"/>
      <c r="F18" s="147">
        <v>8360</v>
      </c>
      <c r="H18" s="428">
        <f t="shared" si="11"/>
        <v>9368.41</v>
      </c>
      <c r="I18" s="429"/>
      <c r="K18" s="273">
        <f t="shared" si="0"/>
        <v>9368</v>
      </c>
      <c r="L18" s="132">
        <f t="shared" si="1"/>
        <v>543344</v>
      </c>
      <c r="M18" s="32"/>
      <c r="N18" s="274">
        <f t="shared" si="2"/>
        <v>9368</v>
      </c>
      <c r="O18" s="275">
        <f t="shared" si="3"/>
        <v>543344</v>
      </c>
      <c r="P18" s="276">
        <f t="shared" si="4"/>
        <v>543344</v>
      </c>
      <c r="Q18" s="59"/>
      <c r="R18" s="277">
        <f t="shared" si="5"/>
        <v>9780</v>
      </c>
      <c r="S18" s="277">
        <f t="shared" si="6"/>
        <v>567240</v>
      </c>
      <c r="T18" s="278">
        <f t="shared" si="7"/>
        <v>6806880</v>
      </c>
      <c r="U18" s="59"/>
      <c r="V18" s="121">
        <f t="shared" si="8"/>
        <v>10073</v>
      </c>
      <c r="W18" s="121">
        <f t="shared" si="9"/>
        <v>584234</v>
      </c>
      <c r="X18" s="122">
        <f t="shared" si="10"/>
        <v>6426574</v>
      </c>
    </row>
    <row r="19" spans="1:24" ht="205.5" thickBot="1" x14ac:dyDescent="0.3">
      <c r="A19" s="124">
        <v>11</v>
      </c>
      <c r="B19" s="120" t="s">
        <v>84</v>
      </c>
      <c r="C19" s="143" t="s">
        <v>51</v>
      </c>
      <c r="D19" s="64">
        <v>81</v>
      </c>
      <c r="E19" s="32"/>
      <c r="F19" s="146">
        <v>11704</v>
      </c>
      <c r="H19" s="428">
        <f t="shared" si="11"/>
        <v>13115.78</v>
      </c>
      <c r="I19" s="429"/>
      <c r="K19" s="273">
        <f t="shared" si="0"/>
        <v>13116</v>
      </c>
      <c r="L19" s="132">
        <f t="shared" si="1"/>
        <v>1062396</v>
      </c>
      <c r="M19" s="32"/>
      <c r="N19" s="274">
        <f t="shared" si="2"/>
        <v>13116</v>
      </c>
      <c r="O19" s="275">
        <f t="shared" si="3"/>
        <v>1062396</v>
      </c>
      <c r="P19" s="276">
        <f t="shared" si="4"/>
        <v>1062396</v>
      </c>
      <c r="Q19" s="59"/>
      <c r="R19" s="277">
        <f t="shared" si="5"/>
        <v>13693</v>
      </c>
      <c r="S19" s="277">
        <f t="shared" si="6"/>
        <v>1109133</v>
      </c>
      <c r="T19" s="278">
        <f t="shared" si="7"/>
        <v>13309596</v>
      </c>
      <c r="U19" s="59"/>
      <c r="V19" s="121">
        <f t="shared" si="8"/>
        <v>14104</v>
      </c>
      <c r="W19" s="121">
        <f t="shared" si="9"/>
        <v>1142424</v>
      </c>
      <c r="X19" s="122">
        <f t="shared" si="10"/>
        <v>12566664</v>
      </c>
    </row>
    <row r="20" spans="1:24" ht="126.75" thickBot="1" x14ac:dyDescent="0.3">
      <c r="A20" s="124">
        <v>12</v>
      </c>
      <c r="B20" s="120" t="s">
        <v>73</v>
      </c>
      <c r="C20" s="143" t="s">
        <v>51</v>
      </c>
      <c r="D20" s="64">
        <v>81</v>
      </c>
      <c r="E20" s="32"/>
      <c r="F20" s="147">
        <v>5016</v>
      </c>
      <c r="H20" s="428">
        <f t="shared" si="11"/>
        <v>5621.05</v>
      </c>
      <c r="I20" s="429"/>
      <c r="K20" s="273">
        <f t="shared" si="0"/>
        <v>5621</v>
      </c>
      <c r="L20" s="132">
        <f t="shared" si="1"/>
        <v>455301</v>
      </c>
      <c r="M20" s="32"/>
      <c r="N20" s="274">
        <f t="shared" si="2"/>
        <v>5621</v>
      </c>
      <c r="O20" s="275">
        <f t="shared" si="3"/>
        <v>455301</v>
      </c>
      <c r="P20" s="276">
        <f t="shared" si="4"/>
        <v>455301</v>
      </c>
      <c r="Q20" s="59"/>
      <c r="R20" s="277">
        <f t="shared" si="5"/>
        <v>5868</v>
      </c>
      <c r="S20" s="277">
        <f t="shared" si="6"/>
        <v>475308</v>
      </c>
      <c r="T20" s="278">
        <f t="shared" si="7"/>
        <v>5703696</v>
      </c>
      <c r="U20" s="59"/>
      <c r="V20" s="121">
        <f t="shared" si="8"/>
        <v>6044</v>
      </c>
      <c r="W20" s="121">
        <f t="shared" si="9"/>
        <v>489564</v>
      </c>
      <c r="X20" s="122">
        <f t="shared" si="10"/>
        <v>5385204</v>
      </c>
    </row>
    <row r="21" spans="1:24" ht="79.5" thickBot="1" x14ac:dyDescent="0.3">
      <c r="A21" s="124">
        <v>13</v>
      </c>
      <c r="B21" s="120" t="s">
        <v>74</v>
      </c>
      <c r="C21" s="143" t="s">
        <v>51</v>
      </c>
      <c r="D21" s="64">
        <v>192</v>
      </c>
      <c r="E21" s="32"/>
      <c r="F21" s="147">
        <v>4682</v>
      </c>
      <c r="H21" s="428">
        <f t="shared" si="11"/>
        <v>5246.76</v>
      </c>
      <c r="I21" s="429"/>
      <c r="K21" s="273">
        <f t="shared" si="0"/>
        <v>5247</v>
      </c>
      <c r="L21" s="132">
        <f t="shared" si="1"/>
        <v>1007424</v>
      </c>
      <c r="M21" s="32"/>
      <c r="N21" s="274">
        <f t="shared" si="2"/>
        <v>5247</v>
      </c>
      <c r="O21" s="275">
        <f t="shared" si="3"/>
        <v>1007424</v>
      </c>
      <c r="P21" s="276">
        <f t="shared" si="4"/>
        <v>1007424</v>
      </c>
      <c r="Q21" s="59"/>
      <c r="R21" s="277">
        <f t="shared" si="5"/>
        <v>5478</v>
      </c>
      <c r="S21" s="277">
        <f t="shared" si="6"/>
        <v>1051776</v>
      </c>
      <c r="T21" s="278">
        <f t="shared" si="7"/>
        <v>12621312</v>
      </c>
      <c r="U21" s="59"/>
      <c r="V21" s="121">
        <f t="shared" si="8"/>
        <v>5642</v>
      </c>
      <c r="W21" s="121">
        <f t="shared" si="9"/>
        <v>1083264</v>
      </c>
      <c r="X21" s="122">
        <f t="shared" si="10"/>
        <v>11915904</v>
      </c>
    </row>
    <row r="22" spans="1:24" ht="126.75" thickBot="1" x14ac:dyDescent="0.3">
      <c r="A22" s="124">
        <v>14</v>
      </c>
      <c r="B22" s="120" t="s">
        <v>85</v>
      </c>
      <c r="C22" s="144" t="s">
        <v>51</v>
      </c>
      <c r="D22" s="57">
        <v>16</v>
      </c>
      <c r="E22" s="32"/>
      <c r="F22" s="147">
        <v>40129</v>
      </c>
      <c r="H22" s="428">
        <f t="shared" si="11"/>
        <v>44969.51</v>
      </c>
      <c r="I22" s="429"/>
      <c r="K22" s="273">
        <f t="shared" si="0"/>
        <v>44970</v>
      </c>
      <c r="L22" s="132">
        <f t="shared" si="1"/>
        <v>719520</v>
      </c>
      <c r="M22" s="32"/>
      <c r="N22" s="274">
        <f t="shared" si="2"/>
        <v>44970</v>
      </c>
      <c r="O22" s="275">
        <f t="shared" si="3"/>
        <v>719520</v>
      </c>
      <c r="P22" s="276">
        <f t="shared" si="4"/>
        <v>719520</v>
      </c>
      <c r="Q22" s="59"/>
      <c r="R22" s="277">
        <f t="shared" si="5"/>
        <v>46949</v>
      </c>
      <c r="S22" s="277">
        <f t="shared" si="6"/>
        <v>751184</v>
      </c>
      <c r="T22" s="278">
        <f t="shared" si="7"/>
        <v>9014208</v>
      </c>
      <c r="U22" s="59"/>
      <c r="V22" s="121">
        <f t="shared" si="8"/>
        <v>48357</v>
      </c>
      <c r="W22" s="121">
        <f t="shared" si="9"/>
        <v>773712</v>
      </c>
      <c r="X22" s="122">
        <f t="shared" si="10"/>
        <v>8510832</v>
      </c>
    </row>
    <row r="23" spans="1:24" ht="205.5" thickBot="1" x14ac:dyDescent="0.3">
      <c r="A23" s="123">
        <v>15</v>
      </c>
      <c r="B23" s="120" t="s">
        <v>86</v>
      </c>
      <c r="C23" s="143" t="s">
        <v>51</v>
      </c>
      <c r="D23" s="64">
        <v>1</v>
      </c>
      <c r="E23" s="32"/>
      <c r="F23" s="147">
        <v>369526</v>
      </c>
      <c r="H23" s="428">
        <f t="shared" si="11"/>
        <v>414099.58</v>
      </c>
      <c r="I23" s="429"/>
      <c r="K23" s="273">
        <f t="shared" si="0"/>
        <v>414100</v>
      </c>
      <c r="L23" s="132">
        <f t="shared" si="1"/>
        <v>414100</v>
      </c>
      <c r="M23" s="32"/>
      <c r="N23" s="274">
        <f t="shared" si="2"/>
        <v>414100</v>
      </c>
      <c r="O23" s="275">
        <f t="shared" si="3"/>
        <v>414100</v>
      </c>
      <c r="P23" s="276">
        <f t="shared" si="4"/>
        <v>414100</v>
      </c>
      <c r="Q23" s="59"/>
      <c r="R23" s="277">
        <f t="shared" si="5"/>
        <v>432320</v>
      </c>
      <c r="S23" s="277">
        <f t="shared" si="6"/>
        <v>432320</v>
      </c>
      <c r="T23" s="278">
        <f t="shared" si="7"/>
        <v>5187840</v>
      </c>
      <c r="U23" s="59"/>
      <c r="V23" s="121">
        <f t="shared" si="8"/>
        <v>445290</v>
      </c>
      <c r="W23" s="121">
        <f t="shared" si="9"/>
        <v>445290</v>
      </c>
      <c r="X23" s="122">
        <f t="shared" si="10"/>
        <v>4898190</v>
      </c>
    </row>
    <row r="24" spans="1:24" ht="142.5" thickBot="1" x14ac:dyDescent="0.3">
      <c r="A24" s="123">
        <v>16</v>
      </c>
      <c r="B24" s="120" t="s">
        <v>77</v>
      </c>
      <c r="C24" s="143" t="s">
        <v>51</v>
      </c>
      <c r="D24" s="64">
        <v>28</v>
      </c>
      <c r="E24" s="32"/>
      <c r="F24" s="147">
        <v>15049</v>
      </c>
      <c r="H24" s="428">
        <f>ROUND($I$8/$H$8*F24,2)</f>
        <v>16864.27</v>
      </c>
      <c r="I24" s="429"/>
      <c r="K24" s="273">
        <f t="shared" si="0"/>
        <v>16864</v>
      </c>
      <c r="L24" s="132">
        <f t="shared" si="1"/>
        <v>472192</v>
      </c>
      <c r="M24" s="32"/>
      <c r="N24" s="274">
        <f t="shared" si="2"/>
        <v>16864</v>
      </c>
      <c r="O24" s="275">
        <f t="shared" si="3"/>
        <v>472192</v>
      </c>
      <c r="P24" s="276">
        <f t="shared" si="4"/>
        <v>472192</v>
      </c>
      <c r="Q24" s="59"/>
      <c r="R24" s="277">
        <f>ROUND(N24+(N24*$T$6),0)</f>
        <v>17606</v>
      </c>
      <c r="S24" s="277">
        <f t="shared" si="6"/>
        <v>492968</v>
      </c>
      <c r="T24" s="278">
        <f t="shared" si="7"/>
        <v>5915616</v>
      </c>
      <c r="U24" s="59"/>
      <c r="V24" s="121">
        <f t="shared" si="8"/>
        <v>18134</v>
      </c>
      <c r="W24" s="121">
        <f t="shared" si="9"/>
        <v>507752</v>
      </c>
      <c r="X24" s="122">
        <f t="shared" si="10"/>
        <v>5585272</v>
      </c>
    </row>
    <row r="25" spans="1:24" ht="18.75" thickBot="1" x14ac:dyDescent="0.3">
      <c r="A25" s="430" t="s">
        <v>87</v>
      </c>
      <c r="B25" s="431"/>
      <c r="C25" s="432"/>
      <c r="D25" s="66">
        <f>SUM(D9:D24)</f>
        <v>1673</v>
      </c>
      <c r="E25" s="32"/>
      <c r="F25" s="122">
        <f>SUM(F9:F24)</f>
        <v>548434</v>
      </c>
      <c r="G25" s="133"/>
      <c r="H25" s="428">
        <f>SUM(H9:I24)</f>
        <v>614588.12000000011</v>
      </c>
      <c r="I25" s="429"/>
      <c r="J25" s="134"/>
      <c r="K25" s="280">
        <f>SUM(K9:K24)</f>
        <v>614587</v>
      </c>
      <c r="L25" s="135">
        <f>SUM(L9:L24)</f>
        <v>13269332</v>
      </c>
      <c r="M25" s="32"/>
      <c r="N25" s="67"/>
      <c r="O25" s="59"/>
      <c r="P25" s="279">
        <f>ROUND(SUM(P9:P24),2)</f>
        <v>13269332</v>
      </c>
      <c r="Q25" s="59"/>
      <c r="R25" s="59"/>
      <c r="S25" s="69"/>
      <c r="T25" s="279">
        <f>ROUND(SUM(T9:T24),2)</f>
        <v>166238412</v>
      </c>
      <c r="U25" s="59"/>
      <c r="V25" s="69"/>
      <c r="W25" s="69"/>
      <c r="X25" s="279">
        <f>ROUND(SUM(X9:X24),2)</f>
        <v>156951674</v>
      </c>
    </row>
    <row r="26" spans="1:24" ht="16.5" thickBot="1" x14ac:dyDescent="0.3">
      <c r="F26" s="136"/>
      <c r="G26" s="45"/>
      <c r="H26" s="438"/>
      <c r="I26" s="438"/>
      <c r="J26" s="45"/>
      <c r="L26" s="137"/>
    </row>
    <row r="27" spans="1:24" ht="21" thickBot="1" x14ac:dyDescent="0.3">
      <c r="A27" s="433" t="s">
        <v>95</v>
      </c>
      <c r="B27" s="434"/>
      <c r="C27" s="435"/>
      <c r="P27" s="226">
        <f>P25</f>
        <v>13269332</v>
      </c>
      <c r="T27" s="226">
        <f>T25</f>
        <v>166238412</v>
      </c>
      <c r="X27" s="226">
        <f>X25</f>
        <v>156951674</v>
      </c>
    </row>
    <row r="31" spans="1:24" x14ac:dyDescent="0.25">
      <c r="X31" s="272"/>
    </row>
    <row r="32" spans="1:24" ht="16.5" x14ac:dyDescent="0.3">
      <c r="F32" s="138"/>
      <c r="G32" s="139"/>
      <c r="H32" s="139"/>
      <c r="I32" s="139"/>
      <c r="J32" s="1"/>
      <c r="K32" s="139"/>
      <c r="L32" s="139"/>
      <c r="T32" s="272"/>
      <c r="X32" s="272"/>
    </row>
    <row r="33" spans="6:19" ht="16.5" x14ac:dyDescent="0.3">
      <c r="F33" s="138"/>
      <c r="G33" s="139"/>
      <c r="H33" s="139"/>
      <c r="I33" s="139"/>
      <c r="J33" s="1"/>
      <c r="K33" s="139"/>
      <c r="L33" s="139"/>
    </row>
    <row r="34" spans="6:19" x14ac:dyDescent="0.25">
      <c r="F34" s="138"/>
      <c r="G34" s="140"/>
      <c r="H34" s="140"/>
      <c r="I34" s="140"/>
      <c r="J34" s="140"/>
      <c r="K34" s="140"/>
      <c r="L34" s="140"/>
    </row>
    <row r="35" spans="6:19" ht="16.5" x14ac:dyDescent="0.3">
      <c r="F35" s="138"/>
      <c r="G35" s="1"/>
      <c r="H35" s="1"/>
      <c r="I35" s="1"/>
      <c r="J35" s="1"/>
      <c r="K35" s="1"/>
      <c r="L35" s="1"/>
      <c r="S35" s="272"/>
    </row>
    <row r="36" spans="6:19" ht="16.5" x14ac:dyDescent="0.3">
      <c r="F36" s="1"/>
      <c r="G36" s="1"/>
      <c r="H36" s="1"/>
      <c r="I36" s="1"/>
      <c r="J36" s="1"/>
      <c r="K36" s="1"/>
      <c r="L36" s="1"/>
    </row>
    <row r="37" spans="6:19" ht="16.5" x14ac:dyDescent="0.3">
      <c r="F37" s="138"/>
      <c r="G37" s="1"/>
      <c r="H37" s="1"/>
      <c r="I37" s="1"/>
      <c r="J37" s="1"/>
      <c r="K37" s="1"/>
      <c r="L37" s="1"/>
    </row>
    <row r="38" spans="6:19" ht="16.5" x14ac:dyDescent="0.3">
      <c r="F38" s="138"/>
      <c r="G38" s="1"/>
      <c r="H38" s="1"/>
      <c r="I38" s="1"/>
      <c r="J38" s="1"/>
      <c r="K38" s="1"/>
      <c r="L38" s="1"/>
    </row>
    <row r="39" spans="6:19" ht="16.5" x14ac:dyDescent="0.3">
      <c r="F39" s="138"/>
      <c r="G39" s="1"/>
      <c r="H39" s="1"/>
      <c r="I39" s="1"/>
      <c r="J39" s="1"/>
      <c r="K39" s="1"/>
      <c r="L39" s="1"/>
    </row>
    <row r="40" spans="6:19" ht="16.5" x14ac:dyDescent="0.3">
      <c r="F40" s="138"/>
      <c r="G40" s="1"/>
      <c r="H40" s="1"/>
      <c r="I40" s="1"/>
      <c r="J40" s="1"/>
      <c r="K40" s="1"/>
      <c r="L40" s="1"/>
    </row>
    <row r="41" spans="6:19" ht="16.5" x14ac:dyDescent="0.3">
      <c r="F41" s="138"/>
      <c r="G41" s="1"/>
      <c r="H41" s="1"/>
      <c r="I41" s="1"/>
      <c r="J41" s="1"/>
      <c r="K41" s="1"/>
      <c r="L41" s="1"/>
    </row>
    <row r="42" spans="6:19" ht="16.5" x14ac:dyDescent="0.3">
      <c r="F42" s="138"/>
      <c r="G42" s="1"/>
      <c r="H42" s="1"/>
      <c r="I42" s="1"/>
      <c r="J42" s="1"/>
      <c r="K42" s="1"/>
      <c r="L42" s="1"/>
    </row>
  </sheetData>
  <mergeCells count="40">
    <mergeCell ref="L7:L8"/>
    <mergeCell ref="A27:C27"/>
    <mergeCell ref="H25:I25"/>
    <mergeCell ref="K5:L6"/>
    <mergeCell ref="H24:I24"/>
    <mergeCell ref="F7:F8"/>
    <mergeCell ref="H21:I21"/>
    <mergeCell ref="H22:I22"/>
    <mergeCell ref="H23:I23"/>
    <mergeCell ref="H26:I26"/>
    <mergeCell ref="H15:I15"/>
    <mergeCell ref="H16:I16"/>
    <mergeCell ref="H17:I17"/>
    <mergeCell ref="H18:I18"/>
    <mergeCell ref="H19:I19"/>
    <mergeCell ref="H20:I20"/>
    <mergeCell ref="H9:I9"/>
    <mergeCell ref="A8:D8"/>
    <mergeCell ref="A25:C25"/>
    <mergeCell ref="H10:I10"/>
    <mergeCell ref="H11:I11"/>
    <mergeCell ref="H12:I12"/>
    <mergeCell ref="H13:I13"/>
    <mergeCell ref="H14:I14"/>
    <mergeCell ref="A1:B1"/>
    <mergeCell ref="C1:X1"/>
    <mergeCell ref="N3:P3"/>
    <mergeCell ref="A4:A7"/>
    <mergeCell ref="B4:B7"/>
    <mergeCell ref="C4:C7"/>
    <mergeCell ref="D4:D7"/>
    <mergeCell ref="N4:X4"/>
    <mergeCell ref="N5:P5"/>
    <mergeCell ref="R5:T5"/>
    <mergeCell ref="V5:X5"/>
    <mergeCell ref="N6:O6"/>
    <mergeCell ref="F5:F6"/>
    <mergeCell ref="H5:I6"/>
    <mergeCell ref="F4:L4"/>
    <mergeCell ref="K7:K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B243D-18AA-4BB9-A7A8-88B9F9490A84}">
  <dimension ref="B1:I36"/>
  <sheetViews>
    <sheetView tabSelected="1" workbookViewId="0">
      <selection activeCell="J16" sqref="J16"/>
    </sheetView>
  </sheetViews>
  <sheetFormatPr baseColWidth="10" defaultRowHeight="15" x14ac:dyDescent="0.25"/>
  <cols>
    <col min="2" max="2" width="40.7109375" customWidth="1"/>
    <col min="3" max="6" width="30.7109375" customWidth="1"/>
    <col min="8" max="8" width="16.7109375" bestFit="1" customWidth="1"/>
    <col min="9" max="9" width="14" bestFit="1" customWidth="1"/>
  </cols>
  <sheetData>
    <row r="1" spans="2:9" ht="15.75" thickBot="1" x14ac:dyDescent="0.3"/>
    <row r="2" spans="2:9" ht="40.15" customHeight="1" x14ac:dyDescent="0.25">
      <c r="B2" s="282" t="s">
        <v>0</v>
      </c>
      <c r="C2" s="285" t="s">
        <v>114</v>
      </c>
      <c r="D2" s="286"/>
      <c r="E2" s="286"/>
      <c r="F2" s="287"/>
    </row>
    <row r="3" spans="2:9" x14ac:dyDescent="0.25">
      <c r="B3" s="283"/>
      <c r="C3" s="288"/>
      <c r="D3" s="289"/>
      <c r="E3" s="289"/>
      <c r="F3" s="290"/>
    </row>
    <row r="4" spans="2:9" ht="47.45" customHeight="1" thickBot="1" x14ac:dyDescent="0.3">
      <c r="B4" s="284"/>
      <c r="C4" s="291"/>
      <c r="D4" s="292"/>
      <c r="E4" s="292"/>
      <c r="F4" s="293"/>
    </row>
    <row r="5" spans="2:9" ht="15.75" x14ac:dyDescent="0.25">
      <c r="B5" s="149"/>
      <c r="C5" s="149"/>
      <c r="D5" s="149"/>
      <c r="E5" s="149"/>
      <c r="F5" s="150"/>
    </row>
    <row r="6" spans="2:9" ht="15.75" x14ac:dyDescent="0.25">
      <c r="B6" s="149"/>
      <c r="C6" s="149"/>
      <c r="D6" s="149"/>
      <c r="E6" s="149"/>
      <c r="F6" s="150"/>
    </row>
    <row r="7" spans="2:9" ht="16.5" thickBot="1" x14ac:dyDescent="0.3">
      <c r="B7" s="149"/>
      <c r="C7" s="149"/>
      <c r="D7" s="149"/>
      <c r="E7" s="149"/>
      <c r="F7" s="150"/>
    </row>
    <row r="8" spans="2:9" ht="25.15" customHeight="1" x14ac:dyDescent="0.25">
      <c r="B8" s="151" t="s">
        <v>96</v>
      </c>
      <c r="C8" s="152" t="s">
        <v>97</v>
      </c>
      <c r="D8" s="152" t="s">
        <v>111</v>
      </c>
      <c r="E8" s="152" t="s">
        <v>112</v>
      </c>
      <c r="F8" s="153" t="s">
        <v>98</v>
      </c>
    </row>
    <row r="9" spans="2:9" ht="15.75" x14ac:dyDescent="0.25">
      <c r="B9" s="154" t="s">
        <v>99</v>
      </c>
      <c r="C9" s="155">
        <f>'ANEXO 1 - F.H. 2026'!L46</f>
        <v>2243057183.52</v>
      </c>
      <c r="D9" s="155">
        <f>'ANEXO 1.1 - F.H. 2027'!L62</f>
        <v>28334847358.560001</v>
      </c>
      <c r="E9" s="155">
        <f>'ANEXO 1,2 - F.H. 2028'!L47</f>
        <v>26973623884.900002</v>
      </c>
      <c r="F9" s="156">
        <f>SUM(C9:E9)</f>
        <v>57551528426.980003</v>
      </c>
    </row>
    <row r="10" spans="2:9" ht="15.75" x14ac:dyDescent="0.25">
      <c r="B10" s="154" t="s">
        <v>100</v>
      </c>
      <c r="C10" s="155">
        <f>'HISTORICO Y CONSOLIDADO MED T'!P27</f>
        <v>13269332</v>
      </c>
      <c r="D10" s="155">
        <f>'HISTORICO Y CONSOLIDADO MED T'!T27</f>
        <v>166238412</v>
      </c>
      <c r="E10" s="155">
        <f>'HISTORICO Y CONSOLIDADO MED T'!X27</f>
        <v>156951674</v>
      </c>
      <c r="F10" s="156">
        <f>SUM(C10:E10)</f>
        <v>336459418</v>
      </c>
      <c r="H10" s="181"/>
      <c r="I10" s="181"/>
    </row>
    <row r="11" spans="2:9" ht="17.25" thickBot="1" x14ac:dyDescent="0.3">
      <c r="B11" s="157" t="s">
        <v>101</v>
      </c>
      <c r="C11" s="158">
        <f>SUM(C9:C10)</f>
        <v>2256326515.52</v>
      </c>
      <c r="D11" s="158">
        <f>SUM(D9:D10)</f>
        <v>28501085770.560001</v>
      </c>
      <c r="E11" s="158">
        <f>SUM(E9:E10)</f>
        <v>27130575558.900002</v>
      </c>
      <c r="F11" s="281">
        <f>SUM(C11:E11)</f>
        <v>57887987844.980003</v>
      </c>
      <c r="H11" s="181"/>
    </row>
    <row r="12" spans="2:9" ht="25.15" customHeight="1" x14ac:dyDescent="0.25">
      <c r="B12" s="159" t="s">
        <v>96</v>
      </c>
      <c r="C12" s="152" t="s">
        <v>97</v>
      </c>
      <c r="D12" s="152" t="s">
        <v>111</v>
      </c>
      <c r="E12" s="152" t="s">
        <v>112</v>
      </c>
      <c r="F12" s="160" t="s">
        <v>98</v>
      </c>
      <c r="H12" s="181"/>
    </row>
    <row r="13" spans="2:9" ht="15.75" x14ac:dyDescent="0.25">
      <c r="B13" s="154" t="s">
        <v>102</v>
      </c>
      <c r="C13" s="161">
        <f>'ANEXO 1 - F.H. 2026'!L51</f>
        <v>20039719.219999999</v>
      </c>
      <c r="D13" s="162">
        <f>'ANEXO 1.1 - F.H. 2027'!L75</f>
        <v>253146638.57999998</v>
      </c>
      <c r="E13" s="162">
        <f>'ANEXO 1,2 - F.H. 2028'!L55</f>
        <v>240985318.53</v>
      </c>
      <c r="F13" s="163">
        <f>SUM(C13:E13)</f>
        <v>514171676.32999992</v>
      </c>
      <c r="H13" s="181"/>
    </row>
    <row r="14" spans="2:9" ht="15.75" x14ac:dyDescent="0.25">
      <c r="B14" s="154" t="s">
        <v>104</v>
      </c>
      <c r="C14" s="164">
        <f>SUM(C13:C13)</f>
        <v>20039719.219999999</v>
      </c>
      <c r="D14" s="164">
        <f t="shared" ref="D14:F14" si="0">SUM(D13:D13)</f>
        <v>253146638.57999998</v>
      </c>
      <c r="E14" s="164">
        <f t="shared" si="0"/>
        <v>240985318.53</v>
      </c>
      <c r="F14" s="164">
        <f t="shared" si="0"/>
        <v>514171676.32999992</v>
      </c>
    </row>
    <row r="15" spans="2:9" ht="33.75" thickBot="1" x14ac:dyDescent="0.3">
      <c r="B15" s="166" t="s">
        <v>105</v>
      </c>
      <c r="C15" s="167">
        <f>+C11+C14</f>
        <v>2276366234.7399998</v>
      </c>
      <c r="D15" s="167">
        <f>+D11+D14</f>
        <v>28754232409.140003</v>
      </c>
      <c r="E15" s="167">
        <f>+E11+E14</f>
        <v>27371560877.43</v>
      </c>
      <c r="F15" s="445">
        <f>+F11+F14</f>
        <v>58402159521.310005</v>
      </c>
      <c r="H15" s="181"/>
    </row>
    <row r="16" spans="2:9" ht="16.5" x14ac:dyDescent="0.25">
      <c r="B16" s="170"/>
      <c r="C16" s="171"/>
      <c r="D16" s="171"/>
      <c r="E16" s="171"/>
      <c r="F16" s="446"/>
    </row>
    <row r="17" spans="2:8" ht="16.5" x14ac:dyDescent="0.25">
      <c r="B17" s="170"/>
      <c r="C17" s="171"/>
      <c r="D17" s="171"/>
      <c r="E17" s="171"/>
      <c r="F17" s="149"/>
      <c r="H17" s="181"/>
    </row>
    <row r="18" spans="2:8" ht="15.75" x14ac:dyDescent="0.25">
      <c r="B18" s="149"/>
      <c r="C18" s="149"/>
      <c r="D18" s="149"/>
      <c r="E18" s="149"/>
      <c r="F18" s="149"/>
    </row>
    <row r="19" spans="2:8" ht="47.25" x14ac:dyDescent="0.25">
      <c r="B19" s="149"/>
      <c r="C19" s="149"/>
      <c r="D19" s="172" t="s">
        <v>106</v>
      </c>
      <c r="E19" s="149"/>
      <c r="F19" s="149"/>
      <c r="H19" s="181"/>
    </row>
    <row r="20" spans="2:8" ht="15.75" x14ac:dyDescent="0.25">
      <c r="B20" s="173" t="s">
        <v>107</v>
      </c>
      <c r="C20" s="174">
        <v>2257622636</v>
      </c>
      <c r="D20" s="176">
        <f>+C20-C11</f>
        <v>1296120.4800000191</v>
      </c>
      <c r="E20" s="175"/>
      <c r="F20" s="174"/>
      <c r="H20" s="181"/>
    </row>
    <row r="21" spans="2:8" ht="15.75" x14ac:dyDescent="0.25">
      <c r="B21" s="173" t="s">
        <v>108</v>
      </c>
      <c r="C21" s="174">
        <v>20039719</v>
      </c>
      <c r="D21" s="176">
        <f>+C21-C14</f>
        <v>-0.2199999988079071</v>
      </c>
      <c r="E21" s="218"/>
      <c r="F21" s="271"/>
    </row>
    <row r="22" spans="2:8" ht="15.75" x14ac:dyDescent="0.25">
      <c r="B22" s="173" t="s">
        <v>109</v>
      </c>
      <c r="C22" s="174">
        <v>28955877114</v>
      </c>
      <c r="D22" s="262">
        <f>+C22-D11</f>
        <v>454791343.43999863</v>
      </c>
      <c r="E22" s="149"/>
      <c r="F22" s="271"/>
      <c r="H22" s="181"/>
    </row>
    <row r="23" spans="2:8" ht="15.75" x14ac:dyDescent="0.25">
      <c r="B23" s="173" t="s">
        <v>110</v>
      </c>
      <c r="C23" s="174">
        <v>27939456972</v>
      </c>
      <c r="D23" s="177">
        <f>+C23-E11</f>
        <v>808881413.09999847</v>
      </c>
      <c r="E23" s="149"/>
      <c r="F23" s="271"/>
    </row>
    <row r="24" spans="2:8" ht="20.25" x14ac:dyDescent="0.3">
      <c r="B24" s="178"/>
      <c r="C24" s="178"/>
      <c r="D24" s="178"/>
      <c r="E24" s="178"/>
      <c r="F24" s="178"/>
    </row>
    <row r="25" spans="2:8" ht="15.75" x14ac:dyDescent="0.25">
      <c r="C25" s="140"/>
      <c r="D25" s="140"/>
    </row>
    <row r="26" spans="2:8" ht="15.75" x14ac:dyDescent="0.25">
      <c r="B26" s="294"/>
      <c r="C26" s="294"/>
      <c r="D26" s="294"/>
      <c r="E26" s="294"/>
      <c r="F26" s="294"/>
    </row>
    <row r="29" spans="2:8" ht="28.15" hidden="1" customHeight="1" x14ac:dyDescent="0.25">
      <c r="B29" s="151" t="s">
        <v>96</v>
      </c>
      <c r="C29" s="152" t="s">
        <v>97</v>
      </c>
      <c r="D29" s="152" t="s">
        <v>111</v>
      </c>
      <c r="E29" s="152" t="s">
        <v>112</v>
      </c>
      <c r="F29" s="153" t="s">
        <v>98</v>
      </c>
    </row>
    <row r="30" spans="2:8" ht="15.75" hidden="1" x14ac:dyDescent="0.25">
      <c r="B30" s="154" t="s">
        <v>99</v>
      </c>
      <c r="C30" s="155">
        <f>+'[1]FACTOR HUMANO'!P17</f>
        <v>6316143918.8348007</v>
      </c>
      <c r="D30" s="155">
        <f>+'[1]FACTOR HUMANO'!AC17</f>
        <v>16708703662.937185</v>
      </c>
      <c r="E30" s="155">
        <f>+'[1]FACTOR HUMANO'!AM17</f>
        <v>10244688406.967064</v>
      </c>
      <c r="F30" s="156">
        <f>SUM(C30:E30)</f>
        <v>33269535988.739052</v>
      </c>
    </row>
    <row r="31" spans="2:8" ht="15.75" hidden="1" x14ac:dyDescent="0.25">
      <c r="B31" s="154" t="s">
        <v>100</v>
      </c>
      <c r="C31" s="155">
        <v>55397285</v>
      </c>
      <c r="D31" s="155">
        <v>132357159</v>
      </c>
      <c r="E31" s="155">
        <v>79465050</v>
      </c>
      <c r="F31" s="156">
        <f t="shared" ref="F31" si="1">SUM(C31:E31)</f>
        <v>267219494</v>
      </c>
    </row>
    <row r="32" spans="2:8" ht="16.5" hidden="1" x14ac:dyDescent="0.25">
      <c r="B32" s="157" t="s">
        <v>101</v>
      </c>
      <c r="C32" s="158">
        <f>SUM(C30:C31)</f>
        <v>6371541203.8348007</v>
      </c>
      <c r="D32" s="158">
        <f>SUM(D30:D31)</f>
        <v>16841060821.937185</v>
      </c>
      <c r="E32" s="158">
        <f>SUM(E30:E31)</f>
        <v>10324153456.967064</v>
      </c>
      <c r="F32" s="179">
        <f>+C32+D32+E32</f>
        <v>33536755482.739052</v>
      </c>
    </row>
    <row r="33" spans="2:6" ht="28.15" hidden="1" customHeight="1" x14ac:dyDescent="0.25">
      <c r="B33" s="159" t="s">
        <v>96</v>
      </c>
      <c r="C33" s="152" t="s">
        <v>97</v>
      </c>
      <c r="D33" s="152" t="s">
        <v>111</v>
      </c>
      <c r="E33" s="152" t="s">
        <v>112</v>
      </c>
      <c r="F33" s="160" t="s">
        <v>98</v>
      </c>
    </row>
    <row r="34" spans="2:6" ht="15.75" hidden="1" x14ac:dyDescent="0.25">
      <c r="B34" s="154" t="s">
        <v>102</v>
      </c>
      <c r="C34" s="161">
        <f>+'[1]FACTOR HUMANO'!P27</f>
        <v>598092352</v>
      </c>
      <c r="D34" s="162" t="s">
        <v>103</v>
      </c>
      <c r="E34" s="162" t="s">
        <v>103</v>
      </c>
      <c r="F34" s="163">
        <f>SUM(C34:E34)</f>
        <v>598092352</v>
      </c>
    </row>
    <row r="35" spans="2:6" ht="16.5" hidden="1" thickBot="1" x14ac:dyDescent="0.3">
      <c r="B35" s="154" t="s">
        <v>104</v>
      </c>
      <c r="C35" s="158">
        <f>SUM(C34:C34)</f>
        <v>598092352</v>
      </c>
      <c r="D35" s="180" t="s">
        <v>103</v>
      </c>
      <c r="E35" s="180" t="s">
        <v>103</v>
      </c>
      <c r="F35" s="165" t="s">
        <v>103</v>
      </c>
    </row>
    <row r="36" spans="2:6" ht="33.75" hidden="1" thickBot="1" x14ac:dyDescent="0.3">
      <c r="B36" s="166" t="s">
        <v>105</v>
      </c>
      <c r="C36" s="167">
        <f>+C32+C35</f>
        <v>6969633555.8348007</v>
      </c>
      <c r="D36" s="167">
        <f>+D32</f>
        <v>16841060821.937185</v>
      </c>
      <c r="E36" s="168">
        <f>+E32</f>
        <v>10324153456.967064</v>
      </c>
      <c r="F36" s="169">
        <f>SUM(C36:E36)</f>
        <v>34134847834.739052</v>
      </c>
    </row>
  </sheetData>
  <mergeCells count="3">
    <mergeCell ref="B2:B4"/>
    <mergeCell ref="C2:F4"/>
    <mergeCell ref="B26:F26"/>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ANEXO 1 - F.H. 2026</vt:lpstr>
      <vt:lpstr>ANEXO 1.1 - F.H. 2027</vt:lpstr>
      <vt:lpstr>ANEXO 1,2 - F.H. 2028</vt:lpstr>
      <vt:lpstr>COTIZACIONES MEDIOS TECNOLOGICO</vt:lpstr>
      <vt:lpstr>HISTORICO Y CONSOLIDADO MED T</vt:lpstr>
      <vt:lpstr>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Augusto Aya Polo</dc:creator>
  <cp:keywords/>
  <dc:description/>
  <cp:lastModifiedBy>Carlos Augusto Aya Polo</cp:lastModifiedBy>
  <cp:revision/>
  <dcterms:created xsi:type="dcterms:W3CDTF">2026-10-02T16:33:06Z</dcterms:created>
  <dcterms:modified xsi:type="dcterms:W3CDTF">2026-10-19T22:31:53Z</dcterms:modified>
  <cp:category/>
  <cp:contentStatus/>
</cp:coreProperties>
</file>