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208"/>
  <workbookPr/>
  <mc:AlternateContent xmlns:mc="http://schemas.openxmlformats.org/markup-compatibility/2006">
    <mc:Choice Requires="x15">
      <x15ac:absPath xmlns:x15ac="http://schemas.microsoft.com/office/spreadsheetml/2010/11/ac" url="/Users/natalyhernandezq/Desktop/ENGATIVA 2026/DEPORTES /documentos deportes contratacion/documentos finales /"/>
    </mc:Choice>
  </mc:AlternateContent>
  <xr:revisionPtr revIDLastSave="0" documentId="8_{54A62127-869D-2449-AD95-B390F7CE5FFC}" xr6:coauthVersionLast="40" xr6:coauthVersionMax="40" xr10:uidLastSave="{00000000-0000-0000-0000-000000000000}"/>
  <bookViews>
    <workbookView xWindow="0" yWindow="740" windowWidth="28500" windowHeight="16260" tabRatio="500" activeTab="1" xr2:uid="{00000000-000D-0000-FFFF-FFFF00000000}"/>
  </bookViews>
  <sheets>
    <sheet name="INICIO" sheetId="1" r:id="rId1"/>
    <sheet name="ESPECIFICACIONES TECNICAS (ev)" sheetId="2" r:id="rId2"/>
    <sheet name="VALORES METAS" sheetId="3" r:id="rId3"/>
    <sheet name="TABLA DE PREMIACION ATLETICA" sheetId="4" state="hidden" r:id="rId4"/>
    <sheet name="INFORME REVISION" sheetId="5" r:id="rId5"/>
  </sheets>
  <calcPr calcId="191029" iterateDelta="1E-4"/>
  <extLst>
    <ext xmlns:loext="http://schemas.libreoffice.org/" uri="{7626C862-2A13-11E5-B345-FEFF819CDC9F}">
      <loext:extCalcPr stringRefSyntax="ExcelA1"/>
    </ext>
  </extLst>
</workbook>
</file>

<file path=xl/calcChain.xml><?xml version="1.0" encoding="utf-8"?>
<calcChain xmlns="http://schemas.openxmlformats.org/spreadsheetml/2006/main">
  <c r="G29" i="3" l="1"/>
  <c r="H29" i="3"/>
  <c r="G31" i="3"/>
  <c r="H31" i="3"/>
  <c r="G32" i="3"/>
  <c r="H32" i="3"/>
  <c r="G33" i="3"/>
  <c r="H33" i="3"/>
  <c r="G35" i="3"/>
  <c r="H35" i="3"/>
  <c r="G36" i="3"/>
  <c r="H36" i="3"/>
  <c r="G37" i="3"/>
  <c r="H37" i="3"/>
  <c r="G38" i="3"/>
  <c r="H38" i="3"/>
  <c r="G39" i="3"/>
  <c r="H39" i="3"/>
  <c r="G40" i="3"/>
  <c r="H40" i="3"/>
  <c r="G41" i="3"/>
  <c r="H41" i="3"/>
  <c r="G42" i="3"/>
  <c r="H42" i="3"/>
  <c r="G43" i="3"/>
  <c r="H43" i="3"/>
  <c r="G44" i="3"/>
  <c r="H44" i="3"/>
  <c r="G45" i="3"/>
  <c r="H45" i="3"/>
  <c r="G18" i="4"/>
  <c r="G19" i="4" s="1"/>
  <c r="G11" i="4"/>
  <c r="T331" i="2"/>
  <c r="R331" i="2"/>
  <c r="S331" i="2" s="1"/>
  <c r="Q331" i="2"/>
  <c r="P331" i="2"/>
  <c r="N331" i="2"/>
  <c r="O331" i="2" s="1"/>
  <c r="I331" i="2"/>
  <c r="S328" i="2"/>
  <c r="O328" i="2"/>
  <c r="L327" i="2"/>
  <c r="M327" i="2" s="1"/>
  <c r="K327" i="2"/>
  <c r="J327" i="2"/>
  <c r="H327" i="2"/>
  <c r="I327" i="2" s="1"/>
  <c r="M326" i="2"/>
  <c r="L326" i="2"/>
  <c r="K326" i="2"/>
  <c r="J326" i="2"/>
  <c r="I326" i="2"/>
  <c r="H326" i="2"/>
  <c r="P326" i="2" s="1"/>
  <c r="M325" i="2"/>
  <c r="L325" i="2"/>
  <c r="J325" i="2"/>
  <c r="K325" i="2" s="1"/>
  <c r="H325" i="2"/>
  <c r="R324" i="2"/>
  <c r="S324" i="2" s="1"/>
  <c r="M324" i="2"/>
  <c r="L324" i="2"/>
  <c r="K324" i="2"/>
  <c r="J324" i="2"/>
  <c r="N324" i="2" s="1"/>
  <c r="O324" i="2" s="1"/>
  <c r="I324" i="2"/>
  <c r="H324" i="2"/>
  <c r="P324" i="2" s="1"/>
  <c r="T324" i="2" s="1"/>
  <c r="L321" i="2"/>
  <c r="M321" i="2" s="1"/>
  <c r="J321" i="2"/>
  <c r="K321" i="2" s="1"/>
  <c r="H321" i="2"/>
  <c r="L320" i="2"/>
  <c r="K320" i="2"/>
  <c r="J320" i="2"/>
  <c r="I320" i="2"/>
  <c r="H320" i="2"/>
  <c r="P319" i="2"/>
  <c r="M319" i="2"/>
  <c r="K319" i="2"/>
  <c r="J319" i="2"/>
  <c r="I319" i="2"/>
  <c r="H319" i="2"/>
  <c r="N319" i="2" s="1"/>
  <c r="O319" i="2" s="1"/>
  <c r="P318" i="2"/>
  <c r="L318" i="2"/>
  <c r="M318" i="2" s="1"/>
  <c r="J318" i="2"/>
  <c r="K318" i="2" s="1"/>
  <c r="H318" i="2"/>
  <c r="I318" i="2" s="1"/>
  <c r="O317" i="2"/>
  <c r="L317" i="2"/>
  <c r="N317" i="2" s="1"/>
  <c r="K317" i="2"/>
  <c r="J317" i="2"/>
  <c r="R317" i="2" s="1"/>
  <c r="S317" i="2" s="1"/>
  <c r="I317" i="2"/>
  <c r="H317" i="2"/>
  <c r="P317" i="2" s="1"/>
  <c r="Q317" i="2" s="1"/>
  <c r="R316" i="2"/>
  <c r="S316" i="2" s="1"/>
  <c r="L316" i="2"/>
  <c r="M316" i="2" s="1"/>
  <c r="J316" i="2"/>
  <c r="K316" i="2" s="1"/>
  <c r="I316" i="2"/>
  <c r="H316" i="2"/>
  <c r="O315" i="2"/>
  <c r="N315" i="2"/>
  <c r="M315" i="2"/>
  <c r="L315" i="2"/>
  <c r="K315" i="2"/>
  <c r="J315" i="2"/>
  <c r="I315" i="2"/>
  <c r="H315" i="2"/>
  <c r="R315" i="2" s="1"/>
  <c r="S315" i="2" s="1"/>
  <c r="N312" i="2"/>
  <c r="O312" i="2" s="1"/>
  <c r="L312" i="2"/>
  <c r="M312" i="2" s="1"/>
  <c r="K312" i="2"/>
  <c r="J312" i="2"/>
  <c r="R312" i="2" s="1"/>
  <c r="S312" i="2" s="1"/>
  <c r="H312" i="2"/>
  <c r="I312" i="2" s="1"/>
  <c r="M311" i="2"/>
  <c r="L311" i="2"/>
  <c r="J311" i="2"/>
  <c r="R311" i="2" s="1"/>
  <c r="S311" i="2" s="1"/>
  <c r="I311" i="2"/>
  <c r="H311" i="2"/>
  <c r="P310" i="2"/>
  <c r="M310" i="2"/>
  <c r="L310" i="2"/>
  <c r="J310" i="2"/>
  <c r="H310" i="2"/>
  <c r="I310" i="2" s="1"/>
  <c r="S309" i="2"/>
  <c r="O309" i="2"/>
  <c r="M309" i="2"/>
  <c r="L309" i="2"/>
  <c r="N309" i="2" s="1"/>
  <c r="K309" i="2"/>
  <c r="J309" i="2"/>
  <c r="R309" i="2" s="1"/>
  <c r="I309" i="2"/>
  <c r="H309" i="2"/>
  <c r="L308" i="2"/>
  <c r="M308" i="2" s="1"/>
  <c r="J308" i="2"/>
  <c r="H308" i="2"/>
  <c r="O307" i="2"/>
  <c r="N307" i="2"/>
  <c r="M307" i="2"/>
  <c r="L307" i="2"/>
  <c r="K307" i="2"/>
  <c r="J307" i="2"/>
  <c r="I307" i="2"/>
  <c r="H307" i="2"/>
  <c r="R307" i="2" s="1"/>
  <c r="S307" i="2" s="1"/>
  <c r="L306" i="2"/>
  <c r="J306" i="2"/>
  <c r="K306" i="2" s="1"/>
  <c r="I306" i="2"/>
  <c r="H306" i="2"/>
  <c r="P305" i="2"/>
  <c r="M305" i="2"/>
  <c r="L305" i="2"/>
  <c r="K305" i="2"/>
  <c r="J305" i="2"/>
  <c r="I305" i="2"/>
  <c r="H305" i="2"/>
  <c r="P303" i="2"/>
  <c r="L303" i="2"/>
  <c r="M303" i="2" s="1"/>
  <c r="K303" i="2"/>
  <c r="J303" i="2"/>
  <c r="H303" i="2"/>
  <c r="M302" i="2"/>
  <c r="L302" i="2"/>
  <c r="N302" i="2" s="1"/>
  <c r="O302" i="2" s="1"/>
  <c r="K302" i="2"/>
  <c r="J302" i="2"/>
  <c r="I302" i="2"/>
  <c r="H302" i="2"/>
  <c r="P302" i="2" s="1"/>
  <c r="Q302" i="2" s="1"/>
  <c r="L301" i="2"/>
  <c r="M301" i="2" s="1"/>
  <c r="J301" i="2"/>
  <c r="K301" i="2" s="1"/>
  <c r="H301" i="2"/>
  <c r="N300" i="2"/>
  <c r="O300" i="2" s="1"/>
  <c r="M300" i="2"/>
  <c r="L300" i="2"/>
  <c r="K300" i="2"/>
  <c r="J300" i="2"/>
  <c r="I300" i="2"/>
  <c r="H300" i="2"/>
  <c r="R300" i="2" s="1"/>
  <c r="S300" i="2" s="1"/>
  <c r="L299" i="2"/>
  <c r="M299" i="2" s="1"/>
  <c r="J299" i="2"/>
  <c r="I299" i="2"/>
  <c r="H299" i="2"/>
  <c r="M298" i="2"/>
  <c r="L298" i="2"/>
  <c r="K298" i="2"/>
  <c r="J298" i="2"/>
  <c r="I298" i="2"/>
  <c r="H298" i="2"/>
  <c r="M297" i="2"/>
  <c r="L297" i="2"/>
  <c r="J297" i="2"/>
  <c r="K297" i="2" s="1"/>
  <c r="H297" i="2"/>
  <c r="S296" i="2"/>
  <c r="R296" i="2"/>
  <c r="M296" i="2"/>
  <c r="L296" i="2"/>
  <c r="J296" i="2"/>
  <c r="K296" i="2" s="1"/>
  <c r="I296" i="2"/>
  <c r="H296" i="2"/>
  <c r="P296" i="2" s="1"/>
  <c r="R292" i="2"/>
  <c r="S292" i="2" s="1"/>
  <c r="P292" i="2"/>
  <c r="O292" i="2"/>
  <c r="N292" i="2"/>
  <c r="I292" i="2"/>
  <c r="T290" i="2"/>
  <c r="R290" i="2"/>
  <c r="S290" i="2" s="1"/>
  <c r="P290" i="2"/>
  <c r="Q290" i="2" s="1"/>
  <c r="O290" i="2"/>
  <c r="N290" i="2"/>
  <c r="I290" i="2"/>
  <c r="T289" i="2"/>
  <c r="R289" i="2"/>
  <c r="S289" i="2" s="1"/>
  <c r="Q289" i="2"/>
  <c r="P289" i="2"/>
  <c r="O289" i="2"/>
  <c r="N289" i="2"/>
  <c r="I289" i="2"/>
  <c r="R288" i="2"/>
  <c r="S288" i="2" s="1"/>
  <c r="Q288" i="2"/>
  <c r="P288" i="2"/>
  <c r="O288" i="2"/>
  <c r="N288" i="2"/>
  <c r="I288" i="2"/>
  <c r="R287" i="2"/>
  <c r="S287" i="2" s="1"/>
  <c r="P287" i="2"/>
  <c r="N287" i="2"/>
  <c r="O287" i="2" s="1"/>
  <c r="X282" i="2" s="1"/>
  <c r="I287" i="2"/>
  <c r="L283" i="2"/>
  <c r="M283" i="2" s="1"/>
  <c r="J283" i="2"/>
  <c r="K283" i="2" s="1"/>
  <c r="I283" i="2"/>
  <c r="H283" i="2"/>
  <c r="S282" i="2"/>
  <c r="R282" i="2"/>
  <c r="P282" i="2"/>
  <c r="T282" i="2" s="1"/>
  <c r="O282" i="2"/>
  <c r="N282" i="2"/>
  <c r="I282" i="2"/>
  <c r="P280" i="2"/>
  <c r="M280" i="2"/>
  <c r="L280" i="2"/>
  <c r="K280" i="2"/>
  <c r="J280" i="2"/>
  <c r="H280" i="2"/>
  <c r="T279" i="2"/>
  <c r="R279" i="2"/>
  <c r="S279" i="2" s="1"/>
  <c r="P279" i="2"/>
  <c r="N279" i="2"/>
  <c r="O279" i="2" s="1"/>
  <c r="I279" i="2"/>
  <c r="M277" i="2"/>
  <c r="L277" i="2"/>
  <c r="J277" i="2"/>
  <c r="K277" i="2" s="1"/>
  <c r="H277" i="2"/>
  <c r="S276" i="2"/>
  <c r="R276" i="2"/>
  <c r="M276" i="2"/>
  <c r="L276" i="2"/>
  <c r="J276" i="2"/>
  <c r="K276" i="2" s="1"/>
  <c r="I276" i="2"/>
  <c r="H276" i="2"/>
  <c r="P276" i="2" s="1"/>
  <c r="R275" i="2"/>
  <c r="S275" i="2" s="1"/>
  <c r="L275" i="2"/>
  <c r="M275" i="2" s="1"/>
  <c r="J275" i="2"/>
  <c r="K275" i="2" s="1"/>
  <c r="H275" i="2"/>
  <c r="M274" i="2"/>
  <c r="L274" i="2"/>
  <c r="N274" i="2" s="1"/>
  <c r="O274" i="2" s="1"/>
  <c r="K274" i="2"/>
  <c r="J274" i="2"/>
  <c r="I274" i="2"/>
  <c r="H274" i="2"/>
  <c r="P274" i="2" s="1"/>
  <c r="Q274" i="2" s="1"/>
  <c r="R273" i="2"/>
  <c r="S273" i="2" s="1"/>
  <c r="L273" i="2"/>
  <c r="M273" i="2" s="1"/>
  <c r="K273" i="2"/>
  <c r="J273" i="2"/>
  <c r="N273" i="2" s="1"/>
  <c r="O273" i="2" s="1"/>
  <c r="H273" i="2"/>
  <c r="I273" i="2" s="1"/>
  <c r="P272" i="2"/>
  <c r="M272" i="2"/>
  <c r="L272" i="2"/>
  <c r="K272" i="2"/>
  <c r="J272" i="2"/>
  <c r="H272" i="2"/>
  <c r="M271" i="2"/>
  <c r="L271" i="2"/>
  <c r="J271" i="2"/>
  <c r="K271" i="2" s="1"/>
  <c r="H271" i="2"/>
  <c r="L270" i="2"/>
  <c r="N270" i="2" s="1"/>
  <c r="O270" i="2" s="1"/>
  <c r="K270" i="2"/>
  <c r="J270" i="2"/>
  <c r="I270" i="2"/>
  <c r="H270" i="2"/>
  <c r="P270" i="2" s="1"/>
  <c r="L269" i="2"/>
  <c r="M269" i="2" s="1"/>
  <c r="J269" i="2"/>
  <c r="K269" i="2" s="1"/>
  <c r="I269" i="2"/>
  <c r="H269" i="2"/>
  <c r="N268" i="2"/>
  <c r="O268" i="2" s="1"/>
  <c r="M268" i="2"/>
  <c r="L268" i="2"/>
  <c r="K268" i="2"/>
  <c r="J268" i="2"/>
  <c r="I268" i="2"/>
  <c r="H268" i="2"/>
  <c r="R268" i="2" s="1"/>
  <c r="S268" i="2" s="1"/>
  <c r="P267" i="2"/>
  <c r="M267" i="2"/>
  <c r="L267" i="2"/>
  <c r="N267" i="2" s="1"/>
  <c r="O267" i="2" s="1"/>
  <c r="J267" i="2"/>
  <c r="K267" i="2" s="1"/>
  <c r="H267" i="2"/>
  <c r="R266" i="2"/>
  <c r="S266" i="2" s="1"/>
  <c r="M266" i="2"/>
  <c r="L266" i="2"/>
  <c r="K266" i="2"/>
  <c r="J266" i="2"/>
  <c r="I266" i="2"/>
  <c r="H266" i="2"/>
  <c r="P266" i="2" s="1"/>
  <c r="T266" i="2" s="1"/>
  <c r="R265" i="2"/>
  <c r="S265" i="2" s="1"/>
  <c r="P265" i="2"/>
  <c r="N265" i="2"/>
  <c r="O265" i="2" s="1"/>
  <c r="L265" i="2"/>
  <c r="M265" i="2" s="1"/>
  <c r="J265" i="2"/>
  <c r="K265" i="2" s="1"/>
  <c r="H265" i="2"/>
  <c r="I265" i="2" s="1"/>
  <c r="L264" i="2"/>
  <c r="K264" i="2"/>
  <c r="J264" i="2"/>
  <c r="I264" i="2"/>
  <c r="H264" i="2"/>
  <c r="R263" i="2"/>
  <c r="S263" i="2" s="1"/>
  <c r="P263" i="2"/>
  <c r="L263" i="2"/>
  <c r="M263" i="2" s="1"/>
  <c r="J263" i="2"/>
  <c r="K263" i="2" s="1"/>
  <c r="H263" i="2"/>
  <c r="O262" i="2"/>
  <c r="N262" i="2"/>
  <c r="M262" i="2"/>
  <c r="L262" i="2"/>
  <c r="K262" i="2"/>
  <c r="J262" i="2"/>
  <c r="I262" i="2"/>
  <c r="H262" i="2"/>
  <c r="R262" i="2" s="1"/>
  <c r="S262" i="2" s="1"/>
  <c r="R261" i="2"/>
  <c r="S261" i="2" s="1"/>
  <c r="N261" i="2"/>
  <c r="O261" i="2" s="1"/>
  <c r="L261" i="2"/>
  <c r="M261" i="2" s="1"/>
  <c r="J261" i="2"/>
  <c r="K261" i="2" s="1"/>
  <c r="H261" i="2"/>
  <c r="I261" i="2" s="1"/>
  <c r="P260" i="2"/>
  <c r="M260" i="2"/>
  <c r="L260" i="2"/>
  <c r="K260" i="2"/>
  <c r="J260" i="2"/>
  <c r="I260" i="2"/>
  <c r="H260" i="2"/>
  <c r="L259" i="2"/>
  <c r="M259" i="2" s="1"/>
  <c r="J259" i="2"/>
  <c r="K259" i="2" s="1"/>
  <c r="H259" i="2"/>
  <c r="R258" i="2"/>
  <c r="L258" i="2"/>
  <c r="M258" i="2" s="1"/>
  <c r="K258" i="2"/>
  <c r="J258" i="2"/>
  <c r="I258" i="2"/>
  <c r="H258" i="2"/>
  <c r="P258" i="2" s="1"/>
  <c r="P257" i="2"/>
  <c r="L257" i="2"/>
  <c r="M257" i="2" s="1"/>
  <c r="J257" i="2"/>
  <c r="H257" i="2"/>
  <c r="I257" i="2" s="1"/>
  <c r="S256" i="2"/>
  <c r="N256" i="2"/>
  <c r="O256" i="2" s="1"/>
  <c r="M256" i="2"/>
  <c r="L256" i="2"/>
  <c r="K256" i="2"/>
  <c r="J256" i="2"/>
  <c r="R256" i="2" s="1"/>
  <c r="I256" i="2"/>
  <c r="H256" i="2"/>
  <c r="P256" i="2" s="1"/>
  <c r="L255" i="2"/>
  <c r="M255" i="2" s="1"/>
  <c r="K255" i="2"/>
  <c r="J255" i="2"/>
  <c r="H255" i="2"/>
  <c r="S254" i="2"/>
  <c r="R254" i="2"/>
  <c r="P254" i="2"/>
  <c r="T254" i="2" s="1"/>
  <c r="O254" i="2"/>
  <c r="N254" i="2"/>
  <c r="M254" i="2"/>
  <c r="K254" i="2"/>
  <c r="I254" i="2"/>
  <c r="S253" i="2"/>
  <c r="R253" i="2"/>
  <c r="Q253" i="2"/>
  <c r="P253" i="2"/>
  <c r="O253" i="2"/>
  <c r="N253" i="2"/>
  <c r="M253" i="2"/>
  <c r="K253" i="2"/>
  <c r="I253" i="2"/>
  <c r="T252" i="2"/>
  <c r="S252" i="2"/>
  <c r="R252" i="2"/>
  <c r="Q252" i="2"/>
  <c r="P252" i="2"/>
  <c r="N252" i="2"/>
  <c r="O252" i="2" s="1"/>
  <c r="M252" i="2"/>
  <c r="K252" i="2"/>
  <c r="I252" i="2"/>
  <c r="S251" i="2"/>
  <c r="R251" i="2"/>
  <c r="T251" i="2" s="1"/>
  <c r="P251" i="2"/>
  <c r="Q251" i="2" s="1"/>
  <c r="O251" i="2"/>
  <c r="N251" i="2"/>
  <c r="M251" i="2"/>
  <c r="K251" i="2"/>
  <c r="I251" i="2"/>
  <c r="R250" i="2"/>
  <c r="S250" i="2" s="1"/>
  <c r="P250" i="2"/>
  <c r="T250" i="2" s="1"/>
  <c r="O250" i="2"/>
  <c r="N250" i="2"/>
  <c r="M250" i="2"/>
  <c r="K250" i="2"/>
  <c r="I250" i="2"/>
  <c r="R249" i="2"/>
  <c r="S249" i="2" s="1"/>
  <c r="P249" i="2"/>
  <c r="T249" i="2" s="1"/>
  <c r="N249" i="2"/>
  <c r="M249" i="2"/>
  <c r="K249" i="2"/>
  <c r="I249" i="2"/>
  <c r="S248" i="2"/>
  <c r="R248" i="2"/>
  <c r="P248" i="2"/>
  <c r="Q248" i="2" s="1"/>
  <c r="N248" i="2"/>
  <c r="O248" i="2" s="1"/>
  <c r="M248" i="2"/>
  <c r="K248" i="2"/>
  <c r="I248" i="2"/>
  <c r="R247" i="2"/>
  <c r="T247" i="2" s="1"/>
  <c r="P247" i="2"/>
  <c r="Q247" i="2" s="1"/>
  <c r="O247" i="2"/>
  <c r="N247" i="2"/>
  <c r="M247" i="2"/>
  <c r="K247" i="2"/>
  <c r="I247" i="2"/>
  <c r="R246" i="2"/>
  <c r="S246" i="2" s="1"/>
  <c r="P246" i="2"/>
  <c r="Q246" i="2" s="1"/>
  <c r="O246" i="2"/>
  <c r="N246" i="2"/>
  <c r="M246" i="2"/>
  <c r="K246" i="2"/>
  <c r="I246" i="2"/>
  <c r="S243" i="2"/>
  <c r="R243" i="2"/>
  <c r="Q243" i="2"/>
  <c r="P243" i="2"/>
  <c r="O243" i="2"/>
  <c r="N243" i="2"/>
  <c r="H243" i="2"/>
  <c r="I243" i="2" s="1"/>
  <c r="T242" i="2"/>
  <c r="P242" i="2"/>
  <c r="H242" i="2"/>
  <c r="R242" i="2" s="1"/>
  <c r="S242" i="2" s="1"/>
  <c r="H241" i="2"/>
  <c r="N240" i="2"/>
  <c r="O240" i="2" s="1"/>
  <c r="H240" i="2"/>
  <c r="R239" i="2"/>
  <c r="S239" i="2" s="1"/>
  <c r="N239" i="2"/>
  <c r="O239" i="2" s="1"/>
  <c r="I239" i="2"/>
  <c r="H239" i="2"/>
  <c r="P239" i="2" s="1"/>
  <c r="H238" i="2"/>
  <c r="P238" i="2" s="1"/>
  <c r="P237" i="2"/>
  <c r="H237" i="2"/>
  <c r="R236" i="2"/>
  <c r="S236" i="2" s="1"/>
  <c r="P236" i="2"/>
  <c r="N236" i="2"/>
  <c r="I236" i="2"/>
  <c r="H236" i="2"/>
  <c r="R235" i="2"/>
  <c r="S235" i="2" s="1"/>
  <c r="P235" i="2"/>
  <c r="N235" i="2"/>
  <c r="H235" i="2"/>
  <c r="I235" i="2" s="1"/>
  <c r="T234" i="2"/>
  <c r="R234" i="2"/>
  <c r="S234" i="2" s="1"/>
  <c r="P234" i="2"/>
  <c r="H234" i="2"/>
  <c r="S233" i="2"/>
  <c r="R233" i="2"/>
  <c r="O233" i="2"/>
  <c r="N233" i="2"/>
  <c r="I233" i="2"/>
  <c r="H233" i="2"/>
  <c r="P233" i="2" s="1"/>
  <c r="P232" i="2"/>
  <c r="N232" i="2"/>
  <c r="O232" i="2" s="1"/>
  <c r="H232" i="2"/>
  <c r="P231" i="2"/>
  <c r="I231" i="2"/>
  <c r="H231" i="2"/>
  <c r="R230" i="2"/>
  <c r="S230" i="2" s="1"/>
  <c r="P230" i="2"/>
  <c r="N230" i="2"/>
  <c r="O230" i="2" s="1"/>
  <c r="I230" i="2"/>
  <c r="H230" i="2"/>
  <c r="S228" i="2"/>
  <c r="R228" i="2"/>
  <c r="Q228" i="2"/>
  <c r="P228" i="2"/>
  <c r="O228" i="2"/>
  <c r="N228" i="2"/>
  <c r="I228" i="2"/>
  <c r="R227" i="2"/>
  <c r="S227" i="2" s="1"/>
  <c r="P227" i="2"/>
  <c r="N227" i="2"/>
  <c r="O227" i="2" s="1"/>
  <c r="M227" i="2"/>
  <c r="K227" i="2"/>
  <c r="I227" i="2"/>
  <c r="T226" i="2"/>
  <c r="R226" i="2"/>
  <c r="S226" i="2" s="1"/>
  <c r="P226" i="2"/>
  <c r="Q226" i="2" s="1"/>
  <c r="N226" i="2"/>
  <c r="O226" i="2" s="1"/>
  <c r="M226" i="2"/>
  <c r="K226" i="2"/>
  <c r="I226" i="2"/>
  <c r="S225" i="2"/>
  <c r="F43" i="5" s="1"/>
  <c r="R225" i="2"/>
  <c r="D43" i="5" s="1"/>
  <c r="P225" i="2"/>
  <c r="N225" i="2"/>
  <c r="O225" i="2" s="1"/>
  <c r="M225" i="2"/>
  <c r="K225" i="2"/>
  <c r="I225" i="2"/>
  <c r="T224" i="2"/>
  <c r="R224" i="2"/>
  <c r="S224" i="2" s="1"/>
  <c r="P224" i="2"/>
  <c r="N224" i="2"/>
  <c r="Q224" i="2" s="1"/>
  <c r="M224" i="2"/>
  <c r="K224" i="2"/>
  <c r="J224" i="2"/>
  <c r="I224" i="2"/>
  <c r="R223" i="2"/>
  <c r="S223" i="2" s="1"/>
  <c r="Q223" i="2"/>
  <c r="P223" i="2"/>
  <c r="O223" i="2"/>
  <c r="N223" i="2"/>
  <c r="M223" i="2"/>
  <c r="K223" i="2"/>
  <c r="I223" i="2"/>
  <c r="M222" i="2"/>
  <c r="L222" i="2"/>
  <c r="J222" i="2"/>
  <c r="I222" i="2"/>
  <c r="H222" i="2"/>
  <c r="R221" i="2"/>
  <c r="S221" i="2" s="1"/>
  <c r="N221" i="2"/>
  <c r="O221" i="2" s="1"/>
  <c r="L221" i="2"/>
  <c r="M221" i="2" s="1"/>
  <c r="K221" i="2"/>
  <c r="J221" i="2"/>
  <c r="I221" i="2"/>
  <c r="H221" i="2"/>
  <c r="P221" i="2" s="1"/>
  <c r="P220" i="2"/>
  <c r="L220" i="2"/>
  <c r="M220" i="2" s="1"/>
  <c r="K220" i="2"/>
  <c r="J220" i="2"/>
  <c r="H220" i="2"/>
  <c r="S219" i="2"/>
  <c r="R219" i="2"/>
  <c r="P219" i="2"/>
  <c r="Q219" i="2" s="1"/>
  <c r="M219" i="2"/>
  <c r="K219" i="2"/>
  <c r="J219" i="2"/>
  <c r="N219" i="2" s="1"/>
  <c r="O219" i="2" s="1"/>
  <c r="I219" i="2"/>
  <c r="S218" i="2"/>
  <c r="P218" i="2"/>
  <c r="Q218" i="2" s="1"/>
  <c r="O218" i="2"/>
  <c r="N218" i="2"/>
  <c r="M218" i="2"/>
  <c r="L218" i="2"/>
  <c r="K218" i="2"/>
  <c r="J218" i="2"/>
  <c r="R218" i="2" s="1"/>
  <c r="T218" i="2" s="1"/>
  <c r="I218" i="2"/>
  <c r="L217" i="2"/>
  <c r="M217" i="2" s="1"/>
  <c r="K217" i="2"/>
  <c r="J217" i="2"/>
  <c r="I217" i="2"/>
  <c r="H217" i="2"/>
  <c r="R216" i="2"/>
  <c r="S216" i="2" s="1"/>
  <c r="Q216" i="2"/>
  <c r="P216" i="2"/>
  <c r="T216" i="2" s="1"/>
  <c r="O216" i="2"/>
  <c r="N216" i="2"/>
  <c r="M216" i="2"/>
  <c r="K216" i="2"/>
  <c r="I216" i="2"/>
  <c r="S215" i="2"/>
  <c r="F42" i="5" s="1"/>
  <c r="R215" i="2"/>
  <c r="D42" i="5" s="1"/>
  <c r="L215" i="2"/>
  <c r="M215" i="2" s="1"/>
  <c r="J215" i="2"/>
  <c r="K215" i="2" s="1"/>
  <c r="I215" i="2"/>
  <c r="H215" i="2"/>
  <c r="T214" i="2"/>
  <c r="S214" i="2"/>
  <c r="R214" i="2"/>
  <c r="P214" i="2"/>
  <c r="N214" i="2"/>
  <c r="M214" i="2"/>
  <c r="K214" i="2"/>
  <c r="I214" i="2"/>
  <c r="P213" i="2"/>
  <c r="M213" i="2"/>
  <c r="J213" i="2"/>
  <c r="I213" i="2"/>
  <c r="H213" i="2"/>
  <c r="M212" i="2"/>
  <c r="L212" i="2"/>
  <c r="J212" i="2"/>
  <c r="I212" i="2"/>
  <c r="H212" i="2"/>
  <c r="L211" i="2"/>
  <c r="M211" i="2" s="1"/>
  <c r="J211" i="2"/>
  <c r="I211" i="2"/>
  <c r="P210" i="2"/>
  <c r="M210" i="2"/>
  <c r="L210" i="2"/>
  <c r="K210" i="2"/>
  <c r="J210" i="2"/>
  <c r="H210" i="2"/>
  <c r="T209" i="2"/>
  <c r="S209" i="2"/>
  <c r="R209" i="2"/>
  <c r="Q209" i="2"/>
  <c r="P209" i="2"/>
  <c r="O209" i="2"/>
  <c r="N209" i="2"/>
  <c r="M209" i="2"/>
  <c r="K209" i="2"/>
  <c r="I209" i="2"/>
  <c r="S208" i="2"/>
  <c r="R208" i="2"/>
  <c r="T208" i="2" s="1"/>
  <c r="P208" i="2"/>
  <c r="N208" i="2"/>
  <c r="M208" i="2"/>
  <c r="K208" i="2"/>
  <c r="I208" i="2"/>
  <c r="S207" i="2"/>
  <c r="R207" i="2"/>
  <c r="Q207" i="2"/>
  <c r="P207" i="2"/>
  <c r="T207" i="2" s="1"/>
  <c r="O207" i="2"/>
  <c r="N207" i="2"/>
  <c r="M207" i="2"/>
  <c r="K207" i="2"/>
  <c r="I207" i="2"/>
  <c r="N206" i="2"/>
  <c r="O206" i="2" s="1"/>
  <c r="M206" i="2"/>
  <c r="J206" i="2"/>
  <c r="K206" i="2" s="1"/>
  <c r="H206" i="2"/>
  <c r="T203" i="2"/>
  <c r="S203" i="2"/>
  <c r="R203" i="2"/>
  <c r="Q203" i="2"/>
  <c r="P203" i="2"/>
  <c r="O203" i="2"/>
  <c r="N203" i="2"/>
  <c r="I203" i="2"/>
  <c r="L202" i="2"/>
  <c r="K202" i="2"/>
  <c r="I202" i="2"/>
  <c r="N201" i="2"/>
  <c r="O201" i="2" s="1"/>
  <c r="M201" i="2"/>
  <c r="L201" i="2"/>
  <c r="R201" i="2" s="1"/>
  <c r="J201" i="2"/>
  <c r="K201" i="2" s="1"/>
  <c r="I201" i="2"/>
  <c r="H201" i="2"/>
  <c r="P201" i="2" s="1"/>
  <c r="R200" i="2"/>
  <c r="S200" i="2" s="1"/>
  <c r="O200" i="2"/>
  <c r="M200" i="2"/>
  <c r="L200" i="2"/>
  <c r="N200" i="2" s="1"/>
  <c r="K200" i="2"/>
  <c r="J200" i="2"/>
  <c r="I200" i="2"/>
  <c r="H200" i="2"/>
  <c r="P200" i="2" s="1"/>
  <c r="R199" i="2"/>
  <c r="S199" i="2" s="1"/>
  <c r="N199" i="2"/>
  <c r="O199" i="2" s="1"/>
  <c r="L199" i="2"/>
  <c r="M199" i="2" s="1"/>
  <c r="K199" i="2"/>
  <c r="J199" i="2"/>
  <c r="I199" i="2"/>
  <c r="H199" i="2"/>
  <c r="P199" i="2" s="1"/>
  <c r="P198" i="2"/>
  <c r="M198" i="2"/>
  <c r="L198" i="2"/>
  <c r="K198" i="2"/>
  <c r="J198" i="2"/>
  <c r="I198" i="2"/>
  <c r="H198" i="2"/>
  <c r="T197" i="2"/>
  <c r="R197" i="2"/>
  <c r="S197" i="2" s="1"/>
  <c r="M197" i="2"/>
  <c r="L197" i="2"/>
  <c r="K197" i="2"/>
  <c r="J197" i="2"/>
  <c r="I197" i="2"/>
  <c r="H197" i="2"/>
  <c r="P197" i="2" s="1"/>
  <c r="Q196" i="2"/>
  <c r="P196" i="2"/>
  <c r="O196" i="2"/>
  <c r="M196" i="2"/>
  <c r="L196" i="2"/>
  <c r="N196" i="2" s="1"/>
  <c r="K196" i="2"/>
  <c r="J196" i="2"/>
  <c r="R196" i="2" s="1"/>
  <c r="S196" i="2" s="1"/>
  <c r="I196" i="2"/>
  <c r="T195" i="2"/>
  <c r="S195" i="2"/>
  <c r="R195" i="2"/>
  <c r="Q195" i="2"/>
  <c r="P195" i="2"/>
  <c r="O195" i="2"/>
  <c r="N195" i="2"/>
  <c r="M195" i="2"/>
  <c r="K195" i="2"/>
  <c r="I195" i="2"/>
  <c r="S194" i="2"/>
  <c r="R194" i="2"/>
  <c r="T194" i="2" s="1"/>
  <c r="P194" i="2"/>
  <c r="N194" i="2"/>
  <c r="O194" i="2" s="1"/>
  <c r="M194" i="2"/>
  <c r="K194" i="2"/>
  <c r="I194" i="2"/>
  <c r="R193" i="2"/>
  <c r="S193" i="2" s="1"/>
  <c r="Q193" i="2"/>
  <c r="P193" i="2"/>
  <c r="T193" i="2" s="1"/>
  <c r="O193" i="2"/>
  <c r="N193" i="2"/>
  <c r="M193" i="2"/>
  <c r="K193" i="2"/>
  <c r="I193" i="2"/>
  <c r="S192" i="2"/>
  <c r="R192" i="2"/>
  <c r="Q192" i="2"/>
  <c r="P192" i="2"/>
  <c r="T192" i="2" s="1"/>
  <c r="O192" i="2"/>
  <c r="N192" i="2"/>
  <c r="M192" i="2"/>
  <c r="K192" i="2"/>
  <c r="I192" i="2"/>
  <c r="T191" i="2"/>
  <c r="S191" i="2"/>
  <c r="R191" i="2"/>
  <c r="Q191" i="2"/>
  <c r="P191" i="2"/>
  <c r="N191" i="2"/>
  <c r="O191" i="2" s="1"/>
  <c r="M191" i="2"/>
  <c r="K191" i="2"/>
  <c r="I191" i="2"/>
  <c r="S190" i="2"/>
  <c r="R190" i="2"/>
  <c r="T190" i="2" s="1"/>
  <c r="P190" i="2"/>
  <c r="Q190" i="2" s="1"/>
  <c r="N190" i="2"/>
  <c r="O190" i="2" s="1"/>
  <c r="M190" i="2"/>
  <c r="K190" i="2"/>
  <c r="I190" i="2"/>
  <c r="P189" i="2"/>
  <c r="M189" i="2"/>
  <c r="K189" i="2"/>
  <c r="J189" i="2"/>
  <c r="H189" i="2"/>
  <c r="M188" i="2"/>
  <c r="L188" i="2"/>
  <c r="P188" i="2" s="1"/>
  <c r="K188" i="2"/>
  <c r="J188" i="2"/>
  <c r="N188" i="2" s="1"/>
  <c r="O188" i="2" s="1"/>
  <c r="I188" i="2"/>
  <c r="P187" i="2"/>
  <c r="I187" i="2"/>
  <c r="H187" i="2"/>
  <c r="R187" i="2" s="1"/>
  <c r="S187" i="2" s="1"/>
  <c r="R186" i="2"/>
  <c r="S186" i="2" s="1"/>
  <c r="Q186" i="2"/>
  <c r="P186" i="2"/>
  <c r="N186" i="2"/>
  <c r="O186" i="2" s="1"/>
  <c r="M186" i="2"/>
  <c r="J186" i="2"/>
  <c r="K186" i="2" s="1"/>
  <c r="I186" i="2"/>
  <c r="Q185" i="2"/>
  <c r="M185" i="2"/>
  <c r="L185" i="2"/>
  <c r="P185" i="2" s="1"/>
  <c r="K185" i="2"/>
  <c r="J185" i="2"/>
  <c r="N185" i="2" s="1"/>
  <c r="O185" i="2" s="1"/>
  <c r="I185" i="2"/>
  <c r="P184" i="2"/>
  <c r="M184" i="2"/>
  <c r="L184" i="2"/>
  <c r="J184" i="2"/>
  <c r="K184" i="2" s="1"/>
  <c r="I184" i="2"/>
  <c r="H184" i="2"/>
  <c r="R183" i="2"/>
  <c r="P183" i="2"/>
  <c r="N183" i="2"/>
  <c r="M183" i="2"/>
  <c r="K183" i="2"/>
  <c r="I183" i="2"/>
  <c r="T182" i="2"/>
  <c r="S182" i="2"/>
  <c r="F39" i="5" s="1"/>
  <c r="R182" i="2"/>
  <c r="D39" i="5" s="1"/>
  <c r="P182" i="2"/>
  <c r="Q182" i="2" s="1"/>
  <c r="N182" i="2"/>
  <c r="O182" i="2" s="1"/>
  <c r="M182" i="2"/>
  <c r="K182" i="2"/>
  <c r="I182" i="2"/>
  <c r="R181" i="2"/>
  <c r="S181" i="2" s="1"/>
  <c r="P181" i="2"/>
  <c r="T181" i="2" s="1"/>
  <c r="N181" i="2"/>
  <c r="O181" i="2" s="1"/>
  <c r="M181" i="2"/>
  <c r="K181" i="2"/>
  <c r="I181" i="2"/>
  <c r="T179" i="2"/>
  <c r="R179" i="2"/>
  <c r="S179" i="2" s="1"/>
  <c r="N179" i="2"/>
  <c r="O179" i="2" s="1"/>
  <c r="I179" i="2"/>
  <c r="H179" i="2"/>
  <c r="P179" i="2" s="1"/>
  <c r="S178" i="2"/>
  <c r="R178" i="2"/>
  <c r="N178" i="2"/>
  <c r="O178" i="2" s="1"/>
  <c r="I178" i="2"/>
  <c r="H178" i="2"/>
  <c r="P178" i="2" s="1"/>
  <c r="O177" i="2"/>
  <c r="N177" i="2"/>
  <c r="H177" i="2"/>
  <c r="P176" i="2"/>
  <c r="T176" i="2" s="1"/>
  <c r="I176" i="2"/>
  <c r="H176" i="2"/>
  <c r="R176" i="2" s="1"/>
  <c r="S176" i="2" s="1"/>
  <c r="R175" i="2"/>
  <c r="S175" i="2" s="1"/>
  <c r="P175" i="2"/>
  <c r="N175" i="2"/>
  <c r="I175" i="2"/>
  <c r="H175" i="2"/>
  <c r="S174" i="2"/>
  <c r="R174" i="2"/>
  <c r="Q174" i="2"/>
  <c r="P174" i="2"/>
  <c r="T174" i="2" s="1"/>
  <c r="O174" i="2"/>
  <c r="N174" i="2"/>
  <c r="I174" i="2"/>
  <c r="H174" i="2"/>
  <c r="R173" i="2"/>
  <c r="S173" i="2" s="1"/>
  <c r="P173" i="2"/>
  <c r="H173" i="2"/>
  <c r="I172" i="2"/>
  <c r="H172" i="2"/>
  <c r="R171" i="2"/>
  <c r="S171" i="2" s="1"/>
  <c r="I171" i="2"/>
  <c r="H171" i="2"/>
  <c r="S170" i="2"/>
  <c r="R170" i="2"/>
  <c r="N170" i="2"/>
  <c r="O170" i="2" s="1"/>
  <c r="I170" i="2"/>
  <c r="H170" i="2"/>
  <c r="P170" i="2" s="1"/>
  <c r="H169" i="2"/>
  <c r="P168" i="2"/>
  <c r="I168" i="2"/>
  <c r="H168" i="2"/>
  <c r="R167" i="2"/>
  <c r="S167" i="2" s="1"/>
  <c r="Q167" i="2"/>
  <c r="P167" i="2"/>
  <c r="T167" i="2" s="1"/>
  <c r="N167" i="2"/>
  <c r="O167" i="2" s="1"/>
  <c r="I167" i="2"/>
  <c r="H167" i="2"/>
  <c r="S166" i="2"/>
  <c r="R166" i="2"/>
  <c r="P166" i="2"/>
  <c r="T166" i="2" s="1"/>
  <c r="O166" i="2"/>
  <c r="N166" i="2"/>
  <c r="Q166" i="2" s="1"/>
  <c r="I166" i="2"/>
  <c r="H166" i="2"/>
  <c r="R163" i="2"/>
  <c r="S163" i="2" s="1"/>
  <c r="M163" i="2"/>
  <c r="L163" i="2"/>
  <c r="K163" i="2"/>
  <c r="I163" i="2"/>
  <c r="R162" i="2"/>
  <c r="S162" i="2" s="1"/>
  <c r="P162" i="2"/>
  <c r="N162" i="2"/>
  <c r="O162" i="2" s="1"/>
  <c r="I162" i="2"/>
  <c r="Q161" i="2"/>
  <c r="P161" i="2"/>
  <c r="T161" i="2" s="1"/>
  <c r="N161" i="2"/>
  <c r="O161" i="2" s="1"/>
  <c r="M161" i="2"/>
  <c r="K161" i="2"/>
  <c r="J161" i="2"/>
  <c r="R161" i="2" s="1"/>
  <c r="S161" i="2" s="1"/>
  <c r="I161" i="2"/>
  <c r="L160" i="2"/>
  <c r="M160" i="2" s="1"/>
  <c r="J160" i="2"/>
  <c r="I160" i="2"/>
  <c r="H160" i="2"/>
  <c r="L159" i="2"/>
  <c r="M159" i="2" s="1"/>
  <c r="K159" i="2"/>
  <c r="H159" i="2"/>
  <c r="P158" i="2"/>
  <c r="Q158" i="2" s="1"/>
  <c r="M158" i="2"/>
  <c r="L158" i="2"/>
  <c r="N158" i="2" s="1"/>
  <c r="O158" i="2" s="1"/>
  <c r="K158" i="2"/>
  <c r="I158" i="2"/>
  <c r="L157" i="2"/>
  <c r="M157" i="2" s="1"/>
  <c r="K157" i="2"/>
  <c r="J157" i="2"/>
  <c r="H157" i="2"/>
  <c r="P157" i="2" s="1"/>
  <c r="R156" i="2"/>
  <c r="S156" i="2" s="1"/>
  <c r="P156" i="2"/>
  <c r="O156" i="2"/>
  <c r="N156" i="2"/>
  <c r="M156" i="2"/>
  <c r="K156" i="2"/>
  <c r="I156" i="2"/>
  <c r="L155" i="2"/>
  <c r="K155" i="2"/>
  <c r="J155" i="2"/>
  <c r="I155" i="2"/>
  <c r="H155" i="2"/>
  <c r="L154" i="2"/>
  <c r="M154" i="2" s="1"/>
  <c r="J154" i="2"/>
  <c r="K154" i="2" s="1"/>
  <c r="H154" i="2"/>
  <c r="L153" i="2"/>
  <c r="M153" i="2" s="1"/>
  <c r="K153" i="2"/>
  <c r="J153" i="2"/>
  <c r="H153" i="2"/>
  <c r="L152" i="2"/>
  <c r="M152" i="2" s="1"/>
  <c r="J152" i="2"/>
  <c r="K152" i="2" s="1"/>
  <c r="H152" i="2"/>
  <c r="S151" i="2"/>
  <c r="R151" i="2"/>
  <c r="P151" i="2"/>
  <c r="N151" i="2"/>
  <c r="O151" i="2" s="1"/>
  <c r="M151" i="2"/>
  <c r="K151" i="2"/>
  <c r="I151" i="2"/>
  <c r="L150" i="2"/>
  <c r="M150" i="2" s="1"/>
  <c r="J150" i="2"/>
  <c r="I150" i="2"/>
  <c r="H150" i="2"/>
  <c r="P149" i="2"/>
  <c r="N149" i="2"/>
  <c r="O149" i="2" s="1"/>
  <c r="M149" i="2"/>
  <c r="L149" i="2"/>
  <c r="J149" i="2"/>
  <c r="K149" i="2" s="1"/>
  <c r="H149" i="2"/>
  <c r="M148" i="2"/>
  <c r="L148" i="2"/>
  <c r="J148" i="2"/>
  <c r="I148" i="2"/>
  <c r="N147" i="2"/>
  <c r="O147" i="2" s="1"/>
  <c r="M147" i="2"/>
  <c r="L147" i="2"/>
  <c r="K147" i="2"/>
  <c r="J147" i="2"/>
  <c r="H147" i="2"/>
  <c r="R147" i="2" s="1"/>
  <c r="S147" i="2" s="1"/>
  <c r="R146" i="2"/>
  <c r="P146" i="2"/>
  <c r="Q146" i="2" s="1"/>
  <c r="N146" i="2"/>
  <c r="O146" i="2" s="1"/>
  <c r="M146" i="2"/>
  <c r="L146" i="2"/>
  <c r="K146" i="2"/>
  <c r="I146" i="2"/>
  <c r="S145" i="2"/>
  <c r="R145" i="2"/>
  <c r="Q145" i="2"/>
  <c r="P145" i="2"/>
  <c r="T145" i="2" s="1"/>
  <c r="N145" i="2"/>
  <c r="O145" i="2" s="1"/>
  <c r="M145" i="2"/>
  <c r="K145" i="2"/>
  <c r="I145" i="2"/>
  <c r="R144" i="2"/>
  <c r="S144" i="2" s="1"/>
  <c r="P144" i="2"/>
  <c r="O144" i="2"/>
  <c r="N144" i="2"/>
  <c r="M144" i="2"/>
  <c r="K144" i="2"/>
  <c r="I144" i="2"/>
  <c r="R143" i="2"/>
  <c r="Q143" i="2"/>
  <c r="P143" i="2"/>
  <c r="O143" i="2"/>
  <c r="N143" i="2"/>
  <c r="M143" i="2"/>
  <c r="K143" i="2"/>
  <c r="I143" i="2"/>
  <c r="T142" i="2"/>
  <c r="S142" i="2"/>
  <c r="R142" i="2"/>
  <c r="P142" i="2"/>
  <c r="O142" i="2"/>
  <c r="N142" i="2"/>
  <c r="Q142" i="2" s="1"/>
  <c r="M142" i="2"/>
  <c r="K142" i="2"/>
  <c r="I142" i="2"/>
  <c r="S141" i="2"/>
  <c r="R141" i="2"/>
  <c r="P141" i="2"/>
  <c r="N141" i="2"/>
  <c r="O141" i="2" s="1"/>
  <c r="M141" i="2"/>
  <c r="K141" i="2"/>
  <c r="I141" i="2"/>
  <c r="S140" i="2"/>
  <c r="R140" i="2"/>
  <c r="M140" i="2"/>
  <c r="J140" i="2"/>
  <c r="P140" i="2" s="1"/>
  <c r="I140" i="2"/>
  <c r="H140" i="2"/>
  <c r="T139" i="2"/>
  <c r="S139" i="2"/>
  <c r="R139" i="2"/>
  <c r="P139" i="2"/>
  <c r="Q139" i="2" s="1"/>
  <c r="N139" i="2"/>
  <c r="O139" i="2" s="1"/>
  <c r="M139" i="2"/>
  <c r="K139" i="2"/>
  <c r="I139" i="2"/>
  <c r="P138" i="2"/>
  <c r="N138" i="2"/>
  <c r="O138" i="2" s="1"/>
  <c r="M138" i="2"/>
  <c r="L138" i="2"/>
  <c r="J138" i="2"/>
  <c r="K138" i="2" s="1"/>
  <c r="I138" i="2"/>
  <c r="R137" i="2"/>
  <c r="T137" i="2" s="1"/>
  <c r="Q137" i="2"/>
  <c r="P137" i="2"/>
  <c r="N137" i="2"/>
  <c r="O137" i="2" s="1"/>
  <c r="M137" i="2"/>
  <c r="K137" i="2"/>
  <c r="I137" i="2"/>
  <c r="N135" i="2"/>
  <c r="O135" i="2" s="1"/>
  <c r="H135" i="2"/>
  <c r="I134" i="2"/>
  <c r="H134" i="2"/>
  <c r="AB133" i="2"/>
  <c r="R133" i="2"/>
  <c r="S133" i="2" s="1"/>
  <c r="O133" i="2"/>
  <c r="N133" i="2"/>
  <c r="I133" i="2"/>
  <c r="H133" i="2"/>
  <c r="P133" i="2" s="1"/>
  <c r="S132" i="2"/>
  <c r="R132" i="2"/>
  <c r="P132" i="2"/>
  <c r="O132" i="2"/>
  <c r="N132" i="2"/>
  <c r="H132" i="2"/>
  <c r="I132" i="2" s="1"/>
  <c r="H131" i="2"/>
  <c r="H130" i="2"/>
  <c r="S129" i="2"/>
  <c r="R129" i="2"/>
  <c r="P129" i="2"/>
  <c r="T129" i="2" s="1"/>
  <c r="N129" i="2"/>
  <c r="I129" i="2"/>
  <c r="H129" i="2"/>
  <c r="H128" i="2"/>
  <c r="I127" i="2"/>
  <c r="H127" i="2"/>
  <c r="Q126" i="2"/>
  <c r="P126" i="2"/>
  <c r="N126" i="2"/>
  <c r="O126" i="2" s="1"/>
  <c r="I126" i="2"/>
  <c r="H126" i="2"/>
  <c r="R126" i="2" s="1"/>
  <c r="S126" i="2" s="1"/>
  <c r="R125" i="2"/>
  <c r="S125" i="2" s="1"/>
  <c r="Q125" i="2"/>
  <c r="N125" i="2"/>
  <c r="O125" i="2" s="1"/>
  <c r="I125" i="2"/>
  <c r="H125" i="2"/>
  <c r="P125" i="2" s="1"/>
  <c r="T125" i="2" s="1"/>
  <c r="R124" i="2"/>
  <c r="S124" i="2" s="1"/>
  <c r="P124" i="2"/>
  <c r="O124" i="2"/>
  <c r="N124" i="2"/>
  <c r="I124" i="2"/>
  <c r="H124" i="2"/>
  <c r="S121" i="2"/>
  <c r="R121" i="2"/>
  <c r="P121" i="2"/>
  <c r="T121" i="2" s="1"/>
  <c r="N121" i="2"/>
  <c r="I121" i="2"/>
  <c r="H121" i="2"/>
  <c r="H120" i="2"/>
  <c r="P119" i="2"/>
  <c r="I119" i="2"/>
  <c r="H119" i="2"/>
  <c r="P118" i="2"/>
  <c r="N118" i="2"/>
  <c r="I118" i="2"/>
  <c r="H118" i="2"/>
  <c r="R118" i="2" s="1"/>
  <c r="S118" i="2" s="1"/>
  <c r="R117" i="2"/>
  <c r="S117" i="2" s="1"/>
  <c r="N117" i="2"/>
  <c r="O117" i="2" s="1"/>
  <c r="I117" i="2"/>
  <c r="H117" i="2"/>
  <c r="P117" i="2" s="1"/>
  <c r="T117" i="2" s="1"/>
  <c r="R116" i="2"/>
  <c r="S116" i="2" s="1"/>
  <c r="P116" i="2"/>
  <c r="O116" i="2"/>
  <c r="N116" i="2"/>
  <c r="I116" i="2"/>
  <c r="H116" i="2"/>
  <c r="H115" i="2"/>
  <c r="H114" i="2"/>
  <c r="S113" i="2"/>
  <c r="R113" i="2"/>
  <c r="P113" i="2"/>
  <c r="T113" i="2" s="1"/>
  <c r="N113" i="2"/>
  <c r="I113" i="2"/>
  <c r="H113" i="2"/>
  <c r="H112" i="2"/>
  <c r="I111" i="2"/>
  <c r="H111" i="2"/>
  <c r="Q110" i="2"/>
  <c r="P110" i="2"/>
  <c r="N110" i="2"/>
  <c r="O110" i="2" s="1"/>
  <c r="I110" i="2"/>
  <c r="H110" i="2"/>
  <c r="R110" i="2" s="1"/>
  <c r="S110" i="2" s="1"/>
  <c r="R109" i="2"/>
  <c r="S109" i="2" s="1"/>
  <c r="Q109" i="2"/>
  <c r="N109" i="2"/>
  <c r="O109" i="2" s="1"/>
  <c r="I109" i="2"/>
  <c r="H109" i="2"/>
  <c r="P109" i="2" s="1"/>
  <c r="T109" i="2" s="1"/>
  <c r="R107" i="2"/>
  <c r="S107" i="2" s="1"/>
  <c r="P107" i="2"/>
  <c r="N107" i="2"/>
  <c r="O107" i="2" s="1"/>
  <c r="I107" i="2"/>
  <c r="R106" i="2"/>
  <c r="S106" i="2" s="1"/>
  <c r="P106" i="2"/>
  <c r="O106" i="2"/>
  <c r="N106" i="2"/>
  <c r="M106" i="2"/>
  <c r="L106" i="2"/>
  <c r="K106" i="2"/>
  <c r="I106" i="2"/>
  <c r="M105" i="2"/>
  <c r="L105" i="2"/>
  <c r="J105" i="2"/>
  <c r="K105" i="2" s="1"/>
  <c r="H105" i="2"/>
  <c r="R105" i="2" s="1"/>
  <c r="S105" i="2" s="1"/>
  <c r="R104" i="2"/>
  <c r="P104" i="2"/>
  <c r="M104" i="2"/>
  <c r="L104" i="2"/>
  <c r="K104" i="2"/>
  <c r="J104" i="2"/>
  <c r="H104" i="2"/>
  <c r="M103" i="2"/>
  <c r="L103" i="2"/>
  <c r="J103" i="2"/>
  <c r="K103" i="2" s="1"/>
  <c r="H103" i="2"/>
  <c r="P103" i="2" s="1"/>
  <c r="R102" i="2"/>
  <c r="S102" i="2" s="1"/>
  <c r="N102" i="2"/>
  <c r="O102" i="2" s="1"/>
  <c r="M102" i="2"/>
  <c r="L102" i="2"/>
  <c r="P102" i="2" s="1"/>
  <c r="J102" i="2"/>
  <c r="K102" i="2" s="1"/>
  <c r="I102" i="2"/>
  <c r="H102" i="2"/>
  <c r="R101" i="2"/>
  <c r="Q101" i="2"/>
  <c r="O101" i="2"/>
  <c r="M101" i="2"/>
  <c r="L101" i="2"/>
  <c r="K101" i="2"/>
  <c r="J101" i="2"/>
  <c r="N101" i="2" s="1"/>
  <c r="I101" i="2"/>
  <c r="H101" i="2"/>
  <c r="P101" i="2" s="1"/>
  <c r="T101" i="2" s="1"/>
  <c r="R100" i="2"/>
  <c r="S100" i="2" s="1"/>
  <c r="P100" i="2"/>
  <c r="Q100" i="2" s="1"/>
  <c r="N100" i="2"/>
  <c r="O100" i="2" s="1"/>
  <c r="M100" i="2"/>
  <c r="K100" i="2"/>
  <c r="I100" i="2"/>
  <c r="R99" i="2"/>
  <c r="S99" i="2" s="1"/>
  <c r="P99" i="2"/>
  <c r="Q99" i="2" s="1"/>
  <c r="N99" i="2"/>
  <c r="O99" i="2" s="1"/>
  <c r="M99" i="2"/>
  <c r="K99" i="2"/>
  <c r="I99" i="2"/>
  <c r="S98" i="2"/>
  <c r="R98" i="2"/>
  <c r="P98" i="2"/>
  <c r="T98" i="2" s="1"/>
  <c r="O98" i="2"/>
  <c r="N98" i="2"/>
  <c r="M98" i="2"/>
  <c r="K98" i="2"/>
  <c r="I98" i="2"/>
  <c r="R97" i="2"/>
  <c r="S97" i="2" s="1"/>
  <c r="M97" i="2"/>
  <c r="L97" i="2"/>
  <c r="J97" i="2"/>
  <c r="K97" i="2" s="1"/>
  <c r="I97" i="2"/>
  <c r="O96" i="2"/>
  <c r="N96" i="2"/>
  <c r="M96" i="2"/>
  <c r="L96" i="2"/>
  <c r="K96" i="2"/>
  <c r="J96" i="2"/>
  <c r="I96" i="2"/>
  <c r="H96" i="2"/>
  <c r="R96" i="2" s="1"/>
  <c r="S96" i="2" s="1"/>
  <c r="L93" i="2"/>
  <c r="P93" i="2" s="1"/>
  <c r="K93" i="2"/>
  <c r="I93" i="2"/>
  <c r="M92" i="2"/>
  <c r="L92" i="2"/>
  <c r="K92" i="2"/>
  <c r="J92" i="2"/>
  <c r="I92" i="2"/>
  <c r="H92" i="2"/>
  <c r="L91" i="2"/>
  <c r="M91" i="2" s="1"/>
  <c r="J91" i="2"/>
  <c r="K91" i="2" s="1"/>
  <c r="H91" i="2"/>
  <c r="I91" i="2" s="1"/>
  <c r="S90" i="2"/>
  <c r="R90" i="2"/>
  <c r="T90" i="2" s="1"/>
  <c r="Q90" i="2"/>
  <c r="P90" i="2"/>
  <c r="O90" i="2"/>
  <c r="N90" i="2"/>
  <c r="I90" i="2"/>
  <c r="S89" i="2"/>
  <c r="R89" i="2"/>
  <c r="Q89" i="2"/>
  <c r="P89" i="2"/>
  <c r="O89" i="2"/>
  <c r="N89" i="2"/>
  <c r="M89" i="2"/>
  <c r="K89" i="2"/>
  <c r="I89" i="2"/>
  <c r="L88" i="2"/>
  <c r="M88" i="2" s="1"/>
  <c r="K88" i="2"/>
  <c r="J88" i="2"/>
  <c r="N88" i="2" s="1"/>
  <c r="O88" i="2" s="1"/>
  <c r="I88" i="2"/>
  <c r="H88" i="2"/>
  <c r="P88" i="2" s="1"/>
  <c r="Q88" i="2" s="1"/>
  <c r="R87" i="2"/>
  <c r="P87" i="2"/>
  <c r="N87" i="2"/>
  <c r="O87" i="2" s="1"/>
  <c r="L87" i="2"/>
  <c r="M87" i="2" s="1"/>
  <c r="K87" i="2"/>
  <c r="I87" i="2"/>
  <c r="L86" i="2"/>
  <c r="M86" i="2" s="1"/>
  <c r="K86" i="2"/>
  <c r="J86" i="2"/>
  <c r="P86" i="2" s="1"/>
  <c r="I86" i="2"/>
  <c r="M84" i="2"/>
  <c r="L84" i="2"/>
  <c r="K84" i="2"/>
  <c r="J84" i="2"/>
  <c r="I84" i="2"/>
  <c r="H84" i="2"/>
  <c r="T83" i="2"/>
  <c r="R83" i="2"/>
  <c r="S83" i="2" s="1"/>
  <c r="P83" i="2"/>
  <c r="N83" i="2"/>
  <c r="O83" i="2" s="1"/>
  <c r="M83" i="2"/>
  <c r="K83" i="2"/>
  <c r="J83" i="2"/>
  <c r="I83" i="2"/>
  <c r="H83" i="2"/>
  <c r="P82" i="2"/>
  <c r="Q82" i="2" s="1"/>
  <c r="N82" i="2"/>
  <c r="O82" i="2" s="1"/>
  <c r="M82" i="2"/>
  <c r="K82" i="2"/>
  <c r="J82" i="2"/>
  <c r="I82" i="2"/>
  <c r="H82" i="2"/>
  <c r="R82" i="2" s="1"/>
  <c r="S82" i="2" s="1"/>
  <c r="R81" i="2"/>
  <c r="S81" i="2" s="1"/>
  <c r="P81" i="2"/>
  <c r="N81" i="2"/>
  <c r="O81" i="2" s="1"/>
  <c r="M81" i="2"/>
  <c r="K81" i="2"/>
  <c r="I81" i="2"/>
  <c r="R80" i="2"/>
  <c r="S80" i="2" s="1"/>
  <c r="P80" i="2"/>
  <c r="T80" i="2" s="1"/>
  <c r="N80" i="2"/>
  <c r="O80" i="2" s="1"/>
  <c r="M80" i="2"/>
  <c r="K80" i="2"/>
  <c r="I80" i="2"/>
  <c r="R79" i="2"/>
  <c r="S79" i="2" s="1"/>
  <c r="P79" i="2"/>
  <c r="T79" i="2" s="1"/>
  <c r="N79" i="2"/>
  <c r="O79" i="2" s="1"/>
  <c r="M79" i="2"/>
  <c r="K79" i="2"/>
  <c r="I79" i="2"/>
  <c r="R78" i="2"/>
  <c r="D32" i="5" s="1"/>
  <c r="P78" i="2"/>
  <c r="Q78" i="2" s="1"/>
  <c r="N78" i="2"/>
  <c r="O78" i="2" s="1"/>
  <c r="M78" i="2"/>
  <c r="K78" i="2"/>
  <c r="I78" i="2"/>
  <c r="T77" i="2"/>
  <c r="R77" i="2"/>
  <c r="S77" i="2" s="1"/>
  <c r="P77" i="2"/>
  <c r="N77" i="2"/>
  <c r="O77" i="2" s="1"/>
  <c r="M77" i="2"/>
  <c r="K77" i="2"/>
  <c r="I77" i="2"/>
  <c r="T76" i="2"/>
  <c r="R76" i="2"/>
  <c r="S76" i="2" s="1"/>
  <c r="P76" i="2"/>
  <c r="N76" i="2"/>
  <c r="O76" i="2" s="1"/>
  <c r="M76" i="2"/>
  <c r="K76" i="2"/>
  <c r="I76" i="2"/>
  <c r="R75" i="2"/>
  <c r="P75" i="2"/>
  <c r="N75" i="2"/>
  <c r="O75" i="2" s="1"/>
  <c r="M75" i="2"/>
  <c r="K75" i="2"/>
  <c r="I75" i="2"/>
  <c r="T73" i="2"/>
  <c r="S73" i="2"/>
  <c r="R73" i="2"/>
  <c r="P73" i="2"/>
  <c r="H73" i="2"/>
  <c r="I72" i="2"/>
  <c r="H72" i="2"/>
  <c r="H71" i="2"/>
  <c r="P71" i="2" s="1"/>
  <c r="S70" i="2"/>
  <c r="O70" i="2"/>
  <c r="N70" i="2"/>
  <c r="I70" i="2"/>
  <c r="H70" i="2"/>
  <c r="R70" i="2" s="1"/>
  <c r="H69" i="2"/>
  <c r="S68" i="2"/>
  <c r="R68" i="2"/>
  <c r="Q68" i="2"/>
  <c r="P68" i="2"/>
  <c r="T68" i="2" s="1"/>
  <c r="O68" i="2"/>
  <c r="N68" i="2"/>
  <c r="I68" i="2"/>
  <c r="H68" i="2"/>
  <c r="R67" i="2"/>
  <c r="S67" i="2" s="1"/>
  <c r="P67" i="2"/>
  <c r="N67" i="2"/>
  <c r="O67" i="2" s="1"/>
  <c r="H67" i="2"/>
  <c r="I67" i="2" s="1"/>
  <c r="R66" i="2"/>
  <c r="S66" i="2" s="1"/>
  <c r="Q66" i="2"/>
  <c r="P66" i="2"/>
  <c r="I66" i="2"/>
  <c r="H66" i="2"/>
  <c r="N66" i="2" s="1"/>
  <c r="O66" i="2" s="1"/>
  <c r="R65" i="2"/>
  <c r="S65" i="2" s="1"/>
  <c r="P65" i="2"/>
  <c r="H65" i="2"/>
  <c r="H64" i="2"/>
  <c r="R63" i="2"/>
  <c r="S63" i="2" s="1"/>
  <c r="N63" i="2"/>
  <c r="O63" i="2" s="1"/>
  <c r="H63" i="2"/>
  <c r="P63" i="2" s="1"/>
  <c r="N62" i="2"/>
  <c r="O62" i="2" s="1"/>
  <c r="I62" i="2"/>
  <c r="H62" i="2"/>
  <c r="R62" i="2" s="1"/>
  <c r="S62" i="2" s="1"/>
  <c r="H61" i="2"/>
  <c r="N61" i="2" s="1"/>
  <c r="O61" i="2" s="1"/>
  <c r="S60" i="2"/>
  <c r="R60" i="2"/>
  <c r="Q60" i="2"/>
  <c r="P60" i="2"/>
  <c r="T60" i="2" s="1"/>
  <c r="O60" i="2"/>
  <c r="N60" i="2"/>
  <c r="I60" i="2"/>
  <c r="H60" i="2"/>
  <c r="R59" i="2"/>
  <c r="S59" i="2" s="1"/>
  <c r="P59" i="2"/>
  <c r="T59" i="2" s="1"/>
  <c r="N59" i="2"/>
  <c r="O59" i="2" s="1"/>
  <c r="H59" i="2"/>
  <c r="I59" i="2" s="1"/>
  <c r="S58" i="2"/>
  <c r="R58" i="2"/>
  <c r="P58" i="2"/>
  <c r="T58" i="2" s="1"/>
  <c r="O58" i="2"/>
  <c r="I58" i="2"/>
  <c r="H58" i="2"/>
  <c r="N58" i="2" s="1"/>
  <c r="Q58" i="2" s="1"/>
  <c r="H57" i="2"/>
  <c r="P57" i="2" s="1"/>
  <c r="H56" i="2"/>
  <c r="H55" i="2"/>
  <c r="P55" i="2" s="1"/>
  <c r="T52" i="2"/>
  <c r="S52" i="2"/>
  <c r="R52" i="2"/>
  <c r="P52" i="2"/>
  <c r="N52" i="2"/>
  <c r="Q52" i="2" s="1"/>
  <c r="I52" i="2"/>
  <c r="M50" i="2"/>
  <c r="L50" i="2"/>
  <c r="K50" i="2"/>
  <c r="J50" i="2"/>
  <c r="I50" i="2"/>
  <c r="H50" i="2"/>
  <c r="R49" i="2"/>
  <c r="S49" i="2" s="1"/>
  <c r="P49" i="2"/>
  <c r="N49" i="2"/>
  <c r="O49" i="2" s="1"/>
  <c r="M49" i="2"/>
  <c r="K49" i="2"/>
  <c r="I49" i="2"/>
  <c r="T48" i="2"/>
  <c r="R48" i="2"/>
  <c r="S48" i="2" s="1"/>
  <c r="P48" i="2"/>
  <c r="N48" i="2"/>
  <c r="O48" i="2" s="1"/>
  <c r="M48" i="2"/>
  <c r="K48" i="2"/>
  <c r="I48" i="2"/>
  <c r="R47" i="2"/>
  <c r="S47" i="2" s="1"/>
  <c r="P47" i="2"/>
  <c r="N47" i="2"/>
  <c r="O47" i="2" s="1"/>
  <c r="M47" i="2"/>
  <c r="K47" i="2"/>
  <c r="I47" i="2"/>
  <c r="L46" i="2"/>
  <c r="M46" i="2" s="1"/>
  <c r="J46" i="2"/>
  <c r="K46" i="2" s="1"/>
  <c r="H46" i="2"/>
  <c r="I46" i="2" s="1"/>
  <c r="S45" i="2"/>
  <c r="R45" i="2"/>
  <c r="Q45" i="2"/>
  <c r="P45" i="2"/>
  <c r="T45" i="2" s="1"/>
  <c r="O45" i="2"/>
  <c r="N45" i="2"/>
  <c r="M45" i="2"/>
  <c r="L45" i="2"/>
  <c r="K45" i="2"/>
  <c r="I45" i="2"/>
  <c r="L44" i="2"/>
  <c r="M44" i="2" s="1"/>
  <c r="K44" i="2"/>
  <c r="J44" i="2"/>
  <c r="H44" i="2"/>
  <c r="I44" i="2" s="1"/>
  <c r="S43" i="2"/>
  <c r="R43" i="2"/>
  <c r="P43" i="2"/>
  <c r="T43" i="2" s="1"/>
  <c r="O43" i="2"/>
  <c r="N43" i="2"/>
  <c r="M43" i="2"/>
  <c r="K43" i="2"/>
  <c r="I43" i="2"/>
  <c r="R42" i="2"/>
  <c r="S42" i="2" s="1"/>
  <c r="O42" i="2"/>
  <c r="M42" i="2"/>
  <c r="L42" i="2"/>
  <c r="K42" i="2"/>
  <c r="J42" i="2"/>
  <c r="I42" i="2"/>
  <c r="H42" i="2"/>
  <c r="N42" i="2" s="1"/>
  <c r="R41" i="2"/>
  <c r="S41" i="2" s="1"/>
  <c r="L41" i="2"/>
  <c r="M41" i="2" s="1"/>
  <c r="J41" i="2"/>
  <c r="K41" i="2" s="1"/>
  <c r="H41" i="2"/>
  <c r="I41" i="2" s="1"/>
  <c r="S40" i="2"/>
  <c r="M40" i="2"/>
  <c r="L40" i="2"/>
  <c r="N40" i="2" s="1"/>
  <c r="O40" i="2" s="1"/>
  <c r="K40" i="2"/>
  <c r="J40" i="2"/>
  <c r="R40" i="2" s="1"/>
  <c r="I40" i="2"/>
  <c r="H40" i="2"/>
  <c r="P40" i="2" s="1"/>
  <c r="Q40" i="2" s="1"/>
  <c r="L39" i="2"/>
  <c r="M39" i="2" s="1"/>
  <c r="J39" i="2"/>
  <c r="K39" i="2" s="1"/>
  <c r="I39" i="2"/>
  <c r="H39" i="2"/>
  <c r="R39" i="2" s="1"/>
  <c r="S39" i="2" s="1"/>
  <c r="S38" i="2"/>
  <c r="R38" i="2"/>
  <c r="P38" i="2"/>
  <c r="T38" i="2" s="1"/>
  <c r="N38" i="2"/>
  <c r="O38" i="2" s="1"/>
  <c r="M38" i="2"/>
  <c r="K38" i="2"/>
  <c r="I38" i="2"/>
  <c r="S37" i="2"/>
  <c r="R37" i="2"/>
  <c r="P37" i="2"/>
  <c r="T37" i="2" s="1"/>
  <c r="O37" i="2"/>
  <c r="N37" i="2"/>
  <c r="M37" i="2"/>
  <c r="K37" i="2"/>
  <c r="I37" i="2"/>
  <c r="R36" i="2"/>
  <c r="T36" i="2" s="1"/>
  <c r="Q36" i="2"/>
  <c r="P36" i="2"/>
  <c r="O36" i="2"/>
  <c r="N36" i="2"/>
  <c r="M36" i="2"/>
  <c r="K36" i="2"/>
  <c r="I36" i="2"/>
  <c r="T35" i="2"/>
  <c r="S35" i="2"/>
  <c r="R35" i="2"/>
  <c r="Q35" i="2"/>
  <c r="P35" i="2"/>
  <c r="O35" i="2"/>
  <c r="N35" i="2"/>
  <c r="M35" i="2"/>
  <c r="K35" i="2"/>
  <c r="I35" i="2"/>
  <c r="S34" i="2"/>
  <c r="R34" i="2"/>
  <c r="Q34" i="2"/>
  <c r="P34" i="2"/>
  <c r="T34" i="2" s="1"/>
  <c r="O34" i="2"/>
  <c r="N34" i="2"/>
  <c r="M34" i="2"/>
  <c r="K34" i="2"/>
  <c r="I34" i="2"/>
  <c r="S33" i="2"/>
  <c r="R33" i="2"/>
  <c r="P33" i="2"/>
  <c r="T33" i="2" s="1"/>
  <c r="O33" i="2"/>
  <c r="N33" i="2"/>
  <c r="M33" i="2"/>
  <c r="K33" i="2"/>
  <c r="I33" i="2"/>
  <c r="M32" i="2"/>
  <c r="L32" i="2"/>
  <c r="J32" i="2"/>
  <c r="R32" i="2" s="1"/>
  <c r="S32" i="2" s="1"/>
  <c r="I32" i="2"/>
  <c r="H32" i="2"/>
  <c r="R31" i="2"/>
  <c r="S31" i="2" s="1"/>
  <c r="P31" i="2"/>
  <c r="N31" i="2"/>
  <c r="O31" i="2" s="1"/>
  <c r="M31" i="2"/>
  <c r="K31" i="2"/>
  <c r="I31" i="2"/>
  <c r="R30" i="2"/>
  <c r="S30" i="2" s="1"/>
  <c r="P30" i="2"/>
  <c r="Q30" i="2" s="1"/>
  <c r="N30" i="2"/>
  <c r="O30" i="2" s="1"/>
  <c r="M30" i="2"/>
  <c r="K30" i="2"/>
  <c r="I30" i="2"/>
  <c r="R29" i="2"/>
  <c r="S29" i="2" s="1"/>
  <c r="P29" i="2"/>
  <c r="T29" i="2" s="1"/>
  <c r="N29" i="2"/>
  <c r="O29" i="2" s="1"/>
  <c r="M29" i="2"/>
  <c r="K29" i="2"/>
  <c r="I29" i="2"/>
  <c r="N27" i="2"/>
  <c r="O27" i="2" s="1"/>
  <c r="I27" i="2"/>
  <c r="H27" i="2"/>
  <c r="P27" i="2" s="1"/>
  <c r="P26" i="2"/>
  <c r="N26" i="2"/>
  <c r="O26" i="2" s="1"/>
  <c r="I26" i="2"/>
  <c r="H26" i="2"/>
  <c r="R26" i="2" s="1"/>
  <c r="S26" i="2" s="1"/>
  <c r="H25" i="2"/>
  <c r="I25" i="2" s="1"/>
  <c r="S24" i="2"/>
  <c r="R24" i="2"/>
  <c r="P24" i="2"/>
  <c r="O24" i="2"/>
  <c r="N24" i="2"/>
  <c r="I24" i="2"/>
  <c r="H24" i="2"/>
  <c r="H23" i="2"/>
  <c r="I23" i="2" s="1"/>
  <c r="S22" i="2"/>
  <c r="R22" i="2"/>
  <c r="H22" i="2"/>
  <c r="I22" i="2" s="1"/>
  <c r="R21" i="2"/>
  <c r="S21" i="2" s="1"/>
  <c r="P21" i="2"/>
  <c r="H21" i="2"/>
  <c r="N21" i="2" s="1"/>
  <c r="O21" i="2" s="1"/>
  <c r="R20" i="2"/>
  <c r="T20" i="2" s="1"/>
  <c r="H20" i="2"/>
  <c r="P20" i="2" s="1"/>
  <c r="R19" i="2"/>
  <c r="S19" i="2" s="1"/>
  <c r="P19" i="2"/>
  <c r="T19" i="2" s="1"/>
  <c r="H19" i="2"/>
  <c r="N19" i="2" s="1"/>
  <c r="O19" i="2" s="1"/>
  <c r="S18" i="2"/>
  <c r="P18" i="2"/>
  <c r="T18" i="2" s="1"/>
  <c r="H18" i="2"/>
  <c r="R18" i="2" s="1"/>
  <c r="R17" i="2"/>
  <c r="S17" i="2" s="1"/>
  <c r="P17" i="2"/>
  <c r="T17" i="2" s="1"/>
  <c r="H17" i="2"/>
  <c r="N17" i="2" s="1"/>
  <c r="O17" i="2" s="1"/>
  <c r="R16" i="2"/>
  <c r="S16" i="2" s="1"/>
  <c r="P16" i="2"/>
  <c r="T16" i="2" s="1"/>
  <c r="O16" i="2"/>
  <c r="N16" i="2"/>
  <c r="I16" i="2"/>
  <c r="H16" i="2"/>
  <c r="R15" i="2"/>
  <c r="S15" i="2" s="1"/>
  <c r="P15" i="2"/>
  <c r="T15" i="2" s="1"/>
  <c r="H15" i="2"/>
  <c r="I15" i="2" s="1"/>
  <c r="R14" i="2"/>
  <c r="S14" i="2" s="1"/>
  <c r="Q14" i="2"/>
  <c r="P14" i="2"/>
  <c r="T14" i="2" s="1"/>
  <c r="H14" i="2"/>
  <c r="N14" i="2" s="1"/>
  <c r="O14" i="2" s="1"/>
  <c r="R13" i="2"/>
  <c r="S13" i="2" s="1"/>
  <c r="P13" i="2"/>
  <c r="T13" i="2" s="1"/>
  <c r="H13" i="2"/>
  <c r="N13" i="2" s="1"/>
  <c r="T9" i="2"/>
  <c r="S9" i="2"/>
  <c r="R9" i="2"/>
  <c r="P9" i="2"/>
  <c r="Q9" i="2" s="1"/>
  <c r="N9" i="2"/>
  <c r="O9" i="2" s="1"/>
  <c r="I9" i="2"/>
  <c r="T8" i="2"/>
  <c r="S8" i="2"/>
  <c r="R8" i="2"/>
  <c r="P8" i="2"/>
  <c r="Q8" i="2" s="1"/>
  <c r="N8" i="2"/>
  <c r="O8" i="2" s="1"/>
  <c r="I8" i="2"/>
  <c r="T7" i="2"/>
  <c r="S7" i="2"/>
  <c r="R7" i="2"/>
  <c r="P7" i="2"/>
  <c r="Q7" i="2" s="1"/>
  <c r="N7" i="2"/>
  <c r="O7" i="2" s="1"/>
  <c r="M7" i="2"/>
  <c r="K7" i="2"/>
  <c r="I7" i="2"/>
  <c r="F7" i="2"/>
  <c r="R6" i="2"/>
  <c r="S6" i="2" s="1"/>
  <c r="P6" i="2"/>
  <c r="T6" i="2" s="1"/>
  <c r="N6" i="2"/>
  <c r="O6" i="2" s="1"/>
  <c r="I6" i="2"/>
  <c r="R5" i="2"/>
  <c r="S5" i="2" s="1"/>
  <c r="P5" i="2"/>
  <c r="T5" i="2" s="1"/>
  <c r="N5" i="2"/>
  <c r="O5" i="2" s="1"/>
  <c r="I5" i="2"/>
  <c r="R4" i="2"/>
  <c r="S4" i="2" s="1"/>
  <c r="P4" i="2"/>
  <c r="T4" i="2" s="1"/>
  <c r="N4" i="2"/>
  <c r="O4" i="2" s="1"/>
  <c r="I4" i="2"/>
  <c r="H48" i="3" l="1"/>
  <c r="X9" i="2"/>
  <c r="O13" i="2"/>
  <c r="Q13" i="2"/>
  <c r="Q27" i="2"/>
  <c r="Y9" i="2"/>
  <c r="T55" i="2"/>
  <c r="Y121" i="2"/>
  <c r="T104" i="2"/>
  <c r="T40" i="2"/>
  <c r="Q21" i="2"/>
  <c r="P41" i="2"/>
  <c r="R50" i="2"/>
  <c r="S50" i="2" s="1"/>
  <c r="N50" i="2"/>
  <c r="O50" i="2" s="1"/>
  <c r="N65" i="2"/>
  <c r="O65" i="2" s="1"/>
  <c r="I65" i="2"/>
  <c r="T66" i="2"/>
  <c r="P72" i="2"/>
  <c r="N72" i="2"/>
  <c r="O72" i="2" s="1"/>
  <c r="R72" i="2"/>
  <c r="S72" i="2" s="1"/>
  <c r="D31" i="5"/>
  <c r="S75" i="2"/>
  <c r="F31" i="5" s="1"/>
  <c r="R84" i="2"/>
  <c r="S84" i="2" s="1"/>
  <c r="N84" i="2"/>
  <c r="O84" i="2" s="1"/>
  <c r="R92" i="2"/>
  <c r="S92" i="2" s="1"/>
  <c r="N92" i="2"/>
  <c r="O92" i="2" s="1"/>
  <c r="T141" i="2"/>
  <c r="Q141" i="2"/>
  <c r="R111" i="2"/>
  <c r="S111" i="2" s="1"/>
  <c r="N111" i="2"/>
  <c r="O111" i="2" s="1"/>
  <c r="P111" i="2"/>
  <c r="O118" i="2"/>
  <c r="Q118" i="2"/>
  <c r="R127" i="2"/>
  <c r="S127" i="2" s="1"/>
  <c r="N127" i="2"/>
  <c r="O127" i="2" s="1"/>
  <c r="X163" i="2" s="1"/>
  <c r="G34" i="3" s="1"/>
  <c r="P127" i="2"/>
  <c r="T133" i="2"/>
  <c r="Q133" i="2"/>
  <c r="T144" i="2"/>
  <c r="Q144" i="2"/>
  <c r="D37" i="5"/>
  <c r="S146" i="2"/>
  <c r="F37" i="5" s="1"/>
  <c r="P148" i="2"/>
  <c r="N148" i="2"/>
  <c r="O148" i="2" s="1"/>
  <c r="K148" i="2"/>
  <c r="R150" i="2"/>
  <c r="S150" i="2" s="1"/>
  <c r="N155" i="2"/>
  <c r="O155" i="2" s="1"/>
  <c r="T162" i="2"/>
  <c r="Q162" i="2"/>
  <c r="Q173" i="2"/>
  <c r="T173" i="2"/>
  <c r="I206" i="2"/>
  <c r="R206" i="2"/>
  <c r="S206" i="2" s="1"/>
  <c r="P206" i="2"/>
  <c r="Q208" i="2"/>
  <c r="O208" i="2"/>
  <c r="X233" i="2" s="1"/>
  <c r="K213" i="2"/>
  <c r="N213" i="2"/>
  <c r="O213" i="2" s="1"/>
  <c r="O249" i="2"/>
  <c r="Q249" i="2"/>
  <c r="Q270" i="2"/>
  <c r="T287" i="2"/>
  <c r="Q287" i="2"/>
  <c r="D35" i="5"/>
  <c r="S104" i="2"/>
  <c r="F35" i="5" s="1"/>
  <c r="R152" i="2"/>
  <c r="S152" i="2" s="1"/>
  <c r="I152" i="2"/>
  <c r="N152" i="2"/>
  <c r="O152" i="2" s="1"/>
  <c r="T63" i="2"/>
  <c r="T21" i="2"/>
  <c r="S143" i="2"/>
  <c r="T143" i="2"/>
  <c r="M155" i="2"/>
  <c r="R155" i="2"/>
  <c r="S155" i="2" s="1"/>
  <c r="S20" i="2"/>
  <c r="N25" i="2"/>
  <c r="O25" i="2" s="1"/>
  <c r="T257" i="2"/>
  <c r="Q257" i="2"/>
  <c r="Q17" i="2"/>
  <c r="Q98" i="2"/>
  <c r="Q81" i="2"/>
  <c r="Q4" i="2"/>
  <c r="Q6" i="2"/>
  <c r="Q31" i="2"/>
  <c r="O52" i="2"/>
  <c r="M93" i="2"/>
  <c r="K212" i="2"/>
  <c r="N212" i="2"/>
  <c r="O212" i="2" s="1"/>
  <c r="R212" i="2"/>
  <c r="S212" i="2" s="1"/>
  <c r="P25" i="2"/>
  <c r="T26" i="2"/>
  <c r="R27" i="2"/>
  <c r="S27" i="2" s="1"/>
  <c r="S36" i="2"/>
  <c r="Q38" i="2"/>
  <c r="P39" i="2"/>
  <c r="N46" i="2"/>
  <c r="O46" i="2" s="1"/>
  <c r="Q49" i="2"/>
  <c r="R57" i="2"/>
  <c r="S57" i="2" s="1"/>
  <c r="N71" i="2"/>
  <c r="O71" i="2" s="1"/>
  <c r="N73" i="2"/>
  <c r="O73" i="2" s="1"/>
  <c r="I73" i="2"/>
  <c r="Q77" i="2"/>
  <c r="Q79" i="2"/>
  <c r="T81" i="2"/>
  <c r="Q83" i="2"/>
  <c r="T87" i="2"/>
  <c r="N91" i="2"/>
  <c r="O91" i="2" s="1"/>
  <c r="N93" i="2"/>
  <c r="O93" i="2" s="1"/>
  <c r="P114" i="2"/>
  <c r="N114" i="2"/>
  <c r="O114" i="2" s="1"/>
  <c r="R114" i="2"/>
  <c r="S114" i="2" s="1"/>
  <c r="Q117" i="2"/>
  <c r="Q119" i="2"/>
  <c r="P130" i="2"/>
  <c r="N130" i="2"/>
  <c r="O130" i="2" s="1"/>
  <c r="R130" i="2"/>
  <c r="S130" i="2" s="1"/>
  <c r="R148" i="2"/>
  <c r="S148" i="2" s="1"/>
  <c r="P152" i="2"/>
  <c r="O175" i="2"/>
  <c r="Q175" i="2"/>
  <c r="Q210" i="2"/>
  <c r="R69" i="2"/>
  <c r="S69" i="2" s="1"/>
  <c r="I69" i="2"/>
  <c r="I55" i="2"/>
  <c r="N69" i="2"/>
  <c r="O69" i="2" s="1"/>
  <c r="P44" i="2"/>
  <c r="P64" i="2"/>
  <c r="N64" i="2"/>
  <c r="O64" i="2" s="1"/>
  <c r="R64" i="2"/>
  <c r="S64" i="2" s="1"/>
  <c r="D34" i="5"/>
  <c r="S101" i="2"/>
  <c r="F34" i="5" s="1"/>
  <c r="I104" i="2"/>
  <c r="N104" i="2"/>
  <c r="O104" i="2" s="1"/>
  <c r="Q5" i="2"/>
  <c r="N22" i="2"/>
  <c r="O22" i="2" s="1"/>
  <c r="P22" i="2"/>
  <c r="N23" i="2"/>
  <c r="O23" i="2" s="1"/>
  <c r="N39" i="2"/>
  <c r="O39" i="2" s="1"/>
  <c r="I64" i="2"/>
  <c r="T82" i="2"/>
  <c r="N97" i="2"/>
  <c r="O97" i="2" s="1"/>
  <c r="X121" i="2" s="1"/>
  <c r="P97" i="2"/>
  <c r="P23" i="2"/>
  <c r="I13" i="2"/>
  <c r="I14" i="2"/>
  <c r="I17" i="2"/>
  <c r="I19" i="2"/>
  <c r="I20" i="2"/>
  <c r="I21" i="2"/>
  <c r="T24" i="2"/>
  <c r="Q26" i="2"/>
  <c r="T30" i="2"/>
  <c r="T31" i="2"/>
  <c r="N41" i="2"/>
  <c r="O41" i="2" s="1"/>
  <c r="T47" i="2"/>
  <c r="Q48" i="2"/>
  <c r="P56" i="2"/>
  <c r="N56" i="2"/>
  <c r="O56" i="2" s="1"/>
  <c r="R56" i="2"/>
  <c r="S56" i="2" s="1"/>
  <c r="Q63" i="2"/>
  <c r="T67" i="2"/>
  <c r="R71" i="2"/>
  <c r="S71" i="2" s="1"/>
  <c r="T75" i="2"/>
  <c r="Q76" i="2"/>
  <c r="S78" i="2"/>
  <c r="F32" i="5" s="1"/>
  <c r="Q87" i="2"/>
  <c r="T89" i="2"/>
  <c r="R91" i="2"/>
  <c r="S91" i="2" s="1"/>
  <c r="R93" i="2"/>
  <c r="S93" i="2" s="1"/>
  <c r="I114" i="2"/>
  <c r="I130" i="2"/>
  <c r="T132" i="2"/>
  <c r="Q132" i="2"/>
  <c r="R153" i="2"/>
  <c r="S153" i="2" s="1"/>
  <c r="N153" i="2"/>
  <c r="O153" i="2" s="1"/>
  <c r="P153" i="2"/>
  <c r="R159" i="2"/>
  <c r="S159" i="2" s="1"/>
  <c r="I159" i="2"/>
  <c r="P159" i="2"/>
  <c r="N159" i="2"/>
  <c r="O159" i="2" s="1"/>
  <c r="K222" i="2"/>
  <c r="R222" i="2"/>
  <c r="S222" i="2" s="1"/>
  <c r="N222" i="2"/>
  <c r="O222" i="2" s="1"/>
  <c r="Q19" i="2"/>
  <c r="Q55" i="2"/>
  <c r="Q16" i="2"/>
  <c r="K32" i="2"/>
  <c r="N44" i="2"/>
  <c r="O44" i="2" s="1"/>
  <c r="Q59" i="2"/>
  <c r="T100" i="2"/>
  <c r="Q29" i="2"/>
  <c r="Q43" i="2"/>
  <c r="N55" i="2"/>
  <c r="O55" i="2" s="1"/>
  <c r="N57" i="2"/>
  <c r="O57" i="2" s="1"/>
  <c r="I57" i="2"/>
  <c r="T99" i="2"/>
  <c r="I103" i="2"/>
  <c r="N103" i="2"/>
  <c r="O103" i="2" s="1"/>
  <c r="R103" i="2"/>
  <c r="S103" i="2" s="1"/>
  <c r="R112" i="2"/>
  <c r="S112" i="2" s="1"/>
  <c r="P112" i="2"/>
  <c r="I112" i="2"/>
  <c r="N112" i="2"/>
  <c r="O112" i="2" s="1"/>
  <c r="Q121" i="2"/>
  <c r="O121" i="2"/>
  <c r="R128" i="2"/>
  <c r="S128" i="2" s="1"/>
  <c r="P128" i="2"/>
  <c r="I128" i="2"/>
  <c r="N128" i="2"/>
  <c r="O128" i="2" s="1"/>
  <c r="Q37" i="2"/>
  <c r="R44" i="2"/>
  <c r="R55" i="2"/>
  <c r="S55" i="2" s="1"/>
  <c r="R61" i="2"/>
  <c r="S61" i="2" s="1"/>
  <c r="I61" i="2"/>
  <c r="T65" i="2"/>
  <c r="P69" i="2"/>
  <c r="I71" i="2"/>
  <c r="Q80" i="2"/>
  <c r="D36" i="5"/>
  <c r="S137" i="2"/>
  <c r="F36" i="5" s="1"/>
  <c r="Q138" i="2"/>
  <c r="Q149" i="2"/>
  <c r="R154" i="2"/>
  <c r="I154" i="2"/>
  <c r="P154" i="2"/>
  <c r="N154" i="2"/>
  <c r="O154" i="2" s="1"/>
  <c r="K160" i="2"/>
  <c r="P160" i="2"/>
  <c r="N15" i="2"/>
  <c r="I18" i="2"/>
  <c r="P46" i="2"/>
  <c r="N18" i="2"/>
  <c r="O18" i="2" s="1"/>
  <c r="N20" i="2"/>
  <c r="R23" i="2"/>
  <c r="S23" i="2" s="1"/>
  <c r="Q24" i="2"/>
  <c r="R25" i="2"/>
  <c r="S25" i="2" s="1"/>
  <c r="N32" i="2"/>
  <c r="O32" i="2" s="1"/>
  <c r="Q33" i="2"/>
  <c r="R46" i="2"/>
  <c r="Q47" i="2"/>
  <c r="T49" i="2"/>
  <c r="P50" i="2"/>
  <c r="I56" i="2"/>
  <c r="P61" i="2"/>
  <c r="I63" i="2"/>
  <c r="Q67" i="2"/>
  <c r="T71" i="2"/>
  <c r="Q75" i="2"/>
  <c r="T78" i="2"/>
  <c r="P84" i="2"/>
  <c r="D33" i="5"/>
  <c r="S87" i="2"/>
  <c r="F33" i="5" s="1"/>
  <c r="P92" i="2"/>
  <c r="T93" i="2"/>
  <c r="Q102" i="2"/>
  <c r="T102" i="2"/>
  <c r="N105" i="2"/>
  <c r="O105" i="2" s="1"/>
  <c r="N115" i="2"/>
  <c r="O115" i="2" s="1"/>
  <c r="I115" i="2"/>
  <c r="R115" i="2"/>
  <c r="S115" i="2" s="1"/>
  <c r="P115" i="2"/>
  <c r="R120" i="2"/>
  <c r="S120" i="2" s="1"/>
  <c r="P120" i="2"/>
  <c r="I120" i="2"/>
  <c r="N120" i="2"/>
  <c r="O120" i="2" s="1"/>
  <c r="N131" i="2"/>
  <c r="O131" i="2" s="1"/>
  <c r="I131" i="2"/>
  <c r="R131" i="2"/>
  <c r="S131" i="2" s="1"/>
  <c r="P131" i="2"/>
  <c r="R134" i="2"/>
  <c r="S134" i="2" s="1"/>
  <c r="N134" i="2"/>
  <c r="O134" i="2" s="1"/>
  <c r="P134" i="2"/>
  <c r="T140" i="2"/>
  <c r="T151" i="2"/>
  <c r="Q151" i="2"/>
  <c r="I153" i="2"/>
  <c r="P155" i="2"/>
  <c r="N157" i="2"/>
  <c r="O157" i="2" s="1"/>
  <c r="Q214" i="2"/>
  <c r="O214" i="2"/>
  <c r="P32" i="2"/>
  <c r="P42" i="2"/>
  <c r="R86" i="2"/>
  <c r="S86" i="2" s="1"/>
  <c r="R88" i="2"/>
  <c r="S88" i="2" s="1"/>
  <c r="T110" i="2"/>
  <c r="T116" i="2"/>
  <c r="Q116" i="2"/>
  <c r="T126" i="2"/>
  <c r="T138" i="2"/>
  <c r="P163" i="2"/>
  <c r="N163" i="2"/>
  <c r="O163" i="2" s="1"/>
  <c r="S201" i="2"/>
  <c r="F41" i="5" s="1"/>
  <c r="D41" i="5"/>
  <c r="P212" i="2"/>
  <c r="D44" i="5"/>
  <c r="S258" i="2"/>
  <c r="F44" i="5" s="1"/>
  <c r="T280" i="2"/>
  <c r="I321" i="2"/>
  <c r="R321" i="2"/>
  <c r="S321" i="2" s="1"/>
  <c r="P321" i="2"/>
  <c r="N321" i="2"/>
  <c r="O321" i="2" s="1"/>
  <c r="N241" i="2"/>
  <c r="O241" i="2" s="1"/>
  <c r="R241" i="2"/>
  <c r="S241" i="2" s="1"/>
  <c r="I241" i="2"/>
  <c r="P241" i="2"/>
  <c r="P255" i="2"/>
  <c r="N255" i="2"/>
  <c r="O255" i="2" s="1"/>
  <c r="R255" i="2"/>
  <c r="S255" i="2" s="1"/>
  <c r="I255" i="2"/>
  <c r="P62" i="2"/>
  <c r="P70" i="2"/>
  <c r="N86" i="2"/>
  <c r="O86" i="2" s="1"/>
  <c r="P96" i="2"/>
  <c r="P105" i="2"/>
  <c r="T107" i="2"/>
  <c r="Q107" i="2"/>
  <c r="T118" i="2"/>
  <c r="T124" i="2"/>
  <c r="Q124" i="2"/>
  <c r="P147" i="2"/>
  <c r="T156" i="2"/>
  <c r="Q156" i="2"/>
  <c r="Q168" i="2"/>
  <c r="Q188" i="2"/>
  <c r="T196" i="2"/>
  <c r="P91" i="2"/>
  <c r="N140" i="2"/>
  <c r="O140" i="2" s="1"/>
  <c r="K140" i="2"/>
  <c r="R149" i="2"/>
  <c r="S149" i="2" s="1"/>
  <c r="I149" i="2"/>
  <c r="S183" i="2"/>
  <c r="T183" i="2"/>
  <c r="T198" i="2"/>
  <c r="Q198" i="2"/>
  <c r="T200" i="2"/>
  <c r="Q200" i="2"/>
  <c r="Q201" i="2"/>
  <c r="T201" i="2"/>
  <c r="I210" i="2"/>
  <c r="N210" i="2"/>
  <c r="O210" i="2" s="1"/>
  <c r="R210" i="2"/>
  <c r="S210" i="2" s="1"/>
  <c r="R211" i="2"/>
  <c r="S211" i="2" s="1"/>
  <c r="P211" i="2"/>
  <c r="K211" i="2"/>
  <c r="N211" i="2"/>
  <c r="O211" i="2" s="1"/>
  <c r="P222" i="2"/>
  <c r="I105" i="2"/>
  <c r="T106" i="2"/>
  <c r="Q106" i="2"/>
  <c r="Q113" i="2"/>
  <c r="O113" i="2"/>
  <c r="R119" i="2"/>
  <c r="S119" i="2" s="1"/>
  <c r="N119" i="2"/>
  <c r="O119" i="2" s="1"/>
  <c r="Q129" i="2"/>
  <c r="O129" i="2"/>
  <c r="R135" i="2"/>
  <c r="S135" i="2" s="1"/>
  <c r="P135" i="2"/>
  <c r="I135" i="2"/>
  <c r="I147" i="2"/>
  <c r="P150" i="2"/>
  <c r="K150" i="2"/>
  <c r="R169" i="2"/>
  <c r="S169" i="2" s="1"/>
  <c r="I169" i="2"/>
  <c r="P169" i="2"/>
  <c r="N169" i="2"/>
  <c r="O169" i="2" s="1"/>
  <c r="P171" i="2"/>
  <c r="N171" i="2"/>
  <c r="O171" i="2" s="1"/>
  <c r="Q181" i="2"/>
  <c r="R184" i="2"/>
  <c r="S184" i="2" s="1"/>
  <c r="N184" i="2"/>
  <c r="O184" i="2" s="1"/>
  <c r="Q199" i="2"/>
  <c r="T199" i="2"/>
  <c r="T146" i="2"/>
  <c r="N160" i="2"/>
  <c r="O160" i="2" s="1"/>
  <c r="R160" i="2"/>
  <c r="S160" i="2" s="1"/>
  <c r="Q170" i="2"/>
  <c r="T170" i="2"/>
  <c r="N173" i="2"/>
  <c r="O173" i="2" s="1"/>
  <c r="I173" i="2"/>
  <c r="T175" i="2"/>
  <c r="R177" i="2"/>
  <c r="S177" i="2" s="1"/>
  <c r="I177" i="2"/>
  <c r="Q197" i="2"/>
  <c r="R198" i="2"/>
  <c r="S198" i="2" s="1"/>
  <c r="N198" i="2"/>
  <c r="O198" i="2" s="1"/>
  <c r="R213" i="2"/>
  <c r="S213" i="2" s="1"/>
  <c r="N215" i="2"/>
  <c r="O215" i="2" s="1"/>
  <c r="P215" i="2"/>
  <c r="P217" i="2"/>
  <c r="T219" i="2"/>
  <c r="T221" i="2"/>
  <c r="Q221" i="2"/>
  <c r="Q232" i="2"/>
  <c r="Q235" i="2"/>
  <c r="O235" i="2"/>
  <c r="R237" i="2"/>
  <c r="S237" i="2" s="1"/>
  <c r="N237" i="2"/>
  <c r="O237" i="2" s="1"/>
  <c r="I237" i="2"/>
  <c r="Q239" i="2"/>
  <c r="T239" i="2"/>
  <c r="R259" i="2"/>
  <c r="S259" i="2" s="1"/>
  <c r="I259" i="2"/>
  <c r="N259" i="2"/>
  <c r="O259" i="2" s="1"/>
  <c r="P259" i="2"/>
  <c r="Q258" i="2"/>
  <c r="T258" i="2"/>
  <c r="Q267" i="2"/>
  <c r="R138" i="2"/>
  <c r="S138" i="2" s="1"/>
  <c r="P172" i="2"/>
  <c r="N172" i="2"/>
  <c r="O172" i="2" s="1"/>
  <c r="R172" i="2"/>
  <c r="S172" i="2" s="1"/>
  <c r="P177" i="2"/>
  <c r="Q179" i="2"/>
  <c r="T187" i="2"/>
  <c r="Q194" i="2"/>
  <c r="P202" i="2"/>
  <c r="N202" i="2"/>
  <c r="O202" i="2" s="1"/>
  <c r="M202" i="2"/>
  <c r="R202" i="2"/>
  <c r="S202" i="2" s="1"/>
  <c r="T227" i="2"/>
  <c r="Q250" i="2"/>
  <c r="R277" i="2"/>
  <c r="S277" i="2" s="1"/>
  <c r="I277" i="2"/>
  <c r="P277" i="2"/>
  <c r="N277" i="2"/>
  <c r="O277" i="2" s="1"/>
  <c r="N299" i="2"/>
  <c r="O299" i="2" s="1"/>
  <c r="K299" i="2"/>
  <c r="R299" i="2"/>
  <c r="S299" i="2" s="1"/>
  <c r="R157" i="2"/>
  <c r="S157" i="2" s="1"/>
  <c r="I157" i="2"/>
  <c r="R158" i="2"/>
  <c r="S158" i="2" s="1"/>
  <c r="R168" i="2"/>
  <c r="N168" i="2"/>
  <c r="O168" i="2" s="1"/>
  <c r="P240" i="2"/>
  <c r="R240" i="2"/>
  <c r="S240" i="2" s="1"/>
  <c r="Q310" i="2"/>
  <c r="N150" i="2"/>
  <c r="O150" i="2" s="1"/>
  <c r="Q178" i="2"/>
  <c r="T178" i="2"/>
  <c r="Q183" i="2"/>
  <c r="O183" i="2"/>
  <c r="T186" i="2"/>
  <c r="R189" i="2"/>
  <c r="S189" i="2" s="1"/>
  <c r="I189" i="2"/>
  <c r="N189" i="2"/>
  <c r="O189" i="2" s="1"/>
  <c r="N220" i="2"/>
  <c r="O220" i="2" s="1"/>
  <c r="T223" i="2"/>
  <c r="O224" i="2"/>
  <c r="O236" i="2"/>
  <c r="Q236" i="2"/>
  <c r="I240" i="2"/>
  <c r="T246" i="2"/>
  <c r="S247" i="2"/>
  <c r="Y267" i="2" s="1"/>
  <c r="T248" i="2"/>
  <c r="Q256" i="2"/>
  <c r="T256" i="2"/>
  <c r="N176" i="2"/>
  <c r="R185" i="2"/>
  <c r="N187" i="2"/>
  <c r="R188" i="2"/>
  <c r="T225" i="2"/>
  <c r="Q227" i="2"/>
  <c r="R231" i="2"/>
  <c r="S231" i="2" s="1"/>
  <c r="N231" i="2"/>
  <c r="O231" i="2" s="1"/>
  <c r="N264" i="2"/>
  <c r="O264" i="2" s="1"/>
  <c r="M264" i="2"/>
  <c r="T265" i="2"/>
  <c r="Q265" i="2"/>
  <c r="Q266" i="2"/>
  <c r="T276" i="2"/>
  <c r="T292" i="2"/>
  <c r="Q292" i="2"/>
  <c r="K308" i="2"/>
  <c r="R308" i="2"/>
  <c r="S308" i="2" s="1"/>
  <c r="P308" i="2"/>
  <c r="N269" i="2"/>
  <c r="O269" i="2" s="1"/>
  <c r="R269" i="2"/>
  <c r="S269" i="2" s="1"/>
  <c r="T272" i="2"/>
  <c r="T274" i="2"/>
  <c r="R297" i="2"/>
  <c r="S297" i="2" s="1"/>
  <c r="I297" i="2"/>
  <c r="P297" i="2"/>
  <c r="N297" i="2"/>
  <c r="O297" i="2" s="1"/>
  <c r="T319" i="2"/>
  <c r="Q319" i="2"/>
  <c r="I275" i="2"/>
  <c r="P275" i="2"/>
  <c r="N280" i="2"/>
  <c r="O280" i="2" s="1"/>
  <c r="X270" i="2" s="1"/>
  <c r="R280" i="2"/>
  <c r="S280" i="2" s="1"/>
  <c r="I280" i="2"/>
  <c r="T296" i="2"/>
  <c r="N301" i="2"/>
  <c r="O301" i="2" s="1"/>
  <c r="R301" i="2"/>
  <c r="S301" i="2" s="1"/>
  <c r="Y293" i="2" s="1"/>
  <c r="P301" i="2"/>
  <c r="I301" i="2"/>
  <c r="R325" i="2"/>
  <c r="S325" i="2" s="1"/>
  <c r="I325" i="2"/>
  <c r="P325" i="2"/>
  <c r="N325" i="2"/>
  <c r="O325" i="2" s="1"/>
  <c r="X318" i="2" s="1"/>
  <c r="T263" i="2"/>
  <c r="X273" i="2"/>
  <c r="R283" i="2"/>
  <c r="S283" i="2" s="1"/>
  <c r="Y273" i="2" s="1"/>
  <c r="N197" i="2"/>
  <c r="O197" i="2" s="1"/>
  <c r="R220" i="2"/>
  <c r="S220" i="2" s="1"/>
  <c r="I220" i="2"/>
  <c r="Q233" i="2"/>
  <c r="T233" i="2"/>
  <c r="N234" i="2"/>
  <c r="O234" i="2" s="1"/>
  <c r="I234" i="2"/>
  <c r="T236" i="2"/>
  <c r="T253" i="2"/>
  <c r="K257" i="2"/>
  <c r="N257" i="2"/>
  <c r="O257" i="2" s="1"/>
  <c r="P264" i="2"/>
  <c r="M270" i="2"/>
  <c r="N272" i="2"/>
  <c r="R272" i="2"/>
  <c r="S272" i="2" s="1"/>
  <c r="I272" i="2"/>
  <c r="K310" i="2"/>
  <c r="R310" i="2"/>
  <c r="S310" i="2" s="1"/>
  <c r="N310" i="2"/>
  <c r="O310" i="2" s="1"/>
  <c r="Q225" i="2"/>
  <c r="T230" i="2"/>
  <c r="T235" i="2"/>
  <c r="R238" i="2"/>
  <c r="I238" i="2"/>
  <c r="N242" i="2"/>
  <c r="O242" i="2" s="1"/>
  <c r="I242" i="2"/>
  <c r="P269" i="2"/>
  <c r="N275" i="2"/>
  <c r="O275" i="2" s="1"/>
  <c r="T288" i="2"/>
  <c r="N298" i="2"/>
  <c r="O298" i="2" s="1"/>
  <c r="R298" i="2"/>
  <c r="S298" i="2" s="1"/>
  <c r="P298" i="2"/>
  <c r="M306" i="2"/>
  <c r="R306" i="2"/>
  <c r="S306" i="2" s="1"/>
  <c r="N306" i="2"/>
  <c r="O306" i="2" s="1"/>
  <c r="N217" i="2"/>
  <c r="O217" i="2" s="1"/>
  <c r="R217" i="2"/>
  <c r="S217" i="2" s="1"/>
  <c r="T228" i="2"/>
  <c r="Q230" i="2"/>
  <c r="R232" i="2"/>
  <c r="I232" i="2"/>
  <c r="N238" i="2"/>
  <c r="O238" i="2" s="1"/>
  <c r="T243" i="2"/>
  <c r="Q254" i="2"/>
  <c r="N263" i="2"/>
  <c r="O263" i="2" s="1"/>
  <c r="I263" i="2"/>
  <c r="N320" i="2"/>
  <c r="O320" i="2" s="1"/>
  <c r="M320" i="2"/>
  <c r="T326" i="2"/>
  <c r="Q326" i="2"/>
  <c r="R318" i="2"/>
  <c r="S318" i="2" s="1"/>
  <c r="Y311" i="2" s="1"/>
  <c r="G48" i="3"/>
  <c r="N260" i="2"/>
  <c r="O260" i="2" s="1"/>
  <c r="R260" i="2"/>
  <c r="S260" i="2" s="1"/>
  <c r="R270" i="2"/>
  <c r="S270" i="2" s="1"/>
  <c r="R271" i="2"/>
  <c r="S271" i="2" s="1"/>
  <c r="I271" i="2"/>
  <c r="N283" i="2"/>
  <c r="O283" i="2" s="1"/>
  <c r="R302" i="2"/>
  <c r="S302" i="2" s="1"/>
  <c r="R303" i="2"/>
  <c r="S303" i="2" s="1"/>
  <c r="I303" i="2"/>
  <c r="N305" i="2"/>
  <c r="O305" i="2" s="1"/>
  <c r="X302" i="2" s="1"/>
  <c r="R305" i="2"/>
  <c r="S305" i="2" s="1"/>
  <c r="K311" i="2"/>
  <c r="N316" i="2"/>
  <c r="O316" i="2" s="1"/>
  <c r="T317" i="2"/>
  <c r="R319" i="2"/>
  <c r="S319" i="2" s="1"/>
  <c r="Q324" i="2"/>
  <c r="N327" i="2"/>
  <c r="O327" i="2" s="1"/>
  <c r="R327" i="2"/>
  <c r="S327" i="2" s="1"/>
  <c r="P306" i="2"/>
  <c r="P320" i="2"/>
  <c r="N326" i="2"/>
  <c r="O326" i="2" s="1"/>
  <c r="R326" i="2"/>
  <c r="S326" i="2" s="1"/>
  <c r="Y318" i="2" s="1"/>
  <c r="R257" i="2"/>
  <c r="S257" i="2" s="1"/>
  <c r="R267" i="2"/>
  <c r="S267" i="2" s="1"/>
  <c r="I267" i="2"/>
  <c r="N271" i="2"/>
  <c r="O271" i="2" s="1"/>
  <c r="R274" i="2"/>
  <c r="S274" i="2" s="1"/>
  <c r="Q279" i="2"/>
  <c r="P283" i="2"/>
  <c r="Y282" i="2"/>
  <c r="P299" i="2"/>
  <c r="N308" i="2"/>
  <c r="O308" i="2" s="1"/>
  <c r="P309" i="2"/>
  <c r="P316" i="2"/>
  <c r="N318" i="2"/>
  <c r="O318" i="2" s="1"/>
  <c r="R320" i="2"/>
  <c r="S320" i="2" s="1"/>
  <c r="R264" i="2"/>
  <c r="S264" i="2" s="1"/>
  <c r="P271" i="2"/>
  <c r="Y270" i="2"/>
  <c r="Q282" i="2"/>
  <c r="N303" i="2"/>
  <c r="O303" i="2" s="1"/>
  <c r="I308" i="2"/>
  <c r="P311" i="2"/>
  <c r="M317" i="2"/>
  <c r="P262" i="2"/>
  <c r="P268" i="2"/>
  <c r="P300" i="2"/>
  <c r="P307" i="2"/>
  <c r="P315" i="2"/>
  <c r="N258" i="2"/>
  <c r="O258" i="2" s="1"/>
  <c r="N266" i="2"/>
  <c r="O266" i="2" s="1"/>
  <c r="N276" i="2"/>
  <c r="O276" i="2" s="1"/>
  <c r="N296" i="2"/>
  <c r="O296" i="2" s="1"/>
  <c r="N311" i="2"/>
  <c r="O311" i="2" s="1"/>
  <c r="P261" i="2"/>
  <c r="P273" i="2"/>
  <c r="P312" i="2"/>
  <c r="P327" i="2"/>
  <c r="Y163" i="2" l="1"/>
  <c r="H34" i="3" s="1"/>
  <c r="T307" i="2"/>
  <c r="Q307" i="2"/>
  <c r="T269" i="2"/>
  <c r="Q269" i="2"/>
  <c r="O272" i="2"/>
  <c r="X267" i="2" s="1"/>
  <c r="Q272" i="2"/>
  <c r="Q177" i="2"/>
  <c r="T177" i="2"/>
  <c r="Q120" i="2"/>
  <c r="T120" i="2"/>
  <c r="T64" i="2"/>
  <c r="Q64" i="2"/>
  <c r="T27" i="2"/>
  <c r="Q18" i="2"/>
  <c r="T159" i="2"/>
  <c r="Q159" i="2"/>
  <c r="T56" i="2"/>
  <c r="Q56" i="2"/>
  <c r="T149" i="2"/>
  <c r="Q44" i="2"/>
  <c r="T44" i="2"/>
  <c r="T130" i="2"/>
  <c r="Q130" i="2"/>
  <c r="T268" i="2"/>
  <c r="Q268" i="2"/>
  <c r="Q271" i="2"/>
  <c r="T271" i="2"/>
  <c r="Q299" i="2"/>
  <c r="T299" i="2"/>
  <c r="T260" i="2"/>
  <c r="Q264" i="2"/>
  <c r="T264" i="2"/>
  <c r="Q187" i="2"/>
  <c r="O187" i="2"/>
  <c r="T237" i="2"/>
  <c r="Q217" i="2"/>
  <c r="T217" i="2"/>
  <c r="Q135" i="2"/>
  <c r="T135" i="2"/>
  <c r="Q211" i="2"/>
  <c r="T211" i="2"/>
  <c r="Q96" i="2"/>
  <c r="T96" i="2"/>
  <c r="T241" i="2"/>
  <c r="Q241" i="2"/>
  <c r="Q280" i="2"/>
  <c r="T163" i="2"/>
  <c r="Q163" i="2"/>
  <c r="T42" i="2"/>
  <c r="Q42" i="2"/>
  <c r="T131" i="2"/>
  <c r="Q131" i="2"/>
  <c r="T115" i="2"/>
  <c r="Q115" i="2"/>
  <c r="T92" i="2"/>
  <c r="Q92" i="2"/>
  <c r="D30" i="5"/>
  <c r="S46" i="2"/>
  <c r="F30" i="5" s="1"/>
  <c r="Q46" i="2"/>
  <c r="T46" i="2"/>
  <c r="D38" i="5"/>
  <c r="S154" i="2"/>
  <c r="F38" i="5" s="1"/>
  <c r="Q128" i="2"/>
  <c r="T128" i="2"/>
  <c r="X93" i="2"/>
  <c r="T119" i="2"/>
  <c r="Q25" i="2"/>
  <c r="T25" i="2"/>
  <c r="Q41" i="2"/>
  <c r="T41" i="2"/>
  <c r="Q309" i="2"/>
  <c r="T309" i="2"/>
  <c r="Q255" i="2"/>
  <c r="T255" i="2"/>
  <c r="Q308" i="2"/>
  <c r="T308" i="2"/>
  <c r="T154" i="2"/>
  <c r="Q154" i="2"/>
  <c r="T147" i="2"/>
  <c r="Q147" i="2"/>
  <c r="T153" i="2"/>
  <c r="Q153" i="2"/>
  <c r="T158" i="2"/>
  <c r="Q213" i="2"/>
  <c r="Q111" i="2"/>
  <c r="T111" i="2"/>
  <c r="T88" i="2"/>
  <c r="T72" i="2"/>
  <c r="Q72" i="2"/>
  <c r="T301" i="2"/>
  <c r="Q301" i="2"/>
  <c r="T240" i="2"/>
  <c r="Q240" i="2"/>
  <c r="T97" i="2"/>
  <c r="Q97" i="2"/>
  <c r="T105" i="2"/>
  <c r="Q105" i="2"/>
  <c r="Q112" i="2"/>
  <c r="T112" i="2"/>
  <c r="T232" i="2"/>
  <c r="S232" i="2"/>
  <c r="T185" i="2"/>
  <c r="S185" i="2"/>
  <c r="Q259" i="2"/>
  <c r="T259" i="2"/>
  <c r="Q169" i="2"/>
  <c r="T169" i="2"/>
  <c r="Q91" i="2"/>
  <c r="T91" i="2"/>
  <c r="Q61" i="2"/>
  <c r="T61" i="2"/>
  <c r="Q73" i="2"/>
  <c r="X50" i="2"/>
  <c r="G30" i="3" s="1"/>
  <c r="O176" i="2"/>
  <c r="X179" i="2" s="1"/>
  <c r="Q176" i="2"/>
  <c r="Q70" i="2"/>
  <c r="T70" i="2"/>
  <c r="O15" i="2"/>
  <c r="P338" i="2" s="1"/>
  <c r="Q15" i="2"/>
  <c r="Q320" i="2"/>
  <c r="T320" i="2"/>
  <c r="T302" i="2"/>
  <c r="T303" i="2"/>
  <c r="Q231" i="2"/>
  <c r="T267" i="2"/>
  <c r="Q222" i="2"/>
  <c r="T222" i="2"/>
  <c r="Q62" i="2"/>
  <c r="T62" i="2"/>
  <c r="Q140" i="2"/>
  <c r="T84" i="2"/>
  <c r="Q84" i="2"/>
  <c r="Q160" i="2"/>
  <c r="T160" i="2"/>
  <c r="Y93" i="2"/>
  <c r="T152" i="2"/>
  <c r="Q152" i="2"/>
  <c r="Q39" i="2"/>
  <c r="T39" i="2"/>
  <c r="Q71" i="2"/>
  <c r="T213" i="2"/>
  <c r="T270" i="2"/>
  <c r="T206" i="2"/>
  <c r="Q206" i="2"/>
  <c r="T86" i="2"/>
  <c r="Q104" i="2"/>
  <c r="Q86" i="2"/>
  <c r="Q273" i="2"/>
  <c r="T273" i="2"/>
  <c r="Q297" i="2"/>
  <c r="T297" i="2"/>
  <c r="T148" i="2"/>
  <c r="Q148" i="2"/>
  <c r="Q261" i="2"/>
  <c r="T261" i="2"/>
  <c r="Q234" i="2"/>
  <c r="Q260" i="2"/>
  <c r="D40" i="5"/>
  <c r="S188" i="2"/>
  <c r="F40" i="5" s="1"/>
  <c r="Q238" i="2"/>
  <c r="Q69" i="2"/>
  <c r="T69" i="2"/>
  <c r="T262" i="2"/>
  <c r="Q262" i="2"/>
  <c r="T298" i="2"/>
  <c r="Q298" i="2"/>
  <c r="Q296" i="2"/>
  <c r="S168" i="2"/>
  <c r="Y179" i="2" s="1"/>
  <c r="T168" i="2"/>
  <c r="Q172" i="2"/>
  <c r="T172" i="2"/>
  <c r="Q283" i="2"/>
  <c r="T283" i="2"/>
  <c r="X311" i="2"/>
  <c r="Q202" i="2"/>
  <c r="T202" i="2"/>
  <c r="Q327" i="2"/>
  <c r="T327" i="2"/>
  <c r="Q306" i="2"/>
  <c r="T306" i="2"/>
  <c r="Q305" i="2"/>
  <c r="T238" i="2"/>
  <c r="S238" i="2"/>
  <c r="Q318" i="2"/>
  <c r="Q303" i="2"/>
  <c r="Q276" i="2"/>
  <c r="T231" i="2"/>
  <c r="Q242" i="2"/>
  <c r="T220" i="2"/>
  <c r="Q184" i="2"/>
  <c r="T212" i="2"/>
  <c r="Q212" i="2"/>
  <c r="Q189" i="2"/>
  <c r="D29" i="5"/>
  <c r="S44" i="2"/>
  <c r="F29" i="5" s="1"/>
  <c r="Q22" i="2"/>
  <c r="T22" i="2"/>
  <c r="T157" i="2"/>
  <c r="Y233" i="2"/>
  <c r="T57" i="2"/>
  <c r="T103" i="2"/>
  <c r="T275" i="2"/>
  <c r="Q275" i="2"/>
  <c r="Q20" i="2"/>
  <c r="O20" i="2"/>
  <c r="T300" i="2"/>
  <c r="Q300" i="2"/>
  <c r="Q171" i="2"/>
  <c r="T171" i="2"/>
  <c r="T155" i="2"/>
  <c r="Q155" i="2"/>
  <c r="X293" i="2"/>
  <c r="Q277" i="2"/>
  <c r="T277" i="2"/>
  <c r="T215" i="2"/>
  <c r="Q215" i="2"/>
  <c r="T32" i="2"/>
  <c r="Q32" i="2"/>
  <c r="Q325" i="2"/>
  <c r="T325" i="2"/>
  <c r="T310" i="2"/>
  <c r="T311" i="2"/>
  <c r="Q311" i="2"/>
  <c r="Q312" i="2"/>
  <c r="T312" i="2"/>
  <c r="T315" i="2"/>
  <c r="Q315" i="2"/>
  <c r="Q316" i="2"/>
  <c r="T316" i="2"/>
  <c r="Y302" i="2"/>
  <c r="T305" i="2"/>
  <c r="T318" i="2"/>
  <c r="Q263" i="2"/>
  <c r="Q237" i="2"/>
  <c r="Q150" i="2"/>
  <c r="T150" i="2"/>
  <c r="Q220" i="2"/>
  <c r="T184" i="2"/>
  <c r="T321" i="2"/>
  <c r="Q321" i="2"/>
  <c r="T189" i="2"/>
  <c r="Q134" i="2"/>
  <c r="T134" i="2"/>
  <c r="T50" i="2"/>
  <c r="Q50" i="2"/>
  <c r="Q93" i="2"/>
  <c r="Q23" i="2"/>
  <c r="T23" i="2"/>
  <c r="T210" i="2"/>
  <c r="T114" i="2"/>
  <c r="Q114" i="2"/>
  <c r="Q157" i="2"/>
  <c r="Q127" i="2"/>
  <c r="T127" i="2"/>
  <c r="T188" i="2"/>
  <c r="Q65" i="2"/>
  <c r="Q57" i="2"/>
  <c r="Q103" i="2"/>
  <c r="P339" i="2" l="1"/>
  <c r="G51" i="3"/>
  <c r="P340" i="2"/>
  <c r="T338" i="2"/>
  <c r="Y50" i="2"/>
  <c r="H30" i="3" s="1"/>
  <c r="H49" i="3"/>
  <c r="G47" i="3"/>
  <c r="H51" i="3" l="1"/>
  <c r="T339" i="2"/>
  <c r="T340" i="2" s="1"/>
  <c r="H47" i="3"/>
  <c r="H50" i="3" s="1"/>
  <c r="H53" i="3" s="1"/>
  <c r="G49" i="3"/>
  <c r="G50" i="3" s="1"/>
  <c r="G52" i="3" l="1"/>
  <c r="G53" i="3"/>
  <c r="G54" i="3" s="1"/>
  <c r="H52" i="3"/>
  <c r="H54" i="3"/>
</calcChain>
</file>

<file path=xl/sharedStrings.xml><?xml version="1.0" encoding="utf-8"?>
<sst xmlns="http://schemas.openxmlformats.org/spreadsheetml/2006/main" count="2146" uniqueCount="995">
  <si>
    <t>FORMATO SOLICITUD DE COTIZACIÓN</t>
  </si>
  <si>
    <t>ALCALDÍA LOCAL DE ENGATIVA</t>
  </si>
  <si>
    <t>ADVERTENCIA</t>
  </si>
  <si>
    <t>La cotización recibida servira de base para la elaboración de un estudio de mercado, y por tanto, no constituye en si misma una oferta y consecuentemente NO obliga a ninguna de las partes.</t>
  </si>
  <si>
    <t>OBJETO</t>
  </si>
  <si>
    <t>VALIDEZ DE LA CONTRATACIÓN</t>
  </si>
  <si>
    <t>Se solicita que la cotización tenga validez minimo 3 Meses a partir de su expedición.</t>
  </si>
  <si>
    <t>ESPECIFICACIONES TECNICAS</t>
  </si>
  <si>
    <t>Para visualizar las especificaciones tecnicas dirijase a la pestaña Especificaciones Tecnicas</t>
  </si>
  <si>
    <t>CONDICIONES DE CONTRATACIÓN</t>
  </si>
  <si>
    <t>PLAZO</t>
  </si>
  <si>
    <t>CODIGOS UNSPSC</t>
  </si>
  <si>
    <t xml:space="preserve">SEGMENTO </t>
  </si>
  <si>
    <t>FAMILIA</t>
  </si>
  <si>
    <t>CLASE</t>
  </si>
  <si>
    <t xml:space="preserve">NOMBRE </t>
  </si>
  <si>
    <t>Solicita y elabora:</t>
  </si>
  <si>
    <t>Profesional de Planeación FDLE</t>
  </si>
  <si>
    <t>Revisó:</t>
  </si>
  <si>
    <t>OO</t>
  </si>
  <si>
    <t>DESCRIPCIÓN</t>
  </si>
  <si>
    <t xml:space="preserve">CANTIDAD </t>
  </si>
  <si>
    <t>Unidad de medida</t>
  </si>
  <si>
    <t>Tiempo</t>
  </si>
  <si>
    <t>Valor univario sin IVA</t>
  </si>
  <si>
    <t>Valor total sin IVA</t>
  </si>
  <si>
    <t>PROMEDIO UNITARIO</t>
  </si>
  <si>
    <t>TOTAL PROMEDIO SIN IVA</t>
  </si>
  <si>
    <t>DESVIACIÓN ESTANDAR</t>
  </si>
  <si>
    <t>COEFICIENTE DE VARIACIÓN PROMEDIO</t>
  </si>
  <si>
    <t>MEDIANA UNITARIO</t>
  </si>
  <si>
    <t>TOTAL MEDIANA SIN IVA</t>
  </si>
  <si>
    <t>COEFICIENTE DE VARIACIÓN MEDIANA</t>
  </si>
  <si>
    <t xml:space="preserve">Cotizacion 1 </t>
  </si>
  <si>
    <t>Cotizacion 2</t>
  </si>
  <si>
    <t>Cotizacion 3</t>
  </si>
  <si>
    <t>RESPONSABLE</t>
  </si>
  <si>
    <t>ÍTEM</t>
  </si>
  <si>
    <t>TALENTO HUMANO TRANSVERSAL</t>
  </si>
  <si>
    <t>Coordinador(a) general del proyecto</t>
  </si>
  <si>
    <t>FORMACIÓN PROFESIONAL DE ACUERDO AL ÁREA DE CONOCIMIENTO DEL NÚCLEO BÁSICO DEL CONOCIMIENTO.
Área Básica del Conocimiento en administración deportiva y/o Profesional en gestión deportiva y/o profesional en ciencias del deporte y/o profesional en deporte y actividad física y/o licenciado en educación física y/o recreación y deporte y/o profesional de la cultura física, deporte y recreación.
EXPERIENCIA PROFESIONAL Cinco (5)
años de experiencia profesional, contados a partir de la terminación de materias y/o fecha de grado, según aplique.
EXPERIENCIA ESPECIFICA cuatro (4)
años de experiencia adicional relacionada como Coordinador y/o Supervisor y/o Gerente, en coordinación de eventos recreativos y/o deportivos dirigidos a jóvenes y/o adulto mayor y/o población de enfoques diferenciales y/o población convencional.
Dedicación 100%.</t>
  </si>
  <si>
    <t>unidad</t>
  </si>
  <si>
    <t>MES</t>
  </si>
  <si>
    <t>TABLA DE HONORARIOS SECRETARIA DE GOBIERNO</t>
  </si>
  <si>
    <t>Monitor General Eventos</t>
  </si>
  <si>
    <t>FORMACIÓN PROFESIONAL DE ACUERDO AL ÁREA DE CONOCIMIENTO DEL NÚCLEO BÁSICO DEL CONOCIMIENTO.
Profesional en el Área Básica del Conocimiento en administrador deportivo y/o Profesional en gestión deportiva y/o profesional en ciencias del deporte y/o profesional en
deporte y actividad física y/o licenciado en educación física y/o recreación y deporte
y/o profesional de la cultura física, deporte y recreación.
EXPERIENCIA  PROFESIONAL  que
cuente mínimo con tres (3) años de experiencia profesional, contados a partir de la terminación de materias y/o fecha de grado, según aplique.
cumpliendo funciones coordinación y/o dirección y/o planeación de eventos
recreos deportivos.
Dedicacion 100%</t>
  </si>
  <si>
    <t>mes</t>
  </si>
  <si>
    <t>ñ</t>
  </si>
  <si>
    <t>Asistente Administrativo</t>
  </si>
  <si>
    <t>FORMACIÓN		TÉCNICA		O TECNOLÓGICA DE ACUERDO AL ÁREA DE CONOCIMIENTO DEL NÚCLEO	BÁSICO	DEL CONOCIMIENTO.
Se requiere una persona con los siguientes estudios, de acuerdo con las Áreas definidas en el Sistema Nacional de Información de la Educación Superior - SNIES:
Tecnología en logística Tecnología en Asistencia Gerencial
•	Tecnología en Gestión Del Talento Humano
•	Tecnología en Administración de empresas
EXPERIENCIA LABORAL Tres (3) años de
experiencia laboral, contados a partir de la terminación de materias y/o fecha de grado, según aplique.
EXPERIENCIA ESPECIFICA De un (1)
año como auxiliar o apoyo administrativo, apoyando la gestión administrativa, presentación de informes y relaciones interinstitucionales para la ejecución de proyectos sociales y/o deportivos y/o culturales.
Dedicación 100%.</t>
  </si>
  <si>
    <t>PÓLIZAS CONTRA ACCIDENTES O EXTRA CONTRACTUAL</t>
  </si>
  <si>
    <t>Póliza de seguros de para accidentes personales expedida por Compañía de Seguros debidamente autorizada por la Superintendencia Financiera de Colombia o quien haga sus veces que ampare los perjuicios imputables al asegurado por accidentes, lesiones o muerte a personas o daños a bienes, en desarrollo o con ocasión de la actividad recreo deportiva incluyendo lo que ocurra en el lugar donde se lleve a cabo la actividad y su área circunvecina. La cobertura debe ser para dentro y fuera de Bogotá (Durante toda la actividad y 30 días posteriores a estas). Amparos para cada una de las personas que participen de la actividad: Por muerte $10.000.000, invalidez y desmembración $10.000.000, gastos funerarios $2.000.000 y gastos médicos $2.000.000. PARA TODO EL CONTRATO</t>
  </si>
  <si>
    <t>global</t>
  </si>
  <si>
    <t xml:space="preserve">personas </t>
  </si>
  <si>
    <t>DREAMS</t>
  </si>
  <si>
    <t>NEXT ENTERTAINMET</t>
  </si>
  <si>
    <t>BETTERLINE</t>
  </si>
  <si>
    <t>Facilitadores</t>
  </si>
  <si>
    <t>TÍTULO DE BACHILLER.
EXPERIENCIA ESPECIFICA Mínimo 1
año de experiencia en trabajo comunitario y/o tener experiencia en trabajo logístico.
Dedicación 100%.</t>
  </si>
  <si>
    <t>unidades</t>
  </si>
  <si>
    <t>TOTAL PROMEDIO</t>
  </si>
  <si>
    <t>TOTAL MEDIANA</t>
  </si>
  <si>
    <t>Plan de medios comunitarios
RADIO, DIGITAL, IMPRESOS Y REDES
(en medios comunitarios de la localidad de Engativá; mínimo tres canales distintos)</t>
  </si>
  <si>
    <t>BOLSA A MONTO AGOTABLE PARA TODO EL CONTRATO Y SUS COMPONENTES Y/O ACTIVIDADES (valor unitario mensual por 7 meses de ejecución).
OBJETO: Diseñar, producir y ejecutar un plan de medios comunitarios multicanal en la localidad de Engativá que dé a conocer el propósito del proyecto, convoque e invite a la ciudadanía a las actividades recreo-deportivas, y garantice cobertura y difusión de cada actividad, manteniendo el carácter participativo y pedagógico del mensaje institucional. El plan NO se limita a un solo medio ni a medios escritos: debe combinar como mínimo tres (3) canales distintos entre los siguientes, todos de circulación o audiencia comunitaria en Engativá.
CANALES Y COMPONENTES:
1. Radio comunitaria: entrevistas y notas en vivo, pregrabadas o transcritas con voceros de la Alcaldía Local y de la comunidad; parrilla de cuñas y menciones radiales que convoquen a cada actividad (según el calendario aprobado por la supervisión).
2. Medios digitales y redes sociales: publirreportajes y notas web en portales/medios comunitarios; piezas gráficas, videos cortos (formato vertical) y fotoreportaje institucional para redes del medio y de la Alcaldía Local; pauta digital segmentada a la localidad cuando la supervisión lo requiera.
3. Medios impresos comunitarios y piezas impresas: nota tipo publirreportaje (un cuarto de página) en periódico o boletín comunitario de Engativá cuando el calendario lo exija; volantes, afiches, plegables, botones y demás impresos requeridos para el desarrollo de las actividades.
4. Cubrimiento de actividades: registro fotográfico y audiovisual de las actividades masivas para alimentar los canales anteriores.
FORMATO MÍNIMO DE LAS NOTAS Y PUBLIRREPORTAJES: titular y subtítulos llamativos; entradilla (lead) con el mensaje central; desarrollo con citas de voceros, contexto del proyecto o acción institucional, testimonios, cifras y frases clave; recuadro con "dato clave"; mínimo 3 imágenes de alta calidad con pie de foto; llamado a la acción final; datos de contacto o enlace a las redes de la Alcaldía Local de Engativá.
ENTREGABLES (informe mensual con evidencias): certificación o registro de emisión/publicación por canal; publicaciones en PDF, Word y enlaces; imágenes en alta resolución con pie de foto; propuesta de titular y copy para redes; pantallazos de la información compartida con líderes comunitarios y grupos de la localidad; reporte de alcance e impresiones de los canales digitales.
RECURSO HUMANO MÍNIMO (incluido en el valor unitario): periodista o comunicador social, locutor o productor radial, diseñador gráfico, editor audiovisual/camarógrafo, community manager y corrector de estilo.
JUSTIFICACIÓN DEL VALOR: el valor unitario cubre, durante cada mes de ejecución, la producción, edición, difusión y pauta en varios canales, el talento humano especializado de cada uno, los derechos de emisión/publicación y la impresión de piezas, así como el informe de evidencias y alcance; se cobra únicamente lo efectivamente ejecutado hasta agotar el monto.
Todas las piezas deben ser aprobadas por la oficina de prensa y comunicaciones de la Alcaldía Local de Engativá, y las cantidades y elementos serán aprobados en comité técnico.</t>
  </si>
  <si>
    <t>meses</t>
  </si>
  <si>
    <t>MONTO AGOTABLE</t>
  </si>
  <si>
    <t>Meta 2026: Beneficiar 2800 personas en actividades recreo deportivas comunitarias</t>
  </si>
  <si>
    <t>Actividad 1 - Salida Recreo deportiva para Persona Mayor.
P.P. 50749 - Festival de la persona mayor</t>
  </si>
  <si>
    <t xml:space="preserve">TALENTO HUMANO </t>
  </si>
  <si>
    <t>Coordinador general de jornada</t>
  </si>
  <si>
    <t>Profesional en áreas administrativas, sociales, recreativas, salud, gerontología o afines, con mínimo 3 años de experiencia en coordinación de eventos, programas sociales, recreativos o atención de población adulta mayor.</t>
  </si>
  <si>
    <t xml:space="preserve">SERVICIOS </t>
  </si>
  <si>
    <t>JORNADA</t>
  </si>
  <si>
    <t>Coordinadores logísticos de grupo</t>
  </si>
  <si>
    <t>Técnico, tecnólogo 2 años de experiencia en coordinación de actividades masivas, recreativas, sociales o atención de adultos mayores.</t>
  </si>
  <si>
    <t xml:space="preserve">Técnico en comunicaciones, periodismo, producción audiovisual, diseño, publicidad, medios digitales o áreas afines. </t>
  </si>
  <si>
    <t xml:space="preserve">Técnico, tecnólogo o profesional con mínimo 1 año de experiencia en comunicaciones, periodismo, producción audiovisual, diseño, publicidad, medios digitales o áreas afines. </t>
  </si>
  <si>
    <t>Auxiliares / acompañantes / cuidadores de adultos mayores</t>
  </si>
  <si>
    <t>Formación como auxiliar, técnico, tecnólogo o experiencia certificada mínima de 1 año en acompañamiento, cuidado o atención de adultos mayores.</t>
  </si>
  <si>
    <t>Auxiliares adicionales para personas con movilidad reducida o necesidades particulares</t>
  </si>
  <si>
    <t>Formación y/o experiencia en atención y acompañamiento de personas con movilidad reducida, discapacidad o necesidades especiales.</t>
  </si>
  <si>
    <t>Profesionales/técnicos recreativos</t>
  </si>
  <si>
    <t>Mínimo 2 años de experiencia en recreación, actividad física, deporte, aprovechamiento del tiempo libre o trabajo con adultos mayores.</t>
  </si>
  <si>
    <t>Profesionales en actividad física, deporte o afines</t>
  </si>
  <si>
    <t>Profesional o tecnólogo en actividad física, deporte, educación física o áreas afines; mínimo 2 años de experiencia con población adulta mayor.</t>
  </si>
  <si>
    <t>Médico</t>
  </si>
  <si>
    <t>Médico con tarjeta profesional vigente y mínimo 2 años de experiencia en atención de urgencias, atención primaria, atención de adultos mayores o emergencias.</t>
  </si>
  <si>
    <t>Enfermeros profesionales</t>
  </si>
  <si>
    <t>Profesional en enfermería, registro profesional vigente y mínimo 2 años de experiencia en atención clínica, urgencias o población adulta mayor.</t>
  </si>
  <si>
    <t>Auxiliares de enfermería</t>
  </si>
  <si>
    <t>Técnico laboral como auxiliar de enfermería, certificación vigente y mínimo 1 año de experiencia en atención asistencial, urgencias o adultos mayores.</t>
  </si>
  <si>
    <t>Personal de primeros auxilios / APH</t>
  </si>
  <si>
    <t>Formación certificada en primeros auxilios y/o atención prehospitalaria, con experiencia mínima de 1 año.</t>
  </si>
  <si>
    <t>Personal de embarque y desembarque</t>
  </si>
  <si>
    <t>Mínimo 1 año de experiencia en logística, eventos, transporte de pasajeros o atención de población vulnerable.</t>
  </si>
  <si>
    <t>Personal de apoyo en alimentación y zonas comunes</t>
  </si>
  <si>
    <t>Mínimo 1 año de experiencia en logística de eventos o atención al público.</t>
  </si>
  <si>
    <t>Personal para control de manillas y registro de participantes</t>
  </si>
  <si>
    <t>Mínimo 1 año de experiencia en manejo de sistemas de registro, control de acceso o logística de eventos.</t>
  </si>
  <si>
    <t>Coordinadores de transporte</t>
  </si>
  <si>
    <t>Mínimo 2 años de experiencia en coordinación logística o transporte de grupos.</t>
  </si>
  <si>
    <t xml:space="preserve">RECURSOS LOGISTICOS </t>
  </si>
  <si>
    <t>Ambulancia medicalizada</t>
  </si>
  <si>
    <t>Ambulancia habilitada de acuerdo con la normativa sanitaria vigente, con dotación completa para atención y traslado de pacientes, camilla, equipos de soporte vital, oxígeno medicinal, elementos de inmovilización, monitorización y demás dotación exigida para el tipo de ambulancia. Deberá permanecer disponible de manera exclusiva durante toda la jornada.</t>
  </si>
  <si>
    <t xml:space="preserve">JORNADA </t>
  </si>
  <si>
    <t>KUSTER</t>
  </si>
  <si>
    <t>AMERICANA CORP</t>
  </si>
  <si>
    <t>ALDESARROLLO</t>
  </si>
  <si>
    <t>Bus de servicio especial con baño</t>
  </si>
  <si>
    <t>Vehículo tipo bus para transporte de pasajeros, con baño a bordo, capacidad mínima de 40 pasajeros, cinturones de seguridad individuales, aire acondicionado o sistema adecuado de ventilación, sillas en condiciones óptimas, espacio para personas con movilidad reducida cuando sea requerido, SOAT y revisión técnico-mecánica vigentes. 15 conductores Experiencia mínima de dos (2) años como conductor de vehículos de transporte de pasajeros o vehículos de características similares. Licencia de conducción categoría C2 vigente, de conformidad con el tipo de vehículo y servicio a prestar.
Contar con la edad mínima legalmente establecida para la conducción de vehículos de servicio público.
Acreditar aptitud física, mental y de coordinación motriz para la conducción, conforme a la normativa vigente.
No registrar antecedentes que impidan el ejercicio del cargo, de acuerdo con las verificaciones legalmente procedentes.
Cumplir los demás requisitos y certificaciones exigidos por la normatividad vigente para conductores de servicio público.</t>
  </si>
  <si>
    <t>ACUERDO MARCO DE TRANSPORTE</t>
  </si>
  <si>
    <t>Bus de contingencia con baño</t>
  </si>
  <si>
    <t>Bus de las mismas características técnicas y de seguridad de los vehículos principales, disponible para atender contingencias, reemplazos, fallas mecánicas o necesidades operativas durante la jornada.</t>
  </si>
  <si>
    <t>MODULO MEC</t>
  </si>
  <si>
    <t xml:space="preserve">Punto MEC instalado en una carpa de 4x4 mínimo dieciséis {16) metros cuadrados de área Las áreas o carpas utilizadas para estos módulos deben estar señalizados e identificados con aviso de 80cm * 100cm que indique "M.E.C-Módulo de Estabilización y Clasificación de He­ ridos". -(3) Recipientes plásticos y rígidos {tipo canecas) con bolsas para el desecho de residuos peligrosos, no peligrosos y residuos corto punzantes -Mínimo dos (2) auxiliares de enfermería que deben estar con Uniforme, Equipo de Actuación y Protección básico, deben ajustarse al Plan de Acción de Atención Médica y Primeros Auxilios. -(1) Botiquín de primeros auxilios tipo acuerdo a lo establecido en la re­ solución 705 de 2007. </t>
  </si>
  <si>
    <t>BL EFECTOS</t>
  </si>
  <si>
    <t>THUNDER</t>
  </si>
  <si>
    <t>NEXT</t>
  </si>
  <si>
    <t>Manilla individual de identificación y localización</t>
  </si>
  <si>
    <t>Manilla resistente al agua, ajustable, de uso individual, con sistema de identificación mediante código único, código QR, código de barras o sistema equivalente. Deberá permitir asociar al participante con grupo, vehículo y contacto de emergencia.</t>
  </si>
  <si>
    <t>ARTES YA</t>
  </si>
  <si>
    <t>RINOGRAF</t>
  </si>
  <si>
    <t>MANLLAS DE CONTROL</t>
  </si>
  <si>
    <t>Manillas de contingencia</t>
  </si>
  <si>
    <t>Manillas con las mismas características de las principales, destinadas a reposición por pérdida, daño o novedades durante la jornada.</t>
  </si>
  <si>
    <t>MANILLAS DE CONTROLÇ</t>
  </si>
  <si>
    <t>Botella Agua potable para hidratación</t>
  </si>
  <si>
    <t xml:space="preserve">Botella de Agua potable en presentación individual 600 ml </t>
  </si>
  <si>
    <t xml:space="preserve">La estacion </t>
  </si>
  <si>
    <t xml:space="preserve">cruz verde </t>
  </si>
  <si>
    <t>Drogerias colsubsidio</t>
  </si>
  <si>
    <t>Sistema de sonido para Rumba terapéutica</t>
  </si>
  <si>
    <t>Alquiler de un (1) Sistema de sonidov5.000 vatios de potencia con medios altos Une Array, bajos, monitores tarima, rack procesos, mínimo 16 micrófonos con sus respectivas bases, kit de baterías y/o cajas directas, computador portátil con unidad de C.D y/o DVD, consola digital de mínimo de 12 a 24 canales, dos micrófonos inalámbricos, con trípodes para cabinas. Incluye transporte, instalación, montaje y desmonte. Las características del sistema de so- nido serán ajustadas por el comité de acuerdo con la necesidad y en aras de mejorar la calidad del requerimiento.</t>
  </si>
  <si>
    <t>D&amp;R PRODUCCIONES</t>
  </si>
  <si>
    <t>AUDIOPROYECTOS</t>
  </si>
  <si>
    <t>AMERICAN CORP</t>
  </si>
  <si>
    <t>Tarima o plataforma para instructor</t>
  </si>
  <si>
    <t>Plataforma estable, antideslizante y de altura segura , con dimensiones adecuadas para permitir la visualización del instructor durante la rumba terapéutica y actividades dirigidas (8m x 8m).</t>
  </si>
  <si>
    <t>Alquiler  escenario recreativo</t>
  </si>
  <si>
    <t>Club campestre, centro vacacional, recreacional o establecimiento equivalente, ubicado dentro de un radio máximo de 100 km desde Bogotá D.C., con capacidad operativa mínima de 650 personas por jornada y condiciones adecuadas de seguridad, salubridad, accesibilidad y funcionamiento. Debe contar con zonas verdes, espacios recreativos, piscina, áreas de descanso, baterías sanitarias y espacios adecuados para alimentación y desarrollo de actividades. Áreas verdes amplias, limpias, seguras y mantenidas, aptas para actividades recreativas, deportivas, culturales, de integración y descanso. Deberán contar con zonas de sombra o mecanismos de protección frente a condiciones climáticas. Piscina de uso recreativo en adecuadas condiciones de mantenimiento, limpieza, señalización y seguridad. Debe contar con accesos seguros y medidas de prevención y control requeridas para su utilización por personas mayores.Espacio amplio, nivelado, seguro y libre de obstáculos, destinado al desarrollo de actividades recreativas, deportivas, culturales, artísticas y de integración programadas durante la jornada. Sillas plásticas o equivalentes, resistentes, estables y en buenas condiciones, distribuidas en las zonas de actividad y descanso para facilitar pausas durante la jornada.Mesas resistentes y estables, adecuadas para actividades de alimentación, integración y apoyo logístico.Baños suficientes de acuerdo con el aforo autorizado del establecimiento, en condiciones óptimas de higiene, funcionamiento y mantenimiento durante toda la jornada. Sanitarios accesibles para personas con discapacidad o movilidad reducida, con espacio de maniobra, barras de apoyo y acceso seguro, de acuerdo con la normatividad aplicable.Garantizar rutas accesibles desde el ingreso hasta las principales áreas utilizadas durante la actividad, incluyendo zonas verdes, alimentación, baños y espacios de actividades, mediante rampas, pasamanos, superficies firmes y demás elementos requeridos. Espacio cubierto, limpio, ventilado y acondicionado para la distribución y consumo de alimentos, con mobiliario suficiente para atender de manera organizada a los beneficiarios. Espacio identificado, accesible y acondicionado para atención primaria, valoración y estabilización inicial de los beneficiarios que lo requieran. Señalización visible y de fácil comprensión para identificar baños, zonas de alimentación, primeros auxilios, personal de seguridad, rutas de evacuación, ingreso, salida, puntos de encuentro, piscina y demás áreas de interés. Carpas, cubiertas, sombrillas o elementos equivalentes para garantizar zonas de protección frente al sol o lluvia, especialmente en áreas de espera, descanso y alimentación, según las condiciones del establecimiento y necesidades de la jornada.  Puntos de suministro de agua potable ubicados estratégicamente para facilitar la hidratación permanente de los beneficiarios, incluyendo vasos y elementos necesarios para su funcionamiento. Canecas con bolsas para separación y disposición adecuada de residuos ordinarios y aprovechables, ubicadas en las zonas de mayor circulación y actividad. Sistema de amplificación adecuado para cubrir las áreas destinadas a las actividades, con consola, parlantes, micrófonos inalámbricos, cableado, operador y demás elementos requeridos para animación, instrucciones y actividades grupales. Planta eléctrica de respaldo, con capacidad suficiente para soportar los equipos eléctricos requeridos durante la jornada, incluyendo transporte, parqueadero, instalación, operación y desmontaje, cuando el establecimiento no garantice capacidad eléctrica suficiente.</t>
  </si>
  <si>
    <t xml:space="preserve">SINTRAEXITO </t>
  </si>
  <si>
    <t xml:space="preserve">EL ARCA AGROPARQUE </t>
  </si>
  <si>
    <t>LA PUERTA DEL SOL</t>
  </si>
  <si>
    <t>Refrigerio AM</t>
  </si>
  <si>
    <t>PRODUCTO SOLIDO PRINCIPAL: 1 Pastel de pollo o un pastel gloriaBEBIDA TIPO: 1 Jugo o avena en cajaUNA FRUTA DE TEMPORADA TIPO: 1, Fruta (manzana, pera, durazno, banano, mandarina, o ciruela)COMPLEMENTO: 1 Dulce de chocolate.Nota: No bebidas azucaradas o procesados.el refrigerio debe estar en empaque individual en bandeja elaborada en cartón 100 % reciclable y biodegradable, debe ser balanceado y responder a la normatividad vigente en lo que corresponde a las características organolépticas de conservación. Este debe incluir la transporte y entrega en el sitio de las reuniones</t>
  </si>
  <si>
    <t>Unidad</t>
  </si>
  <si>
    <t>Jornadas</t>
  </si>
  <si>
    <t>MANUFACTURAS ALIMENTICIAS</t>
  </si>
  <si>
    <t>YARA ALIMENTOS</t>
  </si>
  <si>
    <t>Betty Campos Morales</t>
  </si>
  <si>
    <t>GORRO DE PISCINA</t>
  </si>
  <si>
    <t>Talla única elaborado en silicona, látex o lycra, con laogo de la alcaldía a una tinta indeleble.</t>
  </si>
  <si>
    <t xml:space="preserve">TIENDA FIVEFIT </t>
  </si>
  <si>
    <t>DEPORTES REGOL</t>
  </si>
  <si>
    <t>Almuerzo</t>
  </si>
  <si>
    <t>Proteína 120–150 g cocidosCarbohidrato 100–120 g cocidosVerdura 80–100 gBebida jugo 200 mlPostre 60–80 gDeberá incluir cuchara, cuchillo, tenedores, así como empaque todos de cartón ecológico, y un mínimo 2 servilletas. El empaque del almuerzo debe tener mínimo tres divisiones, Biodegradable. (lo anterior en un empaque que cumpla los lineamientos de la política ambiental del distrito capital con respecto a los plásticos y empaques de un solo uso.) Deben entregarse empacados individual y herméticamente, garantizando productos frescos y preparación del mismo día , incluye transporte de entrega</t>
  </si>
  <si>
    <t>Refrigerio PM</t>
  </si>
  <si>
    <t>Refrigerio individual empacado, compuesto por una porción de alimento sólido y una bebida de mínimo 250 ml. Deberá ser adecuado para población mayor, fresco, higiénicamente preparado y transportado. Incluye servilleta y empaque individual.</t>
  </si>
  <si>
    <t>Toalla</t>
  </si>
  <si>
    <t>Medidas: mínimo 30 cm x 70 cm y máximo 40 cm x 90 cm. Material: microfibra de composición mínima de 80% poliéster y 20% poliamida, o composición equivalente que garantice alta absorción y secado rápido. Gramaje: mínimo 200 g/m². Características: tejido suave al tacto, liviano, absorbente, de secado rápido, resistente al lavado y con costuras reforzadas en los bordes para evitar el deshilachado. Color: se deberá seleccionar dentro de la paleta de colores institucional definida por el Fondo de Desarrollo Local de Engativá, previa aprobación del área de Prensa/Comunicaciones. Personalización: estampado o bordado con los logos institucionales y/o nombre de la jornada, de acuerdo con el manual de identidad visual y las especificaciones aprobadas por el área de Prensa/Comunicaciones. Presentación: deberá entregarse doblada y empacada individualmente, preferiblemente con banda, cinta o empaque que facilite su inclusión dentro del kit.</t>
  </si>
  <si>
    <t>JORNADAS</t>
  </si>
  <si>
    <t>CYCLEWEAR</t>
  </si>
  <si>
    <t>OLIMPICA</t>
  </si>
  <si>
    <t>SPORTFITNESS</t>
  </si>
  <si>
    <t>Termo o botella reutilizable</t>
  </si>
  <si>
    <t>Capacidad mínima de 500 ml, material resistente, liviano, reutilizable y apto para contener bebidas. Deberá contar con tapa de cierre seguro y ser de fácil manipulación.</t>
  </si>
  <si>
    <t xml:space="preserve">SINERGY ON </t>
  </si>
  <si>
    <t>DOTACO</t>
  </si>
  <si>
    <t>TUMERCH</t>
  </si>
  <si>
    <t>Gorra deportiva institucional</t>
  </si>
  <si>
    <t xml:space="preserve">Tipo: gorra deportiva de cinco (5) o seis (6) paneles, con visera curva y sistema de ajuste posterior. Material: mínimo 100% poliéster de tejido liviano y transpirable, o material técnico equivalente. Gramaje: entre 100 y 150 g/m². Características: tela de secado rápido, resistente al uso exterior, con ventilación lateral o paneles transpirables y visera estructurada que proporcione protección frente a la exposición solar. Sistema de ajuste: correa posterior ajustable, preferiblemente con hebilla, velcro o sistema equivalente, que permita adaptación a diferentes tamaños de cabeza. Talla: talla única ajustable para adulto. Color: definido conforme a la paleta de colores institucionales del Fondo de Desarrollo Local de Engativá, previa aprobación del área de Prensa/Comunicaciones. Personalización: aplicación del logo institucional en la parte frontal y, cuando corresponda, nombre de la jornada o elemento gráfico complementario en uno de los laterales, conforme al manual de identidad visual. Técnica: bordado, estampado, transfer o técnica equivalente de alta durabilidad, según las características del material. </t>
  </si>
  <si>
    <t>Camiseta tipo polo institucional</t>
  </si>
  <si>
    <t>Tipo: camiseta tipo polo de manga corta, cuello tejido y pechera con mínimo dos botones. Material: tela tipo piqué, composición mínima 60% algodón y 40% poliéster, o composición equivalente que garantice comodidad, transpirabilidad, resistencia y facilidad de lavado. Gramaje: entre 180 y 220 g/m². Confección: costuras reforzadas, cuello y puños tejidos, terminaciones de calidad y corte que permita libertad de movimiento. Tallas: deberá suministrarse en tallas S, M, L, XL, XXL y XXXL, realizando previamente la respectiva toma o consolidación de tallas de los participantes. Color: definido de acuerdo con la paleta institucional aprobada por el Fondo de Desarrollo Local de Engativá, pudiendo contemplarse un color base institucional y detalles complementarios en colores de la identidad visual. Personalización frontal: aplicación del logo institucional correspondiente en el lado izquierdo del pecho, de acuerdo con el manual de identidad visual. Personalización posterior: incorporará el nombre de la jornada “Engativá Dorada – Engativá Activa 2026”, mensaje institucional o demás elementos definidos y aprobados por el área de Prensa/Comunicaciones. Técnica de personalización: estampado, bordado, transfer o técnica equivalente de alta durabilidad, definida de acuerdo con el tipo de tela y previa aprobación del área de Prensa/Comunicaciones.</t>
  </si>
  <si>
    <t>MACRODEPORTES</t>
  </si>
  <si>
    <t>ESTRATEGIAS Y SOLUCIONES INTEGRALES B2</t>
  </si>
  <si>
    <t>CAP</t>
  </si>
  <si>
    <t>Cartilla de bienestar y autocuidado</t>
  </si>
  <si>
    <t xml:space="preserve">Cartilla media carta en material impreso con recomendaciones sobre actividad física, hidratación, alimentación saludable, prevención de caídas, autocuidado, hábitos saludables y bienestar de las personas adultas mayores. Con separadores de sopas de letras sobre las temáticas de la cartilla. </t>
  </si>
  <si>
    <t>CREATIVOS SA</t>
  </si>
  <si>
    <t>GRAFICO SANTAMARIA</t>
  </si>
  <si>
    <t xml:space="preserve">OPR DIGITAL SAS </t>
  </si>
  <si>
    <t>TULA DEPORTIVA ECOLÓGICA</t>
  </si>
  <si>
    <t>Tula ecológica tipo mochila elaborada en lona cruda o drill 100% algodón, con dimensiones aproximadas de 42 cm de alto por 34 cm de ancho, capacidad de 8 a 10 litros y cordones de algodón o nylon reforzado para cierre doble. El diseño incluye un estampado frontal mediante serigrafía o sublimación (según el tipo de tela), en un área de impresión de aproximadamente 20 x 25 cm.</t>
  </si>
  <si>
    <t>CORPORACIÓN LATINOAMERICANA</t>
  </si>
  <si>
    <t xml:space="preserve">SUDADERA </t>
  </si>
  <si>
    <t xml:space="preserve">sudaderas deportivas para los grupos de adultos mayores que participan en actividad fisica con la Alcaldia Local de Engativa </t>
  </si>
  <si>
    <t xml:space="preserve">B2 ESTRATEGIAS </t>
  </si>
  <si>
    <t>CORPORACION RECREATIVA Y CULTURAL</t>
  </si>
  <si>
    <t xml:space="preserve">FUNDACION IZAR </t>
  </si>
  <si>
    <t>Elementos de apoyo para actividades físicas</t>
  </si>
  <si>
    <t>KIT ENTREGABLE: Conos, aros, pelotas, bandas elásticas, colchonetas y demás elementos requeridos de acuerdo con el minuto a minuto aprobado por la supervisión. Deberán ser adecuados para actividades de bajo y moderado impacto con adultos mayores. Nota: El contratista deberá garantizar la disponibilidad suficiente de los elementos requeridos para atender la participación de las 2.600 personas programadas, correspondientes 580 participantes por jornada, de manera que los elementos sean suficientes, seguros y funcionales para el desarrollo simultáneo de las actividades previstas, de acuerdo con el minuto a minuto aprobado por la supervisión.</t>
  </si>
  <si>
    <t>Didacticos,dustamantedeportes,homecenter,falabella y GYM</t>
  </si>
  <si>
    <t>Deportes regol,sportfitness, altlanta deportes y equiposdegimnasia</t>
  </si>
  <si>
    <t>Didacticos royter, equiposdegimnasia, sportfitness, miyagui</t>
  </si>
  <si>
    <t>NATALIA</t>
  </si>
  <si>
    <t xml:space="preserve">Actividad 2 -  VACACIONES RECREATIVAS </t>
  </si>
  <si>
    <t xml:space="preserve">BOLSA MONTO AGOTABLE - VACACIONES RECREATIVAS  </t>
  </si>
  <si>
    <t>GLOBAL</t>
  </si>
  <si>
    <t>dia</t>
  </si>
  <si>
    <t xml:space="preserve">Actividad 3 -  CARRERA DE CANICROSS ENGATIVA  </t>
  </si>
  <si>
    <t>Coordinador general del evento</t>
  </si>
  <si>
    <t>Profesional en administración, eventos, recreación, deporte, comunicaciones o áreas afines. Mínimo 3 años de experiencia en coordinación de eventos masivos.</t>
  </si>
  <si>
    <t>Productor / coordinador logístico</t>
  </si>
  <si>
    <t>Técnico, tecnólogo o profesional con mínimo 2 años de experiencia en producción y logística de eventos.</t>
  </si>
  <si>
    <t>Director técnico de carrera</t>
  </si>
  <si>
    <t>Profesional en deporte, actividad física, recreación o áreas afines, con experiencia en organización de carreras o eventos deportivos.</t>
  </si>
  <si>
    <t>Jueces / personal de control de recorrido</t>
  </si>
  <si>
    <t>Experiencia en control de eventos deportivos, carreras, circuitos o actividades similares.</t>
  </si>
  <si>
    <t>Personal de salida, llegada y meta</t>
  </si>
  <si>
    <t>Experiencia en logística de eventos deportivos.</t>
  </si>
  <si>
    <t>Auxiliares de atención a participantes</t>
  </si>
  <si>
    <t>Experiencia en atención al público y logística de eventos.</t>
  </si>
  <si>
    <t>Auxiliares de manejo y bienestar animal</t>
  </si>
  <si>
    <t>Experiencia certificable en manejo, cuidado o atención de mascotas.</t>
  </si>
  <si>
    <t>Groomer profesional</t>
  </si>
  <si>
    <t>Experiencia mínima de 2 años en peluquería y estética canina, debe contar con su respectiva area para grooming y debera contar con piso modular antideslizante y lavable, mínimo 2 mesas de grooming de superficie impermeable y lavable, brazos de sujeción, tomas eléctricas protegidas, iluminación LED y mesas auxiliares para equipos. La disposición deberá permitir la visualización directa de la actividad por parte del público, sin cerramientos laterales.</t>
  </si>
  <si>
    <t>Presentador / maestro de ceremonias</t>
  </si>
  <si>
    <t>Experiencia en presentación de eventos y manejo de público.</t>
  </si>
  <si>
    <t>Animador / recreador</t>
  </si>
  <si>
    <t>Experiencia en activaciones, recreación y eventos familiares.</t>
  </si>
  <si>
    <t>Personaje / mascota inflable</t>
  </si>
  <si>
    <t>Persona caracterizada y capacitada para interacción segura con público y mascotas.</t>
  </si>
  <si>
    <t>Fotógrafo profesional</t>
  </si>
  <si>
    <t>Mínimo 2 años de experiencia en eventos.</t>
  </si>
  <si>
    <t>Videógrafo / creador de contenido</t>
  </si>
  <si>
    <t>Experiencia en producción audiovisual y contenido para redes sociales.</t>
  </si>
  <si>
    <t>Auxiliares de primeros auxilios / APH</t>
  </si>
  <si>
    <t>Formación certificada en primeros auxilios y/o atención prehospitalaria.</t>
  </si>
  <si>
    <t>Enfermero profesional</t>
  </si>
  <si>
    <t>Registro profesional vigente y experiencia en atención de urgencias o eventos.</t>
  </si>
  <si>
    <t>Personal de orientación y control</t>
  </si>
  <si>
    <t>Experiencia en atención al público, control de accesos y logística de eventos.</t>
  </si>
  <si>
    <t>Personal de estaciones de hidratación</t>
  </si>
  <si>
    <t>Experiencia en atención logística.</t>
  </si>
  <si>
    <t>Personal técnico y operativo</t>
  </si>
  <si>
    <t>Experiencia en montaje y desmontaje de estructuras, tarima, sonido, carpas y elementos del evento.</t>
  </si>
  <si>
    <t>Operador de sonido</t>
  </si>
  <si>
    <t>Experiencia en operación de equipos de sonido para eventos.</t>
  </si>
  <si>
    <t xml:space="preserve">RECURSOS FISICOS Y LOGISTICOS </t>
  </si>
  <si>
    <t>Tarima principal cubierta</t>
  </si>
  <si>
    <t xml:space="preserve">Alquiler de tarima de 7 x 5 metros y  1.5 metros de altura,  con faldon y carpa tipo techo o carpa de 4 x 4 metros y sonido de 3000 watios y animador por un periodo de 8 horas además de 10  carpas de 2 x 2 metros para punto de inscripciones y reporte de resultados.  (son 2 servicios uno por evento)
</t>
  </si>
  <si>
    <t>Baños portátiles</t>
  </si>
  <si>
    <t xml:space="preserve">Unidades sanitarias portátiles ubicadas en salida/meta y puntos estratégicos, con servicio de mantenimiento durante la jornada.TRANSPORTE IDA Y REGRESO </t>
  </si>
  <si>
    <t xml:space="preserve">unidad </t>
  </si>
  <si>
    <t>BAMOCOL</t>
  </si>
  <si>
    <t>CONSTRUCCION &amp; INGENIERIA</t>
  </si>
  <si>
    <t>BAÑOMOVIL</t>
  </si>
  <si>
    <t>Ambulancia habilitada de acuerdo con la normativa sanitaria vigente, con dotación (talento humano, conductor )completa para atención y traslado de pacientes, camilla, equipos de soporte vital, oxígeno medicinal, elementos de inmovilización, monitorización y demás dotación exigida para el tipo de ambulancia. Deberá permanecer disponible de manera exclusiva durante toda la jornada.</t>
  </si>
  <si>
    <t>Podio de premiación – 1.er  - 2.º - 3.er lugar</t>
  </si>
  <si>
    <t>Alquiler de Un (1) podium de tres escalones (1er, 2do, y 3er lugar) de manera que cada escalón mida por lo menos 95 cm. De ancho y 48 cm. de profundidad. Para el evento</t>
  </si>
  <si>
    <t>MAGIC ALQUILA</t>
  </si>
  <si>
    <t>Sistema de sonido profesional</t>
  </si>
  <si>
    <t>Alquiler de un Sistema de sonido 5.000 vatios de potencia con medios altos line Array, bajos, monitores tarima, rack procesos, mínimo 16 micrófonos con sus respectivas bases, kit de baterías y/o cajas directas, computador portátil con unidad de C.D y/o DVD, consola digital de mínimo de 12 a 24 canales, dos micrófonos inalámbricos. trípodes para cabinas y 1 técnico de sonido, cables y conexiones. Incluye transporte, montaje y operario y desmontaje. Las características del sistema de sonido serán ajustadas por el comité de acuerdo con la necesidad y en aras de mejorar la calidad del requerimiento.</t>
  </si>
  <si>
    <t>NEMESIS</t>
  </si>
  <si>
    <t>Carpas de atención y activación</t>
  </si>
  <si>
    <t>Carpas tipo pabellón de mínimo 2,00 x 2,00 m, estructura en aluminio, cubierta en lona PVC impermeable, color blanco, altura mínima de 2,50 m y sistema de anclaje mediante contrapesos.</t>
  </si>
  <si>
    <t>Sillas para público</t>
  </si>
  <si>
    <t>Sillas individuales en polipropileno de alta resistencia, color blanco, estructura reforzada, capacidad mínima de 120 kg, superficie lavable y respaldo ergonómico. Cantidad calculada dentro de un evento con aforo máximo estimado de 1.000 personas, destinadas a zonas de descanso, espectadores y atención.</t>
  </si>
  <si>
    <t xml:space="preserve">Mym </t>
  </si>
  <si>
    <t>Alvaro Catañeda</t>
  </si>
  <si>
    <t xml:space="preserve">Sonido y tarimas </t>
  </si>
  <si>
    <t>Zona de hidratación</t>
  </si>
  <si>
    <t>10 garrafones de agua de 20litros con dispensador</t>
  </si>
  <si>
    <t xml:space="preserve">Corporacion latino americana </t>
  </si>
  <si>
    <t xml:space="preserve"> ALIANZA PUBLICA PARA EL DESARROLLO INTEGRAL - ALDESARROLLO </t>
  </si>
  <si>
    <t xml:space="preserve"> AMERICANA CORP SAS </t>
  </si>
  <si>
    <t>Paquete vasos por 200, de 12 onzas, de cartón.</t>
  </si>
  <si>
    <t>viejoverde</t>
  </si>
  <si>
    <t>Zona de hidratación para mascotas</t>
  </si>
  <si>
    <t>Estación de mínimo 2,00 x 2,00 m, con mínimo 4 bebederos individuales en acero inoxidable o polipropileno grado alimentario, suministro permanente de agua potable, recipiente de reserva de mínimo 20 litros, dispensador de bolsas y señalización diferenciada.</t>
  </si>
  <si>
    <t xml:space="preserve">Corporacion latino americana - Homencerter </t>
  </si>
  <si>
    <t xml:space="preserve"> ALIANZA PUBLICA PARA EL DESARROLLO INTEGRAL - ALDESARROLLO- enfantasy </t>
  </si>
  <si>
    <t xml:space="preserve"> AMERICANA CORP SAS- falabella </t>
  </si>
  <si>
    <t>PREMIACIÓN Y RECONOMIENTOS</t>
  </si>
  <si>
    <t>Medalla conmemorativa de participación</t>
  </si>
  <si>
    <t>Medalla metálica de diseño exclusivo para la jornada, con diámetro mínimo de 5 cm de diámetro, en alto relieve, fotograbadas con logos en ambas caras y cinta al cuello de 85 cms x 2 cms de ancho, con colores insitucionales, terminación en baños de oro, plata, y broce, para primer, segundo y tercer puesto. Deberá incorporar los elementos de identidad institucional previamente aprobados por el Fondo de Desarrollo Local de Engativá. Se entregará a cada binomio que complete el circuito.</t>
  </si>
  <si>
    <t>FUNDACIÓN GESTIÓN SOCIAL CON PROPÓSITO</t>
  </si>
  <si>
    <t>COLDECROM 2025</t>
  </si>
  <si>
    <t>ONEIDA 2025</t>
  </si>
  <si>
    <t>CAMISETA DEPORTIVA</t>
  </si>
  <si>
    <t>Camiseta de Cuello Redondo en Algodón con tres (3) estampa- dos,1 a full color y dos (2) a una tinta. Diseño previamente revi- sado y aprobado por la oficina de prensa y el comité operativo del proyecto. Las tallas serán informadas por el operador una vez focalizados por grupos en el proceso de lnscripción</t>
  </si>
  <si>
    <t>UNidad</t>
  </si>
  <si>
    <t>B2 ESTRATEGIAS Y SOLUCIONES INTEGRALES 2025</t>
  </si>
  <si>
    <t>CORPORACIÓN RECREATIVA CULTURAL 2025</t>
  </si>
  <si>
    <t>Arnés tipo chaleco de seguridad para mascota</t>
  </si>
  <si>
    <t>Arnés tipo chaleco, antitirones y de distribución uniforme de la presión, diseñado para evitar la concentración de fuerza sobre el cuello. Fabricado en material resistente, liviano, acolchado y transpirable, con costuras reforzadas, sistema de ajuste regulable y puntos de sujeción seguros. Deberá suministrarse en tallas adecuadas a las características de las mascotas participantes, previa consolidación de tallas. Incluye correa de paseo compatible, de longitud mínima sugerida de 1,20 m y material resistente.</t>
  </si>
  <si>
    <t>EXITO</t>
  </si>
  <si>
    <t xml:space="preserve">FALABELLA </t>
  </si>
  <si>
    <t>PETOPET</t>
  </si>
  <si>
    <t>Plato portátil para mascota</t>
  </si>
  <si>
    <t>Plato plegable o portátil, fabricado en silicona de grado apto para uso alimentario, libre de BPA, resistente, liviano y de fácil limpieza. Capacidad mínima sugerida de 500 ml. Deberá permitir su almacenamiento y transporte durante la jornada.</t>
  </si>
  <si>
    <t>petspa</t>
  </si>
  <si>
    <t>tiendacoomeva</t>
  </si>
  <si>
    <t>Bono de baño y cuidado básico en Pet Spa</t>
  </si>
  <si>
    <t>Bono individual para un (1) servicio de baño básico para mascota, redimible en un establecimiento de servicios de estética y cuidado para mascotas ubicado en la localidad de Engativá, previamente validado y aprobado por la entidad. El bono deberá indicar claramente condiciones de uso, vigencia, servicio incluido, mecanismo de redención y restricciones aplicables. No deberá implicar cobros adicionales al beneficiario por el servicio básico objeto del bono. MONTO AGOTABLE</t>
  </si>
  <si>
    <t>Placa de identificación para mascota</t>
  </si>
  <si>
    <t>Placa de identificación personalizada, elaborada en aluminio anodizado, acero inoxidable o material equivalente, resistente al agua y al uso cotidiano. Deberá permitir la grabación de, como mínimo, nombre de la mascota y número de contacto del responsable. La personalización se realizará con la información suministrada por el participante y deberá contar con un sistema seguro de fijación al arnés o collar.</t>
  </si>
  <si>
    <t>animalstoremascotas</t>
  </si>
  <si>
    <t>morapersonalizados</t>
  </si>
  <si>
    <t>Fotografía conmemorativa del binomio</t>
  </si>
  <si>
    <t>Fotografía profesional del binomio participante (persona–mascota), tomada durante el evento. Deberá entregarse en tamaño postal mínimo de 10 x 15 cm, con impresión a color en papel fotográfico de calidad. Incorporará diseño gráfico alusivo al evento y los elementos de identidad institucional previamente aprobados por el Fondo de Desarrollo Local de Engativá. Se deberá contar previamente con la autorización correspondiente para el uso de imagen del participante.</t>
  </si>
  <si>
    <t>OPR DIGITAL SAS</t>
  </si>
  <si>
    <t>CREATE IMAGEN</t>
  </si>
  <si>
    <t>FOTO MILENIO</t>
  </si>
  <si>
    <t>Empaque del kit</t>
  </si>
  <si>
    <t>Empaque individual que permita organizar, proteger y transportar los elementos del kit, con diseño alusivo a la jornada y aplicación de los elementos de identidad institucional previamente aprobados por el área de Prensa/Comunicaciones del Fondo de Desarrollo Local de Engativá. (Bolsas Totebags Ecológicas En Tela Lona Cruda 40 X 40)</t>
  </si>
  <si>
    <t xml:space="preserve">DIGITAL SAS </t>
  </si>
  <si>
    <t xml:space="preserve">BOLSECOL </t>
  </si>
  <si>
    <t xml:space="preserve">CLOVER BLACK </t>
  </si>
  <si>
    <t xml:space="preserve"> ACTIVIDAD 4. REALIZAR LA CARRERA PLOGGING ENGATIVA </t>
  </si>
  <si>
    <t>RECURSOS FISICOS Y LOGISTICOS</t>
  </si>
  <si>
    <t>REFRIGERIOS</t>
  </si>
  <si>
    <t xml:space="preserve">Pastel de pollo o sándwich o si- milar, una bebida que puede ser jugo en caja o botella </t>
  </si>
  <si>
    <t xml:space="preserve">YARA ALIMENTOS </t>
  </si>
  <si>
    <t xml:space="preserve">Medallas </t>
  </si>
  <si>
    <t>Medallas: de 5 cm de diámetro, en alto relieve, fotograbadas con logos en ambas caras y cinta al cuello de 85 cms x 2 cms de ancho, con colores insitucionales, terminación en baños de oro, plata, y broce, para primer, segundo y tercer puesto. Con legos institucionales.</t>
  </si>
  <si>
    <t>Camiseta deportiva, elaborada en tela montesimone 100% poliéster en tejido de punto, sublimada o en transfer, para hombre y/o mujer en tallas variadas (de acuerdo a número de inscritos) cuello redondo con diseño, estampado y color aprobado por oficina de prensa de El Fondo de Desarrollo Local</t>
  </si>
  <si>
    <t>DECATHLON</t>
  </si>
  <si>
    <t>Ambulancia habilitada de acuerdo con la normativa sanitaria vigente, con dotación (talento humano, conductor ) completa para atención y traslado de pacientes, camilla, equipos de soporte vital, oxígeno medicinal, elementos de inmovilización, monitorización y demás dotación exigida para el tipo de ambulancia. Deberá permanecer disponible de manera exclusiva durante toda la jornada.</t>
  </si>
  <si>
    <t>GUANTE DE CARNAZA</t>
  </si>
  <si>
    <t>Cuero Carnaza, Reforzado Palma Verde, Alta Temperatura, Abrasion Y Corte, costuras
con hilo de algodón calibre 30</t>
  </si>
  <si>
    <t xml:space="preserve">FERRETERIA SUPREMA </t>
  </si>
  <si>
    <t>GUANTE DE NITRILO</t>
  </si>
  <si>
    <t>Guantes De Nitrilo Caja 100 Unidades Premium Triple Clean</t>
  </si>
  <si>
    <t>LONAS</t>
  </si>
  <si>
    <t>CAJAS DE Lonas en fibra azucarera nuevas de 25 kilos paquete x 50 unidades totalmente blancas,
alto 80 cms, ancho 50 cms</t>
  </si>
  <si>
    <t>paquetes</t>
  </si>
  <si>
    <t xml:space="preserve">ECORECICLAJE </t>
  </si>
  <si>
    <t xml:space="preserve">GABYVENTAS </t>
  </si>
  <si>
    <t xml:space="preserve">PLASTIENDAS </t>
  </si>
  <si>
    <t>BOTILITO PARA AGUA</t>
  </si>
  <si>
    <t>Altura 25cm, Base 6cm de ancho x 7cm de largo, Capacidad: 1000 mi, Esta botella es ecológica, práctica, elegante y muy moderna; cuenta con un sistema de cierre hermético a prueba de fugas y posee una pestaña abre fácil que permite tomar la cantidad de líquido deseada.</t>
  </si>
  <si>
    <t>FALABELLA</t>
  </si>
  <si>
    <t>TOTTO</t>
  </si>
  <si>
    <t>PLANTA ELECTRICA</t>
  </si>
  <si>
    <t>Alquiler de Planta Eléctrica de 75 KVA que garantice el funcionamiento de los equipos sin necesidad de conectarse a la red pública incluye transporte, montaje, operación y desmontaje. Con cubrecables (yellow jacket) para toda la distancia del cableado. Debe tener capacidad para soportar el sonido, la iluminación del escenario, y todos los puntos de corriente del evento.</t>
  </si>
  <si>
    <t>SIMEM</t>
  </si>
  <si>
    <t>SUSEQUID</t>
  </si>
  <si>
    <t xml:space="preserve">PREMIACION
1ER PUESTO - ITEM NO OFERTABLE </t>
  </si>
  <si>
    <t>Bonos de compra según distribución del anexo técnico para almacenes de cadena y/o grandes superficies.
Para el costeo de este componente, el proponente deberá tener en cuenta la carga tributaria que acarrea la compra de estos bonos y entregar al ciudadano la suma establecida en el anexo
técnico.</t>
  </si>
  <si>
    <t>NO OFERTABLE</t>
  </si>
  <si>
    <t>RECURSO HUMANO</t>
  </si>
  <si>
    <t>Planeación, coordinación general, articulación del equipo, seguimiento al cronograma y toma de decisiones durante la jornada.</t>
  </si>
  <si>
    <t>Coordinador logístico</t>
  </si>
  <si>
    <t>Coordinar montaje, distribución de elementos, puntos de atención, salida, llegada, hidratación y desmontaje.</t>
  </si>
  <si>
    <t>Coordinador deportivo / de recorrido</t>
  </si>
  <si>
    <t>Supervisar el desarrollo de la carrera, recorrido, puntos de control, salida y llegada.</t>
  </si>
  <si>
    <t>Monitores / auxiliares de recorrido</t>
  </si>
  <si>
    <t>Orientar a los participantes, apoyar el control del recorrido, señalización, puntos de recolección y atención de novedades.</t>
  </si>
  <si>
    <t>Auxiliares de registro y acreditación</t>
  </si>
  <si>
    <t>Verificación de participantes, entrega de kits, control de asistencia y orientación inicial.</t>
  </si>
  <si>
    <t>Personal de apoyo para entrega de hidratación y refrigerios</t>
  </si>
  <si>
    <t>Organización y entrega de hidratación y alimentación durante la jornada.</t>
  </si>
  <si>
    <t>Primeros auxilios / personal de atención prehospitalaria</t>
  </si>
  <si>
    <t>Atención inicial de lesiones y emergencias menores y activación de protocolos de atención.</t>
  </si>
  <si>
    <t>Valoración y atención médica durante la jornada y coordinación de la respuesta ante emergencias.</t>
  </si>
  <si>
    <t>Auxiliar de enfermería / APH de ambulancia</t>
  </si>
  <si>
    <t>Apoyo asistencial dentro de la ambulancia y durante traslados, cuando se requiera.</t>
  </si>
  <si>
    <t>Jueces / personal técnico</t>
  </si>
  <si>
    <t>Apoyo en el control de salida, llegada, cumplimiento de condiciones de participación y validación de resultados, cuando aplique.</t>
  </si>
  <si>
    <t>Fotógrafo / apoyo audiovisual</t>
  </si>
  <si>
    <t>Registro fotográfico y audiovisual de la actividad, participantes, recorrido y resultados.</t>
  </si>
  <si>
    <t>Apoyo de producción / sonido</t>
  </si>
  <si>
    <t>Manejo básico de sonido, micrófonos, llamados, música y apoyo a la producción de la jornada.</t>
  </si>
  <si>
    <t>Personal de montaje y desmontaje</t>
  </si>
  <si>
    <t>Instalación y retiro de elementos logísticos, vallas, señalización, mesas, puntos de hidratación y demás infraestructura.</t>
  </si>
  <si>
    <t>ACTIVIDAD N° 5. CARRERA CICLISTICA ENGATIVA</t>
  </si>
  <si>
    <t>TALENTO HUMANO REQUERIDO</t>
  </si>
  <si>
    <t>Dirección integral, articulación con entidad, supervisión de proveedores y toma de decisiones.</t>
  </si>
  <si>
    <t>Coordinar montaje, operación del circuito, puntos de atención y desmontaje.</t>
  </si>
  <si>
    <t>Coordinador de ruta/circuito</t>
  </si>
  <si>
    <t>Supervisar recorrido, señalización, cierres y puntos críticos.</t>
  </si>
  <si>
    <t>Personal logístico</t>
  </si>
  <si>
    <t>Registro, orientación, hidratación, control de zonas, apoyo en salida/meta y atención general.</t>
  </si>
  <si>
    <t>Auxiliares de control del circuito</t>
  </si>
  <si>
    <t>Ubicación estratégica en cruces, puntos críticos y orientación de participantes.</t>
  </si>
  <si>
    <t>Personal de registro</t>
  </si>
  <si>
    <t>Verificación de participantes, entrega de identificación y control de salida.</t>
  </si>
  <si>
    <t>Personal de mecánica rápida</t>
  </si>
  <si>
    <t>Atención de pinchazos y contingencias mecánicas menores durante la jornada.</t>
  </si>
  <si>
    <t>Personal de hidratación</t>
  </si>
  <si>
    <t>Operación de los tres puntos de hidratación.</t>
  </si>
  <si>
    <t>Personal de primeros auxilios</t>
  </si>
  <si>
    <t>Atención inicial y apoyo al equipo médico.</t>
  </si>
  <si>
    <t>Valoración y atención médica durante la actividad.</t>
  </si>
  <si>
    <t>Operación técnica del sistema de sonido y micrófonos.</t>
  </si>
  <si>
    <t>Animador/presentador</t>
  </si>
  <si>
    <t>Conducción, llamados, instrucciones, ambientación y premiación.</t>
  </si>
  <si>
    <t>Podio de premiación</t>
  </si>
  <si>
    <t>Podio modular de tres niveles, estructura en MDF de mínimo 18 mm o estructura metálica, acabado en pintura blanca/color institucional, superficie antideslizante, con identificación frontal de 1.º, 2.º y 3.º lugar. Ancho mínimo de 2,40 m, fondo 0,60 m y alturas aproximadas de 40, 30 y 20 cm.</t>
  </si>
  <si>
    <t>Medallas de premiación</t>
  </si>
  <si>
    <t>Medalla metálica personalizada de mínimo 60 mm de diámetro, acabado metálico, cinta sublimada de mínimo 25 mm de ancho y diseño institucional. Destinadas a los participantes que ocupen los primeros lugares de las categorías definidas.</t>
  </si>
  <si>
    <t>Inflador profesional para bicicleta</t>
  </si>
  <si>
    <t xml:space="preserve">Inflador/bomba de piso profesional, cuerpo en acero o aluminio, base estable, manómetro integrado con lectura mínima hasta 160 PSI, cabezal compatible con válvulas Presta y Schrader y manguera flexible. Para atención de contingencias mecánicas de los </t>
  </si>
  <si>
    <t xml:space="preserve">POSEIDON </t>
  </si>
  <si>
    <t>TUL</t>
  </si>
  <si>
    <t>HOMESENTRY</t>
  </si>
  <si>
    <t>Tarima de premiación</t>
  </si>
  <si>
    <t>Tarima modular de mínimo 4,00 x 4,00 m, altura aproximada de 0,80-1,00 m, superficie antideslizante, escalera y faldón frontal.</t>
  </si>
  <si>
    <t xml:space="preserve">NEMESIS </t>
  </si>
  <si>
    <t xml:space="preserve">D&amp;R PRODUCCIONES </t>
  </si>
  <si>
    <t>Sistema de sonido</t>
  </si>
  <si>
    <t>Carpas operativas</t>
  </si>
  <si>
    <t>Carpas de 2,00 x 2,00 m, estructura metálica/aluminio, lona PVC impermeable, color blanco, con anclaje y contrapesos. Para registro, hidratación, atención médica y coordinación.</t>
  </si>
  <si>
    <t>Mesas plegables</t>
  </si>
  <si>
    <t>Alquiler de mesas plásticas de 100 *100 cm. Incluye transporte, instalación y desmonte.</t>
  </si>
  <si>
    <t>ALVARO CASTAÑEDA</t>
  </si>
  <si>
    <t>EVENTOS BOGOTA</t>
  </si>
  <si>
    <t xml:space="preserve">DYR </t>
  </si>
  <si>
    <t>Sillas</t>
  </si>
  <si>
    <t>Sillas de polipropileno de alta resistencia, color blanco, capacidad mínima 120 kg.</t>
  </si>
  <si>
    <t xml:space="preserve"> ARCO INFLABLE </t>
  </si>
  <si>
    <t xml:space="preserve"> Arco infable para evento deportivos en forma de luna con medidas de 4x8 metros con impresión digital 100% estampado logos institucionales, con los enunciados salida y meta en sus respectivas caras. </t>
  </si>
  <si>
    <t>INFLABLESDE COLOMBIA</t>
  </si>
  <si>
    <t>INFLABES DA SILVA</t>
  </si>
  <si>
    <t>MUNDO SALTARIN</t>
  </si>
  <si>
    <t>Señalización del circuito</t>
  </si>
  <si>
    <t>Flechas, señales de dirección, identificación de kilómetros y advertencias, impresas en PVC o polipropileno resistente a intemperie.</t>
  </si>
  <si>
    <t>CORPORACION LATINO AMERICANA</t>
  </si>
  <si>
    <t>Conos de seguridad vial</t>
  </si>
  <si>
    <t>Conos PVC color naranja, altura mínima 70 cm, con bandas reflectivas.</t>
  </si>
  <si>
    <t>.homecenter</t>
  </si>
  <si>
    <t>FERRETERIA AL DIA</t>
  </si>
  <si>
    <t>Vallas de cerramiento</t>
  </si>
  <si>
    <t>Vallas metálicas de mínimo 2,00 x 1,00 m para salida, llegada y puntos críticos.</t>
  </si>
  <si>
    <t xml:space="preserve">BL EFECTOS Y PRODUCCIÓN DE EVENTOS SAS </t>
  </si>
  <si>
    <t>THUNDER LIGHT S A S</t>
  </si>
  <si>
    <t>Cinta de demarcación</t>
  </si>
  <si>
    <t>Cinta de alta visibilidad para delimitación de zonas de circulación y áreas restringidas. 500 mts</t>
  </si>
  <si>
    <t xml:space="preserve"> HOMECENTER </t>
  </si>
  <si>
    <t xml:space="preserve"> FALLABELA </t>
  </si>
  <si>
    <t>UNIVERSAL DE TORNILLOS</t>
  </si>
  <si>
    <t xml:space="preserve">Botellas de agua potable </t>
  </si>
  <si>
    <t>Punto de mecánica rápida</t>
  </si>
  <si>
    <t>Mesa de apoyo para asistencia básica a bicicletas, con infladores, herramientas manuales, desmontables, parches y elementos menores.</t>
  </si>
  <si>
    <t>HOMECENTER</t>
  </si>
  <si>
    <t>EXITO.COM</t>
  </si>
  <si>
    <t>PUNTOS COLOMBIA</t>
  </si>
  <si>
    <t>Punto MEC instalado en una carpa de 4x4 mínimo dieciséis {16) metros cuadrados de área Las áreas o carpas utilizadas para estos módulos deben estar señalizados e identificados con aviso de 80cm * 100cm que indique "M.E.C-Módulo de Estabilización y Clasificación de He­ ridos". -(3) Recipientes plásticos y rígidos {tipo canecas) con bolsas para el desecho de residuos peligrosos, no peligrosos y residuos corto punzantes -Mínimo dos (2) auxiliares de enfermería que deben estar con Uniforme, Equipo de Actuación y Protección básico, deben ajustarse al Plan de Acción de Atención Médica y Primeros Auxilios. -(1) Botiquín de primeros auxilios tipo acuerdo a lo establecido en la re­ solución 705 de 2007.</t>
  </si>
  <si>
    <t>Extensiones y cubrecables</t>
  </si>
  <si>
    <t>Cableado de uso industrial, mínimo calibre 12 AWG, con puesta a tierra y protección para zonas de tránsito.</t>
  </si>
  <si>
    <t>EASY</t>
  </si>
  <si>
    <t>Punto de registro/información</t>
  </si>
  <si>
    <t>Mesa, sillas, carpa, señalización y material informativo.</t>
  </si>
  <si>
    <t>PRODUCCIONES D&amp;R</t>
  </si>
  <si>
    <t>CARPAS PARISS</t>
  </si>
  <si>
    <t>Canecas/puntos ecológicos</t>
  </si>
  <si>
    <t>Recipientes diferenciados de 50-60 litros, rotulados y distribuidos en zonas de concentración.</t>
  </si>
  <si>
    <t>colplast</t>
  </si>
  <si>
    <t>soluenvases</t>
  </si>
  <si>
    <t>aproenvases</t>
  </si>
  <si>
    <t>Pendones institucionales</t>
  </si>
  <si>
    <t xml:space="preserve">Pendones con identidad gráfica institucional y del evento, para ubicación en tarima, registro y zonas de atención. Tipo araña </t>
  </si>
  <si>
    <t xml:space="preserve">C2 PORTA PENDONES BOGOTA </t>
  </si>
  <si>
    <t xml:space="preserve">IMPRESIONES PUBLICITARIAS </t>
  </si>
  <si>
    <t>AYALA PUBLICIDAD</t>
  </si>
  <si>
    <t>Backing de premiación</t>
  </si>
  <si>
    <t>Estructura de mínimo 2,40 x 2,40 m, lona o tela sublimada con identidad del evento.</t>
  </si>
  <si>
    <t>PUBLICIDAD Y SUMINISTROS</t>
  </si>
  <si>
    <t>PORTAPENDONES</t>
  </si>
  <si>
    <t>Numeración de participantes</t>
  </si>
  <si>
    <t xml:space="preserve">Número individual resistente al agua, mínimo 20 x 15 cm, numeración consecutiva. </t>
  </si>
  <si>
    <t>DORSAL MAKER</t>
  </si>
  <si>
    <t xml:space="preserve">REBELARTE COMUNICACION VISUAL </t>
  </si>
  <si>
    <t xml:space="preserve">BONOS GANADORES ITEM NO OFERTABLE </t>
  </si>
  <si>
    <t>No	CATEGORIA	GENERO	1°	2°	3°
1	INFANTIL	MASCULINO	300.000	200.000	100.000
2	MENORES	MASCULINO	300.000	200.000	100.000
3	JUVENIL	MASCULINO	500.000	300.000	100.000
5	UNICA	MASCULINO	 800.000	500.000	300.000
6	MASTER A	MASCULINO	500.000	300.000	100.000
7	MASTER B	MASCULINO	500.000	300.000	100.000
SUB-TOTAL PREMIACION MASCULINO	 $                                                                    5.500.000 
1	INFANTIL	FEMENINO	300.000	200.000	100.000
2	MENORES	FEMENINO	300.000	200.000	100.000
3	JUVENIL	FEMENINO	500.000	300.000	100.000
4	UNICA	FEMENINO	800.000	500.000	300.000
5	MASTER A	FEMENINO	500.000	300.000	100.000
6	MASTER B	FEMENINO	500.000	300.000	100.000
SUB-TOTAL PREMIACION FEMENINO	 $                                                                    5.500.000 
TOTAL	 $                                                                   11.000.000 
EN TOTAL 36 BONOS</t>
  </si>
  <si>
    <t>Global</t>
  </si>
  <si>
    <t>Identificación de participantes</t>
  </si>
  <si>
    <t xml:space="preserve">Manilla o elemento de identificación para control de participantes y acceso a servicios de la jornada. </t>
  </si>
  <si>
    <t xml:space="preserve">ARTES YA </t>
  </si>
  <si>
    <t>RINOGRAFT</t>
  </si>
  <si>
    <t xml:space="preserve">ACTIVIDAD N° 6 CARRERA ATLETICA ENGATIVA 3K   Y TRAIL RUNING   </t>
  </si>
  <si>
    <t>Dirección integral de la jornada, coordinación institucional, supervisión de proveedores, toma de decisiones y articulación de todos los componentes.</t>
  </si>
  <si>
    <t>Coordinador deportivo</t>
  </si>
  <si>
    <t>Coordinación técnica de la carrera, recorrido, categorías, salida, llegada, cronometraje y resultados.</t>
  </si>
  <si>
    <t>Productor/logístico general</t>
  </si>
  <si>
    <t>Planeación y supervisión del montaje, operación, desmontaje y distribución de recursos.</t>
  </si>
  <si>
    <t>Coordinadores logísticos</t>
  </si>
  <si>
    <t>Supervisión de equipos de trabajo, puntos de atención, kit, hidratación, salida y llegada.</t>
  </si>
  <si>
    <t>Montaje, desmontaje, orientación de participantes, apoyo en entrega de kits, manejo de elementos y control de espacios.</t>
  </si>
  <si>
    <t>Personal de entrega de kits</t>
  </si>
  <si>
    <t>Organización, verificación y entrega de los 800 kits a los participantes, conforme al sistema de inscripción y tallaje.</t>
  </si>
  <si>
    <t>Preparación, distribución y reposición de hidratación durante el recorrido y llegada.</t>
  </si>
  <si>
    <t>Jueces/auxiliares deportivos</t>
  </si>
  <si>
    <t>Control técnico de la competencia, puntos de giro, cumplimiento del recorrido y apoyo en resultados.</t>
  </si>
  <si>
    <t>Cronometristas/técnicos</t>
  </si>
  <si>
    <t>Instalación, operación y verificación del sistema de cronometraje y consolidación de resultados.</t>
  </si>
  <si>
    <t>Animación, información al público, llamados a participantes, calentamiento y conducción de actos protocolarios.</t>
  </si>
  <si>
    <t>DJ/operador de sonido</t>
  </si>
  <si>
    <t>Operación técnica del sistema de sonido y ambientación musical.</t>
  </si>
  <si>
    <t>Fotografía y video</t>
  </si>
  <si>
    <t>Registro audiovisual de la carrera, participantes, salida, recorrido, llegada, premiación y actividades institucionales.</t>
  </si>
  <si>
    <t>Personal de servicios generales</t>
  </si>
  <si>
    <t>Limpieza, recolección y disposición de residuos antes, durante y después del evento.</t>
  </si>
  <si>
    <t>Instalación y retiro de tarima, carpas, sonido, arco, señalización, vallas y demás infraestructura.</t>
  </si>
  <si>
    <t>Refrigerios</t>
  </si>
  <si>
    <t xml:space="preserve">Medallas para CADA uno de los participantes </t>
  </si>
  <si>
    <t xml:space="preserve"> Arco infable para evento deportivos en forma de luna con medidas de 4x8 metros con impresión digital 100% estampado logos institucionales, con los enunciados salida y meta en sus respectivas caras. Cinta de meta </t>
  </si>
  <si>
    <t>Tarima para premiación y protocolo</t>
  </si>
  <si>
    <t>Tarima modular de mínimo 4 m x 3 m, con altura aproximada de 0,40 a 0,60 m, superficie antideslizante y estructura estable.</t>
  </si>
  <si>
    <t>Alquiler de Sonido profesional: consola integrada de mínimo 8 canales ,Dos Bajos activos 8 Pulgadas Beta 3 “700 w” Tres Cabinas Activas Beta 3 de 15” “500 w” (un monitor y dos de salida) Tres micrófonos Inalámbricos BETA/SHURE beta 58 Tres micrófonos alámbricos BETA/SHURE Una Extensión 50 metros.  incluye tecnico de sonido para el evento.</t>
  </si>
  <si>
    <t>TK PRODUCCIONES</t>
  </si>
  <si>
    <t>Carpas de apoyo</t>
  </si>
  <si>
    <t>Carpas de mínimo 2 m x 2 m para registro, hidratación y entrega de refrigerios.</t>
  </si>
  <si>
    <t>Alquiler de  mesas plásticas de 100 *100 cm. Incluye transporte, instalación y desmonte.</t>
  </si>
  <si>
    <t>Sillas plásticas o plegables para jurados, organización, logística y personal de apoyo.</t>
  </si>
  <si>
    <t>Conos de señalización</t>
  </si>
  <si>
    <t>Conos de alta visibilidad para demarcación y control de circulación.</t>
  </si>
  <si>
    <t>Canecas para residuos</t>
  </si>
  <si>
    <t>Recipientes con capacidad aproximada de 50 a 60 litros para disposición de residuos.</t>
  </si>
  <si>
    <t>HOME CENTRY</t>
  </si>
  <si>
    <t xml:space="preserve">HOMECENTER </t>
  </si>
  <si>
    <t>RIMAX</t>
  </si>
  <si>
    <t>BONOS CANGEABLES SEGÚN LA SIGUIENTE TABLA</t>
  </si>
  <si>
    <t>Según anexo técnico premiación</t>
  </si>
  <si>
    <t xml:space="preserve">SERVICIO </t>
  </si>
  <si>
    <t>ACTIVIDAD No. 7 REALIZAR EL EVENTO ENGATIDUNTD 2026</t>
  </si>
  <si>
    <t>ALQUILERES BOGOTA</t>
  </si>
  <si>
    <t>alvaro castañeda</t>
  </si>
  <si>
    <t>Vallas metálicas para delimitar las áreas de competencia y circulación.</t>
  </si>
  <si>
    <t>Pendones con identidad gráfica institucional y del evento, para ubicación en tarima, registro y zonas de atención.</t>
  </si>
  <si>
    <t>TECNICREAR 2025</t>
  </si>
  <si>
    <t>ASESOL</t>
  </si>
  <si>
    <t>Micrófonos inalámbricos</t>
  </si>
  <si>
    <t>Micrófonos inalámbricos para presentador y coordinación/juzgamiento.</t>
  </si>
  <si>
    <t>TECNICARPAS</t>
  </si>
  <si>
    <t xml:space="preserve">AUDIO TECHNICA </t>
  </si>
  <si>
    <t>Agua potable</t>
  </si>
  <si>
    <t>Botella individual de mínimo 600 ml, equivalente a 2 unidades por participante para el desarrollo de las jornadas.</t>
  </si>
  <si>
    <t>Medallas para primer, segundo y tercer puesto de las 18 categorías.</t>
  </si>
  <si>
    <t>Certificados de reconocimiento</t>
  </si>
  <si>
    <t>Certificados para los tres primeros lugares de cada categoría.</t>
  </si>
  <si>
    <t>FUNDACION GESTION SOCIAL CON PROPOSITO</t>
  </si>
  <si>
    <t>Botiquín de primeros auxilios</t>
  </si>
  <si>
    <t>Botiquín portátil dotado para atención de primeros auxilios durante las jornadas.</t>
  </si>
  <si>
    <t xml:space="preserve">INDUSTRIA LALEPH </t>
  </si>
  <si>
    <t xml:space="preserve">SISOLUCIONES </t>
  </si>
  <si>
    <t xml:space="preserve">SUMAGEN </t>
  </si>
  <si>
    <t>Bolsas para residuos</t>
  </si>
  <si>
    <t>Bolsas de alta resistencia para manejo de residuos durante las tres jornadas. (Paquete x de 100 bolsas)</t>
  </si>
  <si>
    <t>fpfoods</t>
  </si>
  <si>
    <t>MARION EXPRESS</t>
  </si>
  <si>
    <t>papyser</t>
  </si>
  <si>
    <t>Mesas para premiación</t>
  </si>
  <si>
    <t>Mesas para organización y entrega de medallas, certificados y demás elementos de premiación.</t>
  </si>
  <si>
    <t>ALQUISONIDO</t>
  </si>
  <si>
    <t>Material de registro</t>
  </si>
  <si>
    <t>Planillas, formatos de control, lapiceros, marcadores y elementos de papelería para cada fin de semana.</t>
  </si>
  <si>
    <t>AUROS COPIAS</t>
  </si>
  <si>
    <t>COMERCIAL PAPELERA</t>
  </si>
  <si>
    <t>JOS IMPRESORES</t>
  </si>
  <si>
    <t>Lapiceros</t>
  </si>
  <si>
    <t>KANDEROGROUP</t>
  </si>
  <si>
    <t>LA GRAN PAPELERIA</t>
  </si>
  <si>
    <t>SUESCUN</t>
  </si>
  <si>
    <t>marcadores</t>
  </si>
  <si>
    <t>DELTASHOP</t>
  </si>
  <si>
    <t>PRIMAVERA</t>
  </si>
  <si>
    <t>PAPYSER</t>
  </si>
  <si>
    <t xml:space="preserve">PREMIACION
 - ITEM NO OFERTABLE </t>
  </si>
  <si>
    <t>Total estimado
Novatos: 2 × $700.000 = $1.400.000
Intermedios: 2 × $1.100.000 = $2.200.000
Expertos: 2 × $1.700.000 = $3.400.000
Total por disciplina: $7.000.000
Total 3 disciplinas: $21.000.000</t>
  </si>
  <si>
    <t>Coordinador general</t>
  </si>
  <si>
    <t>Dirección integral del evento y articulación institucional.</t>
  </si>
  <si>
    <t xml:space="preserve">Jurado </t>
  </si>
  <si>
    <t>Evaluación técnica de los participantes, aplicación de criterios de calificación, consolidación de resultados y suscripción del acta de premiación. Deberá contar con experiencia acreditable en BMX Freestyle, skateboarding, roller freestyle o disciplinas afines.</t>
  </si>
  <si>
    <t>Productor/logístico</t>
  </si>
  <si>
    <t>Coordinación del montaje, operación y desmontaje.</t>
  </si>
  <si>
    <t>Instructores BMX</t>
  </si>
  <si>
    <t>Acompañamiento técnico y orientación a participantes.</t>
  </si>
  <si>
    <t>Instructores skateboarding</t>
  </si>
  <si>
    <t>Formación y acompañamiento técnico.</t>
  </si>
  <si>
    <t>Instructores roller freestyle</t>
  </si>
  <si>
    <t>Riders profesionales/invitados</t>
  </si>
  <si>
    <t>Exhibiciones y clínicas especializadas.</t>
  </si>
  <si>
    <t>Jueces/técnicos deportivos</t>
  </si>
  <si>
    <t>Evaluación de retos o competencias y control técnico.</t>
  </si>
  <si>
    <t>Registro, circulación, montaje, hidratación y apoyo general.</t>
  </si>
  <si>
    <t>Atención inicial y respuesta ante incidentes.</t>
  </si>
  <si>
    <t>Presentador/animador</t>
  </si>
  <si>
    <t>Conducción, información y dinamización.</t>
  </si>
  <si>
    <t>Manejo del sistema de audio.</t>
  </si>
  <si>
    <t>Fotografía/video</t>
  </si>
  <si>
    <t>Registro de la actividad.</t>
  </si>
  <si>
    <t>Servicios generales</t>
  </si>
  <si>
    <t>Limpieza y manejo de residuos.</t>
  </si>
  <si>
    <t xml:space="preserve">ACTIVIDAD No. 8– DOTACION CASA GARCES NAVAS </t>
  </si>
  <si>
    <t>ITEMS SOLICITADOS</t>
  </si>
  <si>
    <t>Mesas</t>
  </si>
  <si>
    <t xml:space="preserve">mesas plásticas de 100 *100 cm. Incluye transporte, instalación </t>
  </si>
  <si>
    <t>Sillas plásticas</t>
  </si>
  <si>
    <t>Video Beam</t>
  </si>
  <si>
    <t xml:space="preserve">Videobeam </t>
  </si>
  <si>
    <t>ALKOMPRAR</t>
  </si>
  <si>
    <t>KTRONIX</t>
  </si>
  <si>
    <t>Telón de proyección para video beam</t>
  </si>
  <si>
    <t>Telon de video beam de 75" con trípode de 2m</t>
  </si>
  <si>
    <t>LUEGOPAGO</t>
  </si>
  <si>
    <t>Televisor</t>
  </si>
  <si>
    <t>Televisor de 50"</t>
  </si>
  <si>
    <t>ALKOSTO</t>
  </si>
  <si>
    <t xml:space="preserve">CHALLENGER </t>
  </si>
  <si>
    <t>Base para televisor</t>
  </si>
  <si>
    <t>Base movible con ruedas para TV con capacidad para TV de 50"</t>
  </si>
  <si>
    <t xml:space="preserve">COMERCIALIZADORA SODIVA </t>
  </si>
  <si>
    <t xml:space="preserve">OLIMPICA </t>
  </si>
  <si>
    <t>Parlante sonido</t>
  </si>
  <si>
    <t>El equipo solicitado deberá cumplir, como mínimo, con las siguientes especificaciones técnicas:
Tipo: Cabina activa (auto-potenciada) de dos vías
Parlante: Woofer de 15 pulgadas
Potencia: Mínimo 1.000 W pico o equivalente, con amplificación interna
Respuesta de frecuencia: Aproximadamente 50 Hz – 20 kHz
Nivel máximo de presión sonora (SPL): Igual o superior a 120 dB
Procesamiento: Sistema de protección electrónica y/o procesamiento digital integrado (DSP)
Entradas de audio:
Mínimo dos (2) entradas balanceadas tipo XLR o TRS (micrófono/línea)
Reproducción multimedia integrada:
Entrada USB para reproducción directa de archivos de audio
Conectividad Bluetooth para reproducción inalámbrica desde dispositivos móviles
Salida de audio:
Salida balanceada tipo XLR para enlace con otro equipo
Controles:
Control de nivel de ganancia independiente
Ecualización básica integrada
Alimentación eléctrica: 110 V – 60 Hz
Montaje: Compatible con trípode
Construcción: Gabinete resistente, apto para uso institucional y transporte ocasional
Uso recomendado: Sonorización de voz y música en espacios cerrados</t>
  </si>
  <si>
    <t>AUDIOCITY</t>
  </si>
  <si>
    <t xml:space="preserve">MICHE </t>
  </si>
  <si>
    <t>TU INSTRUMENTO</t>
  </si>
  <si>
    <t>Parlante amplificador portátil</t>
  </si>
  <si>
    <t>Megafono Amplificador Voz Profesor Usb Perifoneo Microfono</t>
  </si>
  <si>
    <t>Micrófonos</t>
  </si>
  <si>
    <t>Se requieren dos (2) micrófonos de voz gama media, adecuados para uso institucional, que cumplan como mínimo con las siguientes características:
Tipo: Micrófonos dinámicos para voz
Patrón polar: Cardioide o supercardioide
Respuesta de frecuencia: Aproximadamente 50 Hz – 15 kHz
Conector: XLR balanceado
Impedancia: Baja impedancia (compatible con equipos profesionales)
Construcción: Cuerpo metálico resistente
Uso recomendado:
Voz hablada
Presentaciones
Eventos institucionales
Accesorios incluidos:
Pinza o soporte para micrófono
Estuche o funda de protección</t>
  </si>
  <si>
    <t xml:space="preserve">ORTIZO INSTRUMENTOS </t>
  </si>
  <si>
    <t xml:space="preserve">PIANOS BOGOTA </t>
  </si>
  <si>
    <t>Pedestal para micrófono</t>
  </si>
  <si>
    <t>Dos pedestales para micrófono</t>
  </si>
  <si>
    <t>prosoundaltacalidad.</t>
  </si>
  <si>
    <t>elsonido</t>
  </si>
  <si>
    <t>tiendavisionbroadcast</t>
  </si>
  <si>
    <t>Sillas de oficina</t>
  </si>
  <si>
    <t>Sillas de oficina ergonómicas con ruedas para escritorio.</t>
  </si>
  <si>
    <t>EASY COLOMBIA</t>
  </si>
  <si>
    <t xml:space="preserve">Homecenter </t>
  </si>
  <si>
    <t>Tablero acrílico grande</t>
  </si>
  <si>
    <t>Un tablero acrilico grande 80 x 120</t>
  </si>
  <si>
    <t>todoenartes</t>
  </si>
  <si>
    <t>cartelenlinea</t>
  </si>
  <si>
    <t xml:space="preserve">HOMCENTER </t>
  </si>
  <si>
    <t>Argollas para juego de rana</t>
  </si>
  <si>
    <t>3 juegos de 6 argollas para las ranas</t>
  </si>
  <si>
    <t>BOLIRANAS DE COLOMBIA</t>
  </si>
  <si>
    <t>IRONFRONG</t>
  </si>
  <si>
    <t>EXCALIBUR</t>
  </si>
  <si>
    <t>Extensión de clable</t>
  </si>
  <si>
    <t>Extensiones de 5a 10 metros de cable 10 AWG</t>
  </si>
  <si>
    <t>ELECTRICOS MONTES</t>
  </si>
  <si>
    <t>SIRIUS</t>
  </si>
  <si>
    <t>LA NOTA MUSICAL</t>
  </si>
  <si>
    <t>Multitomas</t>
  </si>
  <si>
    <t>Multitomas de máximo 5 espacios 10 AWG de 3 metros</t>
  </si>
  <si>
    <t>LA VALLEJO</t>
  </si>
  <si>
    <t>SIRUS</t>
  </si>
  <si>
    <t>LUMINAPLUS</t>
  </si>
  <si>
    <t>Cartelera de corcho</t>
  </si>
  <si>
    <t>Una cartelera de corcho grande de 120 x 90</t>
  </si>
  <si>
    <t>PANAGRAFO</t>
  </si>
  <si>
    <t>DIACRILICOS</t>
  </si>
  <si>
    <t>HOMCENTER</t>
  </si>
  <si>
    <t>Termómetro digital</t>
  </si>
  <si>
    <t>Termómetro digital infrarojo</t>
  </si>
  <si>
    <t>LA REBAJA</t>
  </si>
  <si>
    <t>CRUZ VERDE</t>
  </si>
  <si>
    <t>DROGUERIA COLSUBSIDIO</t>
  </si>
  <si>
    <t>Pulsoximetro digital</t>
  </si>
  <si>
    <t>Oxímetro de pulso para dedo GMD Pulsax 500D Pro</t>
  </si>
  <si>
    <t>BIOSMEDIC</t>
  </si>
  <si>
    <t>TODO SALUD</t>
  </si>
  <si>
    <t>ORTOPEDICOS YA</t>
  </si>
  <si>
    <t>Manta isotérmica polietileno aluminio</t>
  </si>
  <si>
    <t>Manta Térmica Emergencia Klimber Isotérmica Polietileno Aluminio</t>
  </si>
  <si>
    <t>DECLATHON</t>
  </si>
  <si>
    <t>Cervical inmovilizador</t>
  </si>
  <si>
    <t>Cuello Ortopédico Cervical Inmovilizador Adulto Ajustable</t>
  </si>
  <si>
    <t>PLUS MEDICA</t>
  </si>
  <si>
    <t>SALUTI</t>
  </si>
  <si>
    <t>Tormiquete control de hemorragias</t>
  </si>
  <si>
    <t>Torniquete Táctico Control De Hemorragías</t>
  </si>
  <si>
    <t>OXINET</t>
  </si>
  <si>
    <t>FARMATODO</t>
  </si>
  <si>
    <t>CIMEX</t>
  </si>
  <si>
    <t>Botiquin tipo A</t>
  </si>
  <si>
    <t>Maletín medico térmico de 30cm x 15cm x 11cm elaborado en lona y termolón, dos manijas, estampado a una tinta, dotado con 14 elementos: 4 GASA ESTÉRILES POR 5 UND 1ESPARADRAPO DE TELA 4" X5 YARDAS 1 BAJALENGUAS PAQ X 20 UND 1 CAJA DE GUANTES POR 100 UNIDADES 1 VENDA ELÁSTICA 2" X 5 YARDAS 1VENDA ELÁSTICA 3" X 5 YARDAS 1VENDA ELÁSTICA 5" X 5 YARDAS 1 VENDA DE ALGODÓN 3" X 5 YARDAS 1 VENDA DE ALGODÓN 5" X 5 YARDAS 1YODOPOVIDONA 120ML 1 SOLUCIÓN SALINA DE 500ML 1 TERMÓMETRO DIGITAL 1 ALCOHOL ANTISÉPTICO FRASCO X 120ML</t>
  </si>
  <si>
    <t>INDUMAS</t>
  </si>
  <si>
    <t>Carpas plegables</t>
  </si>
  <si>
    <t>Carpa Estructural a dos aguas, tamaño  3 mts x 3mts plegable,  con laterales, Lona 100% impermeable; resistente a la intemperie, Lona alta densidad, alto calibre con microfibras internas para mayor duración calibre 700 a 530 fibras con laterales, estructura en acero, Blanca, la Unión de paredes debera ser con reatas reforzadas en doble costura y anillos de sujecion para ajuste a parales lateral y superior de la estructura.</t>
  </si>
  <si>
    <t xml:space="preserve">INGENIERIAS BOGOTA </t>
  </si>
  <si>
    <t xml:space="preserve">CARPAS FM </t>
  </si>
  <si>
    <t xml:space="preserve">CARPAS FULL DE COLOMBIA </t>
  </si>
  <si>
    <t>Juegos tradicionales
Bolirana</t>
  </si>
  <si>
    <t>Bolirana Manual, marcada con el nombre Casa de Persona Mayor, con gráficos de personas mayores y tablero para suma de puntaje.</t>
  </si>
  <si>
    <t>BOLIRANAS Y&amp;C</t>
  </si>
  <si>
    <t>BOLIRANA YEMINIX</t>
  </si>
  <si>
    <t>Silla Ejercicio Banco Levantamiento Pesas Gimnasio Ajustable</t>
  </si>
  <si>
    <t>Silla de apoyo para actividades de acondicionamiento físico y ejercicios de step, fabricada en material resistente y de fácil limpieza, con estructura estable y capacidad adecuada para soportar el peso del usuario durante ejercicios de apoyo, equilibrio, estiramiento y fortalecimiento. Debe contar con superficie de asiento firme, patas con apoyos antideslizantes y diseño seguro para uso continuo en actividades deportivas y recreativas. Se requiere adecuada estabilidad y resistencia para uso institucional.</t>
  </si>
  <si>
    <t>K6FITNESS</t>
  </si>
  <si>
    <t xml:space="preserve"> escalera de agilidad</t>
  </si>
  <si>
    <t>Implemento deportivo compuesto por una banda flexible de alta resistencia y peldaños transversales ajustables, diseñado para realizar ejercicios de coordinación, velocidad, agilidad, equilibrio y trabajo de desplazamiento. Debe ser liviana, portátil y de fácil instalación, con peldaños resistentes y regulables para adaptar la distancia entre ellos. Los materiales deben permitir uso frecuente en espacios deportivos, superficies interiores y exteriores, garantizando estabilidad y resistencia durante las actividades.</t>
  </si>
  <si>
    <t xml:space="preserve">GYM SOLUTIONS </t>
  </si>
  <si>
    <t xml:space="preserve">IFOCUS FIT </t>
  </si>
  <si>
    <t xml:space="preserve">MOVIFIT </t>
  </si>
  <si>
    <t>Tensiometro digital</t>
  </si>
  <si>
    <t>Tensiómetro digital de brazo</t>
  </si>
  <si>
    <t xml:space="preserve">la rebaja </t>
  </si>
  <si>
    <t>drogueriascolsubsidio</t>
  </si>
  <si>
    <t>drogueriasmultifarma.</t>
  </si>
  <si>
    <t>pesas de 1 kg</t>
  </si>
  <si>
    <t>Implementos deportivos de peso libre, con una carga de 1 kilogramo cada unidad, destinados a ejercicios de fortalecimiento muscular, acondicionamiento físico, movilidad y entrenamiento funcional. Deben contar con recubrimiento exterior resistente y de fácil limpieza, agarre ergonómico y superficie antideslizante, adecuados para uso frecuente en actividades deportivas y recreativas. Se requiere un par de pesas de 1 kg, con dimensiones y diseño que faciliten su manipulación durante las rutinas de ejercicio.</t>
  </si>
  <si>
    <t xml:space="preserve">ULTIMATE </t>
  </si>
  <si>
    <t>Conos deportivos</t>
  </si>
  <si>
    <t>Conos deportivos de entrenamiento, fabricados en PVC flexible de alta resistencia, diseñados para señalización, delimitación de espacios y realización de ejercicios de coordinación, velocidad, agilidad y circuitos deportivos. Deben contar con base amplia y estable, color de alta visibilidad y resistencia al uso continuo en superficies interiores y exteriores.30 cm aproximadamente.</t>
  </si>
  <si>
    <t>bustamantedeportes</t>
  </si>
  <si>
    <t>deportesregol.</t>
  </si>
  <si>
    <t>miyagi.</t>
  </si>
  <si>
    <t>Colchoneta tapete yoga</t>
  </si>
  <si>
    <t>Implemento deportivo destinado a la realización de ejercicios de yoga, estiramiento, movilidad, relajación, fortalecimiento y acondicionamiento físico. Fabricada en material acolchado, flexible, resistente y de fácil limpieza, con superficie antideslizante para proporcionar estabilidad y seguridad durante los ejercicios. Debe contar con un espesor adecuado para brindar comodidad y amortiguación, ser liviana y enrollable para facilitar su transporte y almacenamiento, y tener dimensiones apropiadas para uso individual.</t>
  </si>
  <si>
    <t xml:space="preserve">Bola gimnasia 65 cm </t>
  </si>
  <si>
    <t>Balón para ejercicios de acondicionamiento físico, estabilidad, equilibrio, fortalecimiento muscular, estiramiento y movilidad. Debe tener un diámetro aproximado de 65 cm, fabricado en material resistente, flexible y de fácil limpieza, con sistema de seguridad antiestallido (anti-burst) y superficie antideslizante. Adecuado para uso frecuente en actividades deportivas, recreativas y de entrenamiento físico.</t>
  </si>
  <si>
    <t>ABASTECEDOR</t>
  </si>
  <si>
    <t>icmtherapy.com</t>
  </si>
  <si>
    <t>pesas de 2 kg</t>
  </si>
  <si>
    <t>Implementos deportivos de peso libre, con una carga de 2 kilogramos cada unidad, destinados a ejercicios de fortalecimiento muscular, acondicionamiento físico, movilidad y entrenamiento funcional. Deben contar con recubrimiento exterior resistente y de fácil limpieza, agarre ergonómico y superficie antideslizante, adecuados para uso frecuente en actividades deportivas y recreativas. Se requiere un par de pesas de 2 kg, con dimensiones y diseño que faciliten su manipulación durante las rutinas de ejercicio.</t>
  </si>
  <si>
    <t>FITNEESMARKET</t>
  </si>
  <si>
    <t>ULTIMATE</t>
  </si>
  <si>
    <t>ACTIVIDAD No. 9 - P.P. 44916-JUGAMOS CON LA PRIMERA INFANCIA: FESTIVAL RECREATIVO PARA NIÑOS Y NIÑAS DE 0 A 5 AÑOS</t>
  </si>
  <si>
    <t>BOLSA DE ELEMENTOS PARA LA  P.P. 44916-Jugamos con la primera infancia: festival recreativo para niños y niñas de 0 a 5 años</t>
  </si>
  <si>
    <t>Bolsa a monto agotable, debera entre otros comprender el suministro, alquiler, operación, coordinación y ejecución de los bienes y servicios requeridos para el desarrollo del festival recreodeportivo dirigido a niños y niñas de 0 a 5 años, sus familias y cuidadores, de acuerdo con las necesidades definidas por la supervisión del contrato y hasta agotar los recursos disponibles. Dentro de los bienes y servicios se incluirán, entre otros: servicios logísticos y operativos; alquiler de carpas, tarimas, sonido, iluminación, mobiliario y plantas eléctricas; transporte, montaje y desmontaje; personal logístico, recreacionistas, talleristas, monitores, artistas, personal de apoyo y coordinación; actividades recreativas, lúdicas, deportivas, pedagógicas, culturales y artísticas para la primera infancia; estaciones de estimulación temprana, psicomotricidad, juegos tradicionales adaptados, pintura, pintucaritas, cuentería y actividades inclusivas; alquiler e instalación de inflables, zonas blandas y estructuras recreativas certificadas; suministro de materiales pedagógicos, recreativos y fungibles; servicios de registro, convocatoria, preinscripción y caracterización de participantes; piezas gráficas, señalización y material informativo; registro fotográfico y audiovisual; servicios de seguridad, control de aforo, atención prehospitalaria, ambulancia, gestión del riesgo, pólizas y permisos requeridos; servicios de aseo, manejo de residuos, hidratación y demás elementos necesarios para garantizar la adecuada ejecución del evento, la seguridad de los asistentes y el cumplimiento de la normatividad vigente aplicable a eventos y aglomeraciones públicas</t>
  </si>
  <si>
    <t>REFRIGERIOS PARA LA P.P. 44916-Jugamos con la primera infancia: festival recreativo para niños y niñas de 0 a 5 años</t>
  </si>
  <si>
    <t>REFRIGERIO TIPO A: Un refrigerio debe estar compuesto de:1. Bebida: Jugo en Tetrapak o avena en Tetrapak de 200 ml., 2. Alimento de sal: Pastel de pollo, carne, palito de queso u otro similar a concertar siempre y cuando cumpla con 250 gr. Por unidad., 3. Una fruta fresca de cosecha, debidamente empacada, 4. Un dulce debidamente empacado al vacío. El refrigerio incluye transporte, puesta en sitio y debe estar en empaque biodegradable.</t>
  </si>
  <si>
    <t>ACTIVIDAD No. 10 - P.P. 48906 - EL TOMAS UN TERRITORIO EN PRO DE PAZ</t>
  </si>
  <si>
    <t>BOLSA DE ELEMENTOS PARA LA P.P. 48906 - El Tomas un territorio en pro de paz</t>
  </si>
  <si>
    <t>Bolsa a monto agotable, debera entre otros comprender el suministro, alquiler, operación, coordinación y ejecución de los bienes y servicios requeridos para el desarrollo de actividades recreativas, deportivas, culturales y artísticas dirigidas a estudiantes y comunidad educativa, de acuerdo con las necesidades definidas por la supervisión del contrato y hasta agotar los recursos disponibles. Dentro de los bienes y servicios se incluirán, entre otros: planeación, organización y ejecución de torneos, encuentros recreodeportivos, actividades culturales y artísticas; alquiler de escenarios deportivos y espacios comunitarios; sonido, tarimas, iluminación, plantas eléctricas, mobiliario y demás elementos logísticos; montaje y desmontaje; transporte de materiales y equipos; personal logístico, coordinadores, jueces, árbitros, artistas, monitores y personal de apoyo; realización de actividades clasificatorias, semifinales y finales; suministro de materiales, insumos e implementos necesarios para el desarrollo de las actividades recreativas, culturales y deportivas, tales como balones, conos, petos, mallas, cronómetros, elementos de señalización, materiales pedagógicos, artísticos y recreativos, papelería, escenografía y demás elementos requeridos para la adecuada ejecución de las jornadas; premiación, medallería, trofeos, incentivos y reconocimientos; diseño e implementación de actividades pedagógicas y estrategias de fortalecimiento de la convivencia escolar y prevención de conductas de riesgo; piezas gráficas, divulgación, convocatoria y registro de participantes; registro fotográfico y audiovisual; aplicación de formularios, encuestas y mecanismos de evaluación del impacto y satisfacción; servicios de seguridad, control logístico, atención prehospitalaria, ambulancia, gestión del riesgo, pólizas y permisos requeridos; así como demás bienes y servicios necesarios para garantizar la adecuada ejecución de las actividades y el cumplimiento de la normatividad vigente aplicable a eventos y aglomeraciones públicas.</t>
  </si>
  <si>
    <t>REFRIGERIOS PARA LA P.P. 48906 - El Tomas un territorio en pro de paz</t>
  </si>
  <si>
    <t xml:space="preserve">
ACTIVIDAD No. 1 BANCO DE INICIATIVAS DEPORTIVAS</t>
  </si>
  <si>
    <t>Equipo profesional transversal 1</t>
  </si>
  <si>
    <t>Profesional en Administración Deportiva o Educación o Cultura físicas y Deportes, con experiencia especifica mínima de (24) meses en evaluación, seguimiento  y ejecución de proyectos sociales comunitarios deportivos. Disponibilidad 100%.</t>
  </si>
  <si>
    <t>Equipo profesional transversal 2</t>
  </si>
  <si>
    <t>Profesional en el núcleo básico de conocimiento de Sociología, trabajo social y afines, con experiencia especifica mínima de (24) meses en evaluación, ejecución y seguimiento de proyectos sociales comunitarios deportivos. Disponibilidad 100%.</t>
  </si>
  <si>
    <t>Equipo profesional transversal 3</t>
  </si>
  <si>
    <t>Título profesional en cualquier área del conocimiento con experiencia especifica mínima de (24) meses en  formulación de proyectos comunitarios  a sectores poblacionales, evaluación, ejecución y seguimiento  de proyectos sociales comunitarios deportivos.Disponibilidad 100%.</t>
  </si>
  <si>
    <t>Jurados</t>
  </si>
  <si>
    <t>Título profesional o de licenciatura en Educación Física, Deporte, Recreación, Entrenamiento Deportivo o áreas afines, con mínimo un (1) año de experiencia específica como jurado, juez o árbitro en diferentes disciplinas deportivas.</t>
  </si>
  <si>
    <t>BONOS E INCENTIVOS</t>
  </si>
  <si>
    <t>BONOS- INCENTIVOS</t>
  </si>
  <si>
    <t>El incentivo en el marco de la iniciativa y/o proyectos de las organizaciones se hará en	implantación deportiva, para la ejecución de las propuestas ganadoras. El valor destinado para cada una de las 3 organizaciones, teniendo en cuenta la meta establecida para la vigencia 2026, es de 20000000 pesos entregados en insumos que la organización requiera, en ningún momento se entregara dinero en efectivo u otra modalidad, impuestos derivados de la prestación del servicio por parte del contratista.</t>
  </si>
  <si>
    <t>4.2.4 ACTIVID	ADES: Meta 2026: Capacitar 150 Personas en los campos deportivos.</t>
  </si>
  <si>
    <t>FUTBOL Y MICROFUTBOL</t>
  </si>
  <si>
    <t>Estacas para entrenamiento</t>
  </si>
  <si>
    <t>Obstáculo para entrenamiento, consta de un tubo flexible en PVC de 25 mm de diámetro * 1,60 mts de largo aproximadamente</t>
  </si>
  <si>
    <t>tiendasportbody</t>
  </si>
  <si>
    <t>Escaleras de coordinación</t>
  </si>
  <si>
    <t>Escalera De Coordinación O Agilidad 5mts</t>
  </si>
  <si>
    <t>MOVIFIT</t>
  </si>
  <si>
    <t>VICTORINOS</t>
  </si>
  <si>
    <t>MUNDO OLIMPICO</t>
  </si>
  <si>
    <t>Conos para entrenamiento</t>
  </si>
  <si>
    <t>Características:  Medianos 23 Ctrs En Polietileno</t>
  </si>
  <si>
    <t>UNIFORME ESCUELA DE FUTBOL</t>
  </si>
  <si>
    <t xml:space="preserve">* Camiseta Deportiva: En tela Poliéster con gramaje entre 130 y 140 gramos, composición 100% hilaza poliéster texturizado terminado, especial para mejorar la transpiración. Costados en filete sencillo y Ruedo con dobladillado a 2 cms terminado en recubridora. Estampado con la técnica de sublimación de los Logos institucionales. Previa aprobación de la oficina de prensa.
* Pantaloneta: En tela Poliéster con gramaje entre 130 y 140 gramos, composición 100% hilaza poliéster texturizado terminado, especial para mejorar la transpiración, largo media pierna, con interior en malla y cordón. Estampado con la técnica de sublimación de los Logos institucionales. Previa aprobación de la oficina de prensa.
* Medias: Media alta debajo de la rodilla, en Nylon con resorte completo. Incluye todas las tallas.
</t>
  </si>
  <si>
    <t xml:space="preserve">KING POWER </t>
  </si>
  <si>
    <t xml:space="preserve">KREA SPORTS </t>
  </si>
  <si>
    <t xml:space="preserve">GUARDIANES SPORT </t>
  </si>
  <si>
    <t xml:space="preserve">Juego de Petos:  </t>
  </si>
  <si>
    <t>Juego de Petos:  Por 10 unidades de colores diferentes para diferenciar los equipos.  Las medidas deben ser de acuerdo con cada categoría (6-12 años y 13-17 años)</t>
  </si>
  <si>
    <t xml:space="preserve">DECLATON </t>
  </si>
  <si>
    <t xml:space="preserve">SAETA </t>
  </si>
  <si>
    <t>Balones para Futbol #4</t>
  </si>
  <si>
    <t>Balones para Futbol # 4</t>
  </si>
  <si>
    <t>EXCEL SPORT</t>
  </si>
  <si>
    <t>REGOL</t>
  </si>
  <si>
    <t>APLETON</t>
  </si>
  <si>
    <t>Balones para Futbol # 5</t>
  </si>
  <si>
    <t xml:space="preserve">GOLTY </t>
  </si>
  <si>
    <t>PANAMERICANA</t>
  </si>
  <si>
    <t>Balón fútbol sala</t>
  </si>
  <si>
    <t>Con especificaciones técnicas de la AMF, de superficie lisa y acabado mate, cubierta en material sintético a base de PVC, en forma de pentagonal y hexagonal, con 32 paneles, construcción tipo laminado al calor, enmallado en hilo 100% nylon, neumático en caucho butilo, capa esponjosa bajo la cubierta de cuero sintético, impermeable al agua, sobresaliente durabilidad, mínima pérdida de aire, excelente suavidad al toque, circunferencia de 58 a 62 cm, peso 440 - 450 gramos.</t>
  </si>
  <si>
    <t>Escuelas Dirigidas a Personas con Discapacidad</t>
  </si>
  <si>
    <t>UNIFORME ESCUELA DE FUTBOL: 
Camiseta Deportiva: En tela Poliéster con gramaje entre 130 y 140 gramos, composición 100% hilaza poliéster texturizado terminado, especial para mejorar la transpiración. Costados en filete sencillo y Ruedo con dobladillado a 2 cms terminado en recubridora. Estampado con la técnica de sublimación de los Logos institucionales. Previa aprobación de la oficina de prensa.
Pantaloneta: En tela Poliéster con gramaje entre 130 y 140 gramos, composición 100% hilaza poliéster texturizado terminado, especial para mejorar la transpiración, largo media pierna, con interior en malla y cordón. Estampado con la técnica de sublimación de los Logos institucionales. Previa aprobación de la oficina de prensa.
Medias: Media alta debajo de la rodilla, en Nylon con resorte completo. Incluye todas las tallas.</t>
  </si>
  <si>
    <t>BALONCESTO</t>
  </si>
  <si>
    <t>Camiseta Deportiva, Pantaloneta y Medias</t>
  </si>
  <si>
    <t>Camiseta En tela Poliéster con gramaje entre 130 y 140 gramos, composición 100% hilaza poliéster texturizado terminado, Con cuello V en la misma tela, sin mangas, Costados en filete sencillo y Ruedo con dobladillado a 2 cms terminado en recubridora. Estampado con la técnica de sublimación de los Logos institucionales.
Pantaloneta En tela Poliéster con gramaje entre 130 y 140 gramos, composición 100% hilaza poliéster texturizado terminado, especial para mejorar la transpiración, largo media pierna, con interior en malla y cordón.  Estampado con la técnica de sublimación de los Logos institucionales.
Media Medias: Medía caña, en Nylon con resorte completo.</t>
  </si>
  <si>
    <t>Unidades</t>
  </si>
  <si>
    <t>Juegos de Petos</t>
  </si>
  <si>
    <t>Deben ser de un color diferente.  Las medidas deben ser de acuerdo con cada categoría.</t>
  </si>
  <si>
    <t>Juego</t>
  </si>
  <si>
    <t>Escalera de Coordinación O Agilidad 5mts</t>
  </si>
  <si>
    <t>Lazos O Cuerdas Para Salto</t>
  </si>
  <si>
    <t>Lazos o Cuerdas Para Salto</t>
  </si>
  <si>
    <t>fabysport.</t>
  </si>
  <si>
    <t>olimpica</t>
  </si>
  <si>
    <t>Balón de baloncesto #7</t>
  </si>
  <si>
    <t>Cubierta en caucho vulcanizado para uso exterior en asfalto e interior en diferentes superficies. Peso entre 567 a 650 gramos, circunferencia en 74,9 a 79 cm, rebote entre 120 a 150 cm, con antideslizante de excelente agarre y rebote.</t>
  </si>
  <si>
    <t>ATLANTA DEPORTES</t>
  </si>
  <si>
    <t>Balón de baloncesto #6</t>
  </si>
  <si>
    <t>Extraordinario agarre y rebote.
Cumple con la especificación técnica de la FIBA.
Mayor dominio del balón con precisión absoluta.
Construcción tipo laminado al calor.
Excelente durabilidad.
Peso: 500 a 550 g</t>
  </si>
  <si>
    <t>WORLDSPORT</t>
  </si>
  <si>
    <t>SPORTBODY</t>
  </si>
  <si>
    <t>TAEKWONDO</t>
  </si>
  <si>
    <t>uniforme de taekwondo</t>
  </si>
  <si>
    <t>uniforme de taekwondo bordado en la espalda con la palabra Alcaldia Local de Engativá, con pantalón chaqueta y cinturón blanco tallas surtidas</t>
  </si>
  <si>
    <t>daedocolombia</t>
  </si>
  <si>
    <t xml:space="preserve">HANA DEPORTIVAS </t>
  </si>
  <si>
    <t xml:space="preserve">TUSAH COLOMBIA </t>
  </si>
  <si>
    <t>Paleta</t>
  </si>
  <si>
    <t>Paleta Para Taekwondo Solo Color Negro
**Debe incluir transporte de entrega a donde se requiera el elemento</t>
  </si>
  <si>
    <t xml:space="preserve">LEGION COLOMBIA </t>
  </si>
  <si>
    <t xml:space="preserve">TIENDA MARCIAL </t>
  </si>
  <si>
    <t xml:space="preserve">WORLDSPORT </t>
  </si>
  <si>
    <t>Guante para Taekwondo</t>
  </si>
  <si>
    <t>Guante para Taekwondo con una tela interna que absorbe el sudor, correa con velcro, elástico en la parte media de la palma, abollonado en la parte alta de la palma.</t>
  </si>
  <si>
    <t>SHINDO</t>
  </si>
  <si>
    <t>Colchonetas</t>
  </si>
  <si>
    <t>colchonetas, CARACTERÍSTICAS:
• finas de tráfico pesado
• Toda su funda hecha en tela impermeable
• Antideslizante
• Gruesas de alta densidad
• Excelente Densidad 70kg cm3 nunca sentirás el suelo
• Relleno en espuma de Polietileno excelente densidad
• Con cierre para fácil lavado o limpieza
• reforzada en esquinas
• Doble costura
• Medidas 1 metro x 50 centímetros y 3 cm de grosor</t>
  </si>
  <si>
    <t>sportfitness.</t>
  </si>
  <si>
    <t>atlanta</t>
  </si>
  <si>
    <t>Alquiler de Escenario Deportivo</t>
  </si>
  <si>
    <t>Alquiler de Escenario Deportivo, futbol, microfutbol, baloncesto. Otras escuelas Deportivas
NO OFERTABLE</t>
  </si>
  <si>
    <t>Hora</t>
  </si>
  <si>
    <t>•	Beneficiar 3 colectivo (s) u organizaciones recreo deportivas inscritas en el banco de iniciativas de carácter barrial con apoyos económicos.</t>
  </si>
  <si>
    <t xml:space="preserve">BOOLSA DE ELEMENTOS OTRAS ESCUELAS DEPORTIVAS </t>
  </si>
  <si>
    <t xml:space="preserve">**DOTACIÓN PARA ESCUELAS DEPORTIVAS DE LA LOCALIDAD DE ENGATIVÁ – MONTO AGOTABLE**
Suministro, de acuerdo con las necesidades identificadas y hasta el agotamiento del presupuesto destinado para este ítem, elementos de dotación deportiva dirigidos a escuelas deportivas ubicadas en la localidad de Engativá que no hayan sido beneficiarias de los componentes de dotación contemplados en el presente proceso de contratación para las disciplinas deportivas tradicionales.
La dotación incluirá, entre otros, uniformes, indumentaria deportiva, implementos y elementos necesarios para la práctica, entrenamiento y desarrollo de las diferentes disciplinas deportivas, de acuerdo con las necesidades particulares de cada escuela beneficiaria y las especificaciones técnicas previamente definidas.
La identificación de las escuelas deportivas beneficiarias, así como la determinación de las cantidades, tipos y características de los elementos requeridos, se realizará de manera coordinada con el Área de Cultura y Deporte de la Alcaldía Local de Engativá, teniendo en cuenta criterios de ubicación en la localidad, actividad deportiva desarrollada, población atendida, necesidades de dotación y ausencia de beneficio previo dentro de los componentes de dotación del presente proceso.
El contratista deberá suministrar los elementos de acuerdo con las especificaciones, cantidades y condiciones establecidas por la entidad, garantizando que sean nuevos, de calidad adecuada para el uso deportivo y acordes con las características de cada disciplina.
Este ítem se ejecutará bajo la modalidad de monto agotable por lo cual la entidad solicitará los bienes de acuerdo con las necesidades identificadas durante la ejecución del contrato, sin que exista obligación de consumir la totalidad del presupuesto asignado.
</t>
  </si>
  <si>
    <t>SubTotal</t>
  </si>
  <si>
    <t>Iva</t>
  </si>
  <si>
    <t>Total</t>
  </si>
  <si>
    <t>NOTA: Se informa a los proponentes que todos los elementos e insumos cotizados deben cumplir estrictamente con el 100% de las especificaciones técnicas detalladas en el presente requerimiento. El incumplimiento de cualquier parámetro técnico será tenido en cuenta como ítem no entregado.
* El valor cotizado de los elementos e insumos debe incluir obligatoriamente el servicio de transporte, cargue y descargue hasta el lugar de entrega final designado por la Alcaldía Local de Engativá, garantizando la entrega en sitio.
* Todas las cotizaciones presentadas deben contemplar el flete y traslado de los insumos. El proveedor será responsable de la entrega física de los elementos en el punto de destino solicitado sin costos adicionales.
* Todo elemento o insumo que presente imperfectos, averías o no cumpla con las especificaciones técnicas, deberá ser repuesto por el operador en un plazo no mayor a tres (3) días hábiles, sin costo adicional para la Alcaldía Local de Engativá.</t>
  </si>
  <si>
    <t>CONSOLIDADO DE VALORES POR META – fórmulas vinculadas al detalle de la hoja ESPECIFICACIONES TECNICAS (ev)</t>
  </si>
  <si>
    <t>Meta (código)</t>
  </si>
  <si>
    <t>Meta / Actividad / Componente</t>
  </si>
  <si>
    <t>Actividad 1 - Salida recreo deportiva Persona Mayor</t>
  </si>
  <si>
    <t>Actividad 2 - Vacaciones recreativas</t>
  </si>
  <si>
    <t>Actividad 3 - Carrera de Canicross</t>
  </si>
  <si>
    <t>Actividad 4 - Carrera Plogging</t>
  </si>
  <si>
    <t>Actividad 5 - Carrera Ciclística</t>
  </si>
  <si>
    <t>Actividad 6 - Carrera Atlética 3K y Trail</t>
  </si>
  <si>
    <t>Actividad 7 - Engatidunt 2026</t>
  </si>
  <si>
    <t>Actividad 8 - Dotación Casa Garcés Navas</t>
  </si>
  <si>
    <t>Actividad 9 - P.P. 44916 Primera Infancia</t>
  </si>
  <si>
    <t>Actividad 10 - P.P. 48906 El Tomás</t>
  </si>
  <si>
    <t>Banco de iniciativas deportivas – bolsa de monto agotable (fila 331)</t>
  </si>
  <si>
    <t>Iniciativas deportivas – equipo profesional, jurados y bonos (filas 285-292)</t>
  </si>
  <si>
    <t>Fútbol y microfútbol</t>
  </si>
  <si>
    <t>Escuelas dirigidas a personas con discapacidad</t>
  </si>
  <si>
    <t>Baloncesto</t>
  </si>
  <si>
    <t>Taekwondo</t>
  </si>
  <si>
    <t>RESUMEN POR META</t>
  </si>
  <si>
    <t>META 1 – Beneficiar 2800 personas en actividades recreo deportivas comunitarias</t>
  </si>
  <si>
    <t>META 2 – Beneficiar 3 colectivos u organizaciones (Banco de iniciativas)</t>
  </si>
  <si>
    <t>META 3 – 4.2.4 Capacitar 150 personas en los campos deportivos</t>
  </si>
  <si>
    <t>TOTAL GENERAL POR METAS (incluye sin asignar)</t>
  </si>
  <si>
    <t>Total detalle (ESPECIFICACIONES: SubTotal sin IVA)</t>
  </si>
  <si>
    <t>Diferencia (metas − detalle)</t>
  </si>
  <si>
    <t>IVA 19 %</t>
  </si>
  <si>
    <t>TOTAL CON IVA</t>
  </si>
  <si>
    <t>PREMIACION (Bonos de Compra)</t>
  </si>
  <si>
    <t>No</t>
  </si>
  <si>
    <t>CATEGORIA</t>
  </si>
  <si>
    <t>GENERO</t>
  </si>
  <si>
    <t>1°</t>
  </si>
  <si>
    <t>2°</t>
  </si>
  <si>
    <t>3°</t>
  </si>
  <si>
    <t>INFANTIL</t>
  </si>
  <si>
    <t>MASCULINO</t>
  </si>
  <si>
    <t>MENORES</t>
  </si>
  <si>
    <t>JUVENIL</t>
  </si>
  <si>
    <t>UNICA</t>
  </si>
  <si>
    <t>MASTER A</t>
  </si>
  <si>
    <t>MASTER B</t>
  </si>
  <si>
    <t>SUB-TOTAL PREMIACION MASCULINO</t>
  </si>
  <si>
    <t>FEMENINO</t>
  </si>
  <si>
    <t>SUB-TOTAL PREMIACION FEMENINO</t>
  </si>
  <si>
    <t>TOTAL</t>
  </si>
  <si>
    <t>INFORME DE REVISIÓN – Estudio de mercado Deportes Engativá 2026</t>
  </si>
  <si>
    <t>Convenciones: amarillo = corregido en este archivo; rojo claro = requiere validación del responsable del proceso (el dato NO se modificó). Las cantidades y precios digitados por el equipo no se alteraron.</t>
  </si>
  <si>
    <t>Hoja</t>
  </si>
  <si>
    <t>Celda(s)</t>
  </si>
  <si>
    <t>Tipo de error</t>
  </si>
  <si>
    <t>Valor o fórmula original</t>
  </si>
  <si>
    <t>Corrección realizada / acción</t>
  </si>
  <si>
    <t>Justificación</t>
  </si>
  <si>
    <t>¿Requiere validación?</t>
  </si>
  <si>
    <t>ESPECIFICACIONES TECNICAS (ev)</t>
  </si>
  <si>
    <t>I190:T190</t>
  </si>
  <si>
    <t>Fórmulas reemplazadas por valores fijos (Sistema de sonido, Act. 6)</t>
  </si>
  <si>
    <t>I=4500000, K=5400000, M=3900000, N=1533333, O=4600000, P=205480, R=1500000, S=4500000</t>
  </si>
  <si>
    <t>Se restauraron las fórmulas estándar de la hoja (I,K,M,N,O,P,Q,R,S,T).</t>
  </si>
  <si>
    <t>Los valores fijos correspondían a 3 jornadas (copiados de la Act. 7), pero la fila tiene F = 2 jornadas: S190 pasa de $4.500.000 (fijo) a $3.000.000 (1.500.000 × 1 × 2); O190 de $4.600.000 a $3.066.667. El subtotal del proceso baja $1.500.000.</t>
  </si>
  <si>
    <t>No (corrección con soporte en la propia fila)</t>
  </si>
  <si>
    <t>I162; I/K/M249:M254</t>
  </si>
  <si>
    <t>Valores fijos donde corresponde fórmula (cantidad × valor unitario × tiempo)</t>
  </si>
  <si>
    <t>I162 (11,000,000); I249 (278,067); K249 (285,630); M249 (327,647); I250 (1,092,353); K250 (1,092,353); M250 (1,092,353); I251 (222,689); K251 (243,613); M251 (226,807); I252 (2,063,017); K252 (20,453,697); M252 (2,310,924); I253 (337,563); K253 (395,546); M253 (395,546); M254 (582,185)</t>
  </si>
  <si>
    <t>Se reemplazaron por =+Valor×Tiempo×Cantidad.</t>
  </si>
  <si>
    <t>Mantiene trazabilidad por cotización. No afecta mediana ni totales (las columnas N–S usan los valores unitarios H/J/L).</t>
  </si>
  <si>
    <t>K252</t>
  </si>
  <si>
    <t>Error de digitación (factor 10)</t>
  </si>
  <si>
    <t>20.453.697 (J252 = 2.045.370; D=1, F=1)</t>
  </si>
  <si>
    <t>Con la fórmula K252 = J252×F×D = 2.045.370.</t>
  </si>
  <si>
    <t>El total de la cotización 2 estaba multiplicado por 10 frente a su valor unitario. No afectaba la mediana (se calcula con el unitario).</t>
  </si>
  <si>
    <t>C38</t>
  </si>
  <si>
    <t>Texto no concuerda con la cantidad</t>
  </si>
  <si>
    <t>capacidad operativa mínima de 600 personas por jornada (D38 = 650)</t>
  </si>
  <si>
    <t>Texto ajustado a 650 personas por jornada.</t>
  </si>
  <si>
    <t>La cantidad de escenario/alimentación/manillas es 650 por jornada; la especificación debe coincidir.</t>
  </si>
  <si>
    <t>C50</t>
  </si>
  <si>
    <t>2.400 personas programadas (kits: 650 × 4 jornadas = 2.600)</t>
  </si>
  <si>
    <t>Texto ajustado a 2.600 personas.</t>
  </si>
  <si>
    <t>Coincide con D43:D48 = 2.600.</t>
  </si>
  <si>
    <t>F77, F100, F156</t>
  </si>
  <si>
    <t>Tiempo mal multiplicado (ambulancia × 4 jornadas en eventos de 1 jornada)</t>
  </si>
  <si>
    <t>Ambulancia medicalizada F=4 en Canicross, Plogging y Ciclística (S = $10.560.000 c/u)</t>
  </si>
  <si>
    <t>F = 1 jornada en las tres filas. Reducción: $23,760,000.</t>
  </si>
  <si>
    <t>Son eventos de una sola jornada (el resto de sus ítems usa F=1 JORNADA); la fila estaba copiada de la Actividad 1 (4 jornadas). Ahora es coherente con la Atlética (2 jornadas ⇒ F=2).</t>
  </si>
  <si>
    <t>F76, F98, F143</t>
  </si>
  <si>
    <t>Tiempo mal multiplicado (baños portátiles × 3 jornadas en eventos de 1 jornada)</t>
  </si>
  <si>
    <t>Baños portátiles F=3 en Canicross (D=5), Plogging (D=4) y Ciclística (D=4)</t>
  </si>
  <si>
    <t>F = 1 jornada en las tres filas. Reducción: $5,928,000.</t>
  </si>
  <si>
    <t>Eventos de una jornada; en la Atlética (2 jornadas) el factor es 2.</t>
  </si>
  <si>
    <t>F223</t>
  </si>
  <si>
    <t>Tiempo omitido (ambulancia × 2 jornadas en actividad de 3 jornadas)</t>
  </si>
  <si>
    <t>Ambulancia Act. 7 Engatidunt: D=1, F=2; la actividad tiene 3 jornadas (F=3 en sus demás ítems)</t>
  </si>
  <si>
    <t>F = 3. Aumento: $2,640,000.</t>
  </si>
  <si>
    <t>La cobertura médica debe acompañar todas las jornadas del evento.</t>
  </si>
  <si>
    <t>D217</t>
  </si>
  <si>
    <t>Cantidades inconsistentes entre ítems relacionados (Act. 7)</t>
  </si>
  <si>
    <t>Refrigerios D217 = 190; Agua D216 = 360 (el texto fija 2 unidades por participante ⇒ 180 participantes)</t>
  </si>
  <si>
    <t>D217 = 180 participantes. Reducción: $274,790.</t>
  </si>
  <si>
    <t>Agua (360 = 2 × 180) y certificados/medallas (54 = 18 categorías × 3) parten de 180 participantes; el refrigerio debe coincidir.</t>
  </si>
  <si>
    <t>D292</t>
  </si>
  <si>
    <t>Cantidad no concuerda con la descripción</t>
  </si>
  <si>
    <t>BONOS-INCENTIVOS: D=6 × $20.000.000 = $120.000.000</t>
  </si>
  <si>
    <t>D292 = 3. Reducción: $60,000,000 (3 × $20.000.000 = $60.000.000).</t>
  </si>
  <si>
    <t>El texto del ítem fija 3 organizaciones con $20.000.000 cada una, según la meta 2026.</t>
  </si>
  <si>
    <t>F7</t>
  </si>
  <si>
    <t>Cantidad insuficiente frente a los participantes programados</t>
  </si>
  <si>
    <t>Póliza de accidentes: F7 = 2800 personas (valor fijo)</t>
  </si>
  <si>
    <t>F7 = suma de participantes del detalle (fórmula): Persona Mayor 650×4 + Vacaciones 500 (tope del Anexo) + Canicross + Plogging + Ciclística + Atlética 800×2 + Engatidunt + Primera Infancia + El Tomás.</t>
  </si>
  <si>
    <t>La póliza debe cubrir a todos los participantes; ahora se actualiza sola si cambian las cantidades. Los 500 de Vacaciones son el tope definido en el Anexo (única constante).</t>
  </si>
  <si>
    <t>H103, J103, L103</t>
  </si>
  <si>
    <t>Error en fórmula (segunda base copiada de otra fila)</t>
  </si>
  <si>
    <t>Fórmulas originales: =+(60000*5.35%)+32353; =+(89250*5.35%)+23109; =+(99900*5.35%)+25210</t>
  </si>
  <si>
    <t>Fórmulas con la misma base en ambos términos (=(X*5,35%)+X), igual que el resto del archivo.</t>
  </si>
  <si>
    <t>Las segundas bases (32.353 / 23.109 / 25.210) son exactamente las de GUANTE DE CARNAZA (fila 101) y GUANTE DE NITRILO (fila 102): copiadas por error. Las bases propias de las lonas son 60.000 / 89.250 / 99.900.</t>
  </si>
  <si>
    <t>No (se sugiere verificar contra la cotización)</t>
  </si>
  <si>
    <t>H328:S328</t>
  </si>
  <si>
    <t>Ítem sin valor unitario</t>
  </si>
  <si>
    <t>Alquiler de Escenario Deportivo (160 horas, NO OFERTABLE): sin cotización; S328 = 0</t>
  </si>
  <si>
    <t>No se modificó.</t>
  </si>
  <si>
    <t>Si el ítem forma parte del presupuesto debe cotizarse; hoy aporta $0 al total.</t>
  </si>
  <si>
    <t>SÍ – definir valor o excluir</t>
  </si>
  <si>
    <t>D299, D308, D315, D324</t>
  </si>
  <si>
    <t>Cantidades frente a la meta (Capacitar 150 personas)</t>
  </si>
  <si>
    <t>Uniformes: Fútbol 210, Discapacidad 210, Baloncesto 64, Taekwondo 100 (total 584) frente a una meta de 150 personas</t>
  </si>
  <si>
    <t>Puede responder a escuelas ya existentes, pero supera la meta; confirmar con el Anexo Técnico.</t>
  </si>
  <si>
    <t>SÍ – confirmar</t>
  </si>
  <si>
    <t>A163</t>
  </si>
  <si>
    <t>Numeración de ítem repetida</t>
  </si>
  <si>
    <t>Ítem "130" aparece en F146 (Arco inflable) y A163 (Identificación de participantes)</t>
  </si>
  <si>
    <t>Error de numeración; no afecta cálculos.</t>
  </si>
  <si>
    <t>No (cosmético)</t>
  </si>
  <si>
    <t>VALORES METAS</t>
  </si>
  <si>
    <t>F9:F16</t>
  </si>
  <si>
    <t>Rótulos de actividad no coinciden con la hoja de detalle</t>
  </si>
  <si>
    <t>F9: ACTIVIDAD 3. CARRERA DE CANICROSS ENGATIVA; F10: ACTIVIDAD 3. REALIZAR LA CARRERA PLOGGING ENG; F11: ACTIVIDAD N° 4. CARRERA CICLISTICA ENGATIVA; F12: ACTIVIDAD N° 5 CARRERA ATLETICA ENGATIVA 10K ; F13: ACTIVIDAD No. 6 REALIZAR EL EVENTO ENGATIDUNT; F14: DOTACION CASA GARCES NAVAS; F15: ACTIVIDAD No. 8 - P.P. 44916-JUGAMOS CON LA P; F16: ACTIVIDAD No. 9 - P.P. 48906 - EL TOMAS UN TE</t>
  </si>
  <si>
    <t>Rótulos alineados con los encabezados de la hoja ESPECIFICACIONES (Actividades 3 a 10; "3K" y no "10K").</t>
  </si>
  <si>
    <t>La numeración estaba corrida respecto al detalle (p. ej., dos "Actividad 3", "10K" frente a "3K"). Solo cambia el texto; los vínculos a valores no cambian.</t>
  </si>
  <si>
    <t>I17</t>
  </si>
  <si>
    <t>Suma incompleta (omitía el Banco de iniciativas)</t>
  </si>
  <si>
    <t>Fórmula =H17+H18+H24 = $2.924.397.682 frente al total del detalle de $3.220.197.712</t>
  </si>
  <si>
    <t>I17 ahora enlaza al TOTAL GENERAL POR METAS del consolidado (H51).</t>
  </si>
  <si>
    <t>La fórmula original sumaba Meta 1 + Otras escuelas + escuelas (H17+H18+H24) y dejaba por fuera la Actividad 1 Banco de iniciativas ($295.800.030). Diferencia exacta con el total de ESPECIFICACIONES.</t>
  </si>
  <si>
    <t>F6:H24</t>
  </si>
  <si>
    <t>Omisión de componente en la hoja de metas</t>
  </si>
  <si>
    <t>El bloque de iniciativas deportivas (equipo, jurados y bonos; ESPECIFICACIONES X282/Y282 = $295.800.030) no estaba vinculado en VALORES METAS</t>
  </si>
  <si>
    <t>Se agregó en el consolidado (fila 41) asignado a la Meta 1 (2.800 personas), junto con las Actividades 9 y 10.</t>
  </si>
  <si>
    <t>Confirmado por el responsable: hace parte de la meta de beneficiar 2.800 personas.</t>
  </si>
  <si>
    <t>F18</t>
  </si>
  <si>
    <t>Rótulo de la bolsa de la fila 331</t>
  </si>
  <si>
    <t>OTRAS ESCUELAS DEPORTIVAS</t>
  </si>
  <si>
    <t>Rótulo: BANCO DE INICIATIVAS DEPORTIVAS – BOLSA (fila 331); sigue en la meta Beneficiar 3 colectivos.</t>
  </si>
  <si>
    <t>Confirmado por el responsable: la fila 331 es el banco de iniciativas de la meta de 3 colectivos.</t>
  </si>
  <si>
    <t>A284 / A293</t>
  </si>
  <si>
    <t>Encabezado de meta mal ubicado</t>
  </si>
  <si>
    <t>La fila 284 decía "4.2.4 Capacitar 150 personas" justo antes del bloque de iniciativas (filas 285-292)</t>
  </si>
  <si>
    <t>A284 ahora indica la Meta 1 (Beneficiar 2800 personas); el encabezado "4.2.4 Capacitar 150 personas" pasó a la fila 293, antes de las escuelas deportivas.</t>
  </si>
  <si>
    <t>Las iniciativas (285-292) hacen parte de la meta de 2.800; el rótulo de Capacitar 150 aplica a las escuelas deportivas (295-328).</t>
  </si>
  <si>
    <t>ÍTEMS CON DESVIACIÓN &gt; 25 % ENTRE COTIZACIONES (para validación; no se modificó ningún precio)</t>
  </si>
  <si>
    <t>Fila</t>
  </si>
  <si>
    <t>Ítem</t>
  </si>
  <si>
    <t>Cotizaciones (valor unitario)</t>
  </si>
  <si>
    <t>Mediana</t>
  </si>
  <si>
    <t>Desviación máx.</t>
  </si>
  <si>
    <t>Total mediana</t>
  </si>
  <si>
    <t>8,992 / 15,290 / 12,000</t>
  </si>
  <si>
    <t>71,459 / 52,027 / 41,492</t>
  </si>
  <si>
    <t>350,000 / 200,000 / 215,000</t>
  </si>
  <si>
    <t>504,202 / 180,000 / 369,560</t>
  </si>
  <si>
    <t>57,000 / 43,720 / 43,720</t>
  </si>
  <si>
    <t>34,084 / 34,084 / 23,824</t>
  </si>
  <si>
    <t>33,613 / 54,538 / 54,538</t>
  </si>
  <si>
    <t>831,933 / 487,395 / 462,185</t>
  </si>
  <si>
    <t>210,000 / 210,000 / 108,319</t>
  </si>
  <si>
    <t>149,580 / 150,000 / 209,048</t>
  </si>
  <si>
    <t>672 / 504 / 294</t>
  </si>
  <si>
    <t>15,126 / 10,084 / 15,126</t>
  </si>
  <si>
    <t xml:space="preserve">La contratación se estructura bajo la modalidad de bolsa de monto agotable, la cual deberá comprender, entre otros, el suministro, alquiler, operación, coordinación y ejecución de los bienes y servicios requeridos para el desarrollo de las Vacaciones Recreativas dirigidas a los niños, niñas y adolescentes de la localidad de Engativá y sus cuidadores, de acuerdo con las necesidades definidas por la supervisión del contrato y hasta agotar los recursos disponibles.
Dentro de los bienes y servicios se incluirán, entre otros: servicios logísticos y operativos para el desarrollo de las jornadas en los escenarios de la localidad de Engativá y en la salida recreativa del tercer día; gestión, reserva y alquiler de escenarios recreativos, deportivos, culturales y de entretenimiento (parques, escenarios deportivos, centros recreativos, salas de cine, boleras y espacios similares), así como del escenario de la salida del tercer día (parque recreativo, granja interactiva, centro recreativo, parque temático o escenario campestre); transporte terrestre para los desplazamientos entre escenarios y para la salida del tercer día, incluyendo ida y regreso desde y hacia la Alcaldía Local de Engativá; personal de coordinación general y de grupo, recreadores e instructores, monitores de manipulación de alimentos y personal de apoyo logístico; actividades recreativas, lúdicas, deportivas, artísticas, culturales y de psicomotricidad diferenciadas por grupo etario 600 niños niñas y adololescentes ( 5 a 11 años y 12 a 17 años), incluyendo juegos tradicionales, manualidades, circuitos de psicomotricidad, actividades cooperativas y de exploración, deportes, retos recreativos, actividades de liderazgo y campamento diurno sin pernoctación; suministro de materiales pedagógicos, recreativos, deportivos y fungibles, incluidos kits de manualidades y elementos deportivos; suministro de alimentación (refrigerios y almuerzo) e hidratación para los participantes durante las tres jornadas; suministro de gorras y elementos de identificación para participantes y cuidadores; servicios de registro, inscripción, caracterización y control de asistencia; piezas gráficas, señalización y material informativo de la actividad; registro fotográfico y audiovisual de la ejecución; servicios de primeros auxilios y atención prehospitalaria, incluyendo personal de salud, botiquines y, cuando se requiera, ambulancia; servicios de seguridad, control de aforo y de ingreso/salida de participantes, permisos y trámites requeridos ante los escenarios y las autoridades competentes; y demás elementos necesarios para garantizar la adecuada ejecución de la actividad, la seguridad de los participantes y cuidadores, y el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</si>
</sst>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240A]\ * #,##0_-;\-[$$-240A]\ * #,##0_-;_-[$$-240A]\ * \-_-;_-@_-"/>
    <numFmt numFmtId="165" formatCode="_-&quot;$ &quot;* #,##0_-;&quot;-$ &quot;* #,##0_-;_-&quot;$ &quot;* \-_-;_-@_-"/>
    <numFmt numFmtId="166" formatCode="_-&quot;$ &quot;* #,##0_-;&quot;-$ &quot;* #,##0_-;_-&quot;$ &quot;* \-??_-;_-@_-"/>
    <numFmt numFmtId="167" formatCode="_-[$$-240A]\ * #,##0_-;\-[$$-240A]\ * #,##0_-;_-[$$-240A]\ * \-??_-;_-@_-"/>
    <numFmt numFmtId="168" formatCode="&quot;$ &quot;#,##0;[Red]&quot;-$ &quot;#,##0"/>
    <numFmt numFmtId="169" formatCode="_-* #,##0_-;\-* #,##0_-;_-* \-??_-;_-@_-"/>
    <numFmt numFmtId="170" formatCode="_-[$$-409]* #,##0_ ;_-[$$-409]* \-#,##0\ ;_-[$$-409]* \-??_ ;_-@_ "/>
    <numFmt numFmtId="171" formatCode="_-&quot;$ &quot;* #,##0_-;&quot;-$  &quot;* #,##0_-;_-&quot;$ &quot;* \-??_-;_-@_-"/>
  </numFmts>
  <fonts count="33">
    <font>
      <sz val="12"/>
      <color theme="1"/>
      <name val="Calibri"/>
      <family val="2"/>
      <charset val="1"/>
    </font>
    <font>
      <sz val="11"/>
      <color theme="1"/>
      <name val="Calibri"/>
      <family val="2"/>
      <charset val="1"/>
    </font>
    <font>
      <sz val="10"/>
      <name val="Arial"/>
      <family val="2"/>
      <charset val="1"/>
    </font>
    <font>
      <b/>
      <sz val="22"/>
      <color theme="1"/>
      <name val="Calibri"/>
      <family val="2"/>
      <charset val="1"/>
    </font>
    <font>
      <b/>
      <sz val="16"/>
      <color theme="1"/>
      <name val="Calibri"/>
      <family val="2"/>
      <charset val="1"/>
    </font>
    <font>
      <b/>
      <sz val="11"/>
      <color theme="1"/>
      <name val="Calibri"/>
      <family val="2"/>
      <charset val="1"/>
    </font>
    <font>
      <u/>
      <sz val="12"/>
      <color theme="10"/>
      <name val="Calibri"/>
      <family val="2"/>
      <charset val="1"/>
    </font>
    <font>
      <b/>
      <sz val="12"/>
      <color theme="1"/>
      <name val="Calibri"/>
      <family val="2"/>
      <charset val="1"/>
    </font>
    <font>
      <b/>
      <sz val="12"/>
      <color theme="1"/>
      <name val="Arial Narrow"/>
      <family val="2"/>
      <charset val="1"/>
    </font>
    <font>
      <sz val="12"/>
      <color theme="1"/>
      <name val="Times New Roman"/>
      <family val="1"/>
      <charset val="1"/>
    </font>
    <font>
      <b/>
      <sz val="12"/>
      <color theme="1"/>
      <name val="Times New Roman"/>
      <family val="1"/>
      <charset val="1"/>
    </font>
    <font>
      <sz val="12"/>
      <color theme="1"/>
      <name val="Garamond"/>
      <family val="1"/>
      <charset val="1"/>
    </font>
    <font>
      <sz val="11"/>
      <color theme="1"/>
      <name val="Times New Roman"/>
      <family val="1"/>
      <charset val="1"/>
    </font>
    <font>
      <b/>
      <sz val="11"/>
      <color theme="1"/>
      <name val="Cambria"/>
      <family val="1"/>
      <charset val="1"/>
    </font>
    <font>
      <b/>
      <sz val="12"/>
      <color theme="1"/>
      <name val="Garamond"/>
      <family val="1"/>
      <charset val="1"/>
    </font>
    <font>
      <sz val="10"/>
      <color theme="1"/>
      <name val="Garamond"/>
      <family val="1"/>
      <charset val="1"/>
    </font>
    <font>
      <sz val="12"/>
      <color theme="1"/>
      <name val="Arial Narrow"/>
      <family val="2"/>
      <charset val="1"/>
    </font>
    <font>
      <b/>
      <sz val="10"/>
      <color theme="1"/>
      <name val="Garamond"/>
      <family val="1"/>
      <charset val="1"/>
    </font>
    <font>
      <sz val="12"/>
      <color theme="1"/>
      <name val="Arial"/>
      <family val="2"/>
      <charset val="1"/>
    </font>
    <font>
      <sz val="11"/>
      <color theme="1"/>
      <name val="Aptos Narrow"/>
      <charset val="1"/>
    </font>
    <font>
      <sz val="11"/>
      <color theme="1"/>
      <name val="Aptos Narrow"/>
      <family val="2"/>
      <charset val="1"/>
    </font>
    <font>
      <b/>
      <sz val="11"/>
      <color rgb="FF9C0006"/>
      <name val="Cambria"/>
      <family val="1"/>
    </font>
    <font>
      <b/>
      <sz val="18"/>
      <color theme="0"/>
      <name val="Arial Narrow"/>
      <family val="2"/>
      <charset val="1"/>
    </font>
    <font>
      <b/>
      <sz val="18"/>
      <color theme="1"/>
      <name val="Arial Narrow"/>
      <family val="2"/>
      <charset val="1"/>
    </font>
    <font>
      <sz val="11"/>
      <color rgb="FF000000"/>
      <name val="Garamond"/>
      <family val="1"/>
      <charset val="1"/>
    </font>
    <font>
      <sz val="11"/>
      <color theme="1"/>
      <name val="Garamond"/>
      <family val="1"/>
      <charset val="1"/>
    </font>
    <font>
      <b/>
      <sz val="12"/>
      <name val="Cambria"/>
      <family val="1"/>
    </font>
    <font>
      <b/>
      <sz val="11"/>
      <color rgb="FFFFFFFF"/>
      <name val="Cambria"/>
      <family val="1"/>
    </font>
    <font>
      <b/>
      <sz val="11"/>
      <name val="Cambria"/>
      <family val="1"/>
    </font>
    <font>
      <b/>
      <sz val="11"/>
      <color theme="1"/>
      <name val="Garamond"/>
      <family val="1"/>
      <charset val="1"/>
    </font>
    <font>
      <b/>
      <sz val="13"/>
      <name val="Cambria"/>
      <family val="1"/>
    </font>
    <font>
      <b/>
      <sz val="12"/>
      <color theme="0"/>
      <name val="Calibri"/>
      <family val="2"/>
      <charset val="1"/>
    </font>
    <font>
      <sz val="12"/>
      <color theme="0"/>
      <name val="Calibri"/>
      <family val="2"/>
      <charset val="1"/>
    </font>
  </fonts>
  <fills count="36">
    <fill>
      <patternFill patternType="none"/>
    </fill>
    <fill>
      <patternFill patternType="gray125"/>
    </fill>
    <fill>
      <patternFill patternType="solid">
        <fgColor theme="0" tint="-0.14999847407452621"/>
        <bgColor rgb="FFBDD7EE"/>
      </patternFill>
    </fill>
    <fill>
      <patternFill patternType="solid">
        <fgColor theme="0"/>
        <bgColor rgb="FFF2F2F2"/>
      </patternFill>
    </fill>
    <fill>
      <patternFill patternType="solid">
        <fgColor theme="4" tint="-0.249977111117893"/>
        <bgColor rgb="FF2E75B6"/>
      </patternFill>
    </fill>
    <fill>
      <patternFill patternType="solid">
        <fgColor theme="4" tint="0.39957884456923126"/>
        <bgColor rgb="FFADB9CA"/>
      </patternFill>
    </fill>
    <fill>
      <patternFill patternType="solid">
        <fgColor theme="8" tint="-0.249977111117893"/>
        <bgColor rgb="FF4472C4"/>
      </patternFill>
    </fill>
    <fill>
      <patternFill patternType="solid">
        <fgColor theme="2" tint="-0.249977111117893"/>
        <bgColor rgb="FFADB9CA"/>
      </patternFill>
    </fill>
    <fill>
      <patternFill patternType="solid">
        <fgColor rgb="FF7030A0"/>
        <bgColor rgb="FF800080"/>
      </patternFill>
    </fill>
    <fill>
      <patternFill patternType="solid">
        <fgColor theme="7"/>
        <bgColor rgb="FFFFD966"/>
      </patternFill>
    </fill>
    <fill>
      <patternFill patternType="solid">
        <fgColor theme="7" tint="0.39957884456923126"/>
        <bgColor rgb="FFFFE699"/>
      </patternFill>
    </fill>
    <fill>
      <patternFill patternType="solid">
        <fgColor theme="7" tint="0.79979857783745845"/>
        <bgColor rgb="FFFBE5D6"/>
      </patternFill>
    </fill>
    <fill>
      <patternFill patternType="solid">
        <fgColor rgb="FFC6C0FF"/>
        <bgColor rgb="FFBDD7EE"/>
      </patternFill>
    </fill>
    <fill>
      <patternFill patternType="solid">
        <fgColor theme="9" tint="0.59959715567491678"/>
        <bgColor rgb="FFD9D9D9"/>
      </patternFill>
    </fill>
    <fill>
      <patternFill patternType="solid">
        <fgColor rgb="FFFFC0DC"/>
        <bgColor rgb="FFFFC7CE"/>
      </patternFill>
    </fill>
    <fill>
      <patternFill patternType="solid">
        <fgColor rgb="FFFF8389"/>
        <bgColor rgb="FFFF8CFD"/>
      </patternFill>
    </fill>
    <fill>
      <patternFill patternType="solid">
        <fgColor rgb="FFBDD7EE"/>
        <bgColor rgb="FFD9D9D9"/>
      </patternFill>
    </fill>
    <fill>
      <patternFill patternType="solid">
        <fgColor theme="9" tint="0.79979857783745845"/>
        <bgColor rgb="FFE2EFDA"/>
      </patternFill>
    </fill>
    <fill>
      <patternFill patternType="solid">
        <fgColor theme="5" tint="0.59959715567491678"/>
        <bgColor rgb="FFFFC7CE"/>
      </patternFill>
    </fill>
    <fill>
      <patternFill patternType="solid">
        <fgColor rgb="FFFF0000"/>
        <bgColor rgb="FF9C0006"/>
      </patternFill>
    </fill>
    <fill>
      <patternFill patternType="solid">
        <fgColor theme="4"/>
        <bgColor rgb="FF2E75B6"/>
      </patternFill>
    </fill>
    <fill>
      <patternFill patternType="solid">
        <fgColor theme="5" tint="0.79989013336588644"/>
        <bgColor rgb="FFFFF2CC"/>
      </patternFill>
    </fill>
    <fill>
      <patternFill patternType="solid">
        <fgColor rgb="FF00B050"/>
        <bgColor rgb="FF008080"/>
      </patternFill>
    </fill>
    <fill>
      <patternFill patternType="solid">
        <fgColor rgb="FFFFFF00"/>
        <bgColor rgb="FFFFD966"/>
      </patternFill>
    </fill>
    <fill>
      <patternFill patternType="solid">
        <fgColor theme="5" tint="-0.249977111117893"/>
        <bgColor rgb="FF993300"/>
      </patternFill>
    </fill>
    <fill>
      <patternFill patternType="solid">
        <fgColor rgb="FFFFE699"/>
        <bgColor rgb="FFFFF2CC"/>
      </patternFill>
    </fill>
    <fill>
      <patternFill patternType="solid">
        <fgColor rgb="FF92D050"/>
        <bgColor rgb="FFAFABAB"/>
      </patternFill>
    </fill>
    <fill>
      <patternFill patternType="solid">
        <fgColor theme="0" tint="-4.9989318521683403E-2"/>
        <bgColor rgb="FFE2EFDA"/>
      </patternFill>
    </fill>
    <fill>
      <patternFill patternType="solid">
        <fgColor rgb="FFA8F5FF"/>
        <bgColor rgb="FFBDD7EE"/>
      </patternFill>
    </fill>
    <fill>
      <patternFill patternType="solid">
        <fgColor rgb="FFFFC7CE"/>
        <bgColor rgb="FFFFC0DC"/>
      </patternFill>
    </fill>
    <fill>
      <patternFill patternType="solid">
        <fgColor rgb="FFB17BB8"/>
        <bgColor rgb="FFA27094"/>
      </patternFill>
    </fill>
    <fill>
      <patternFill patternType="solid">
        <fgColor theme="1" tint="4.9897762993255407E-2"/>
        <bgColor rgb="FF000000"/>
      </patternFill>
    </fill>
    <fill>
      <patternFill patternType="solid">
        <fgColor rgb="FFFAC9FF"/>
        <bgColor rgb="FFFFC0DC"/>
      </patternFill>
    </fill>
    <fill>
      <patternFill patternType="solid">
        <fgColor theme="3" tint="0.59987182226020086"/>
        <bgColor rgb="FFAFABAB"/>
      </patternFill>
    </fill>
    <fill>
      <patternFill patternType="solid">
        <fgColor rgb="FF1F3864"/>
        <bgColor rgb="FF333333"/>
      </patternFill>
    </fill>
    <fill>
      <patternFill patternType="solid">
        <fgColor rgb="FFE2EFDA"/>
        <bgColor rgb="FFE2F0D9"/>
      </patternFill>
    </fill>
  </fills>
  <borders count="31">
    <border>
      <left/>
      <right/>
      <top/>
      <bottom/>
      <diagonal/>
    </border>
    <border>
      <left/>
      <right/>
      <top/>
      <bottom style="medium">
        <color auto="1"/>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style="medium">
        <color auto="1"/>
      </left>
      <right style="medium">
        <color auto="1"/>
      </right>
      <top/>
      <bottom style="medium">
        <color auto="1"/>
      </bottom>
      <diagonal/>
    </border>
    <border>
      <left/>
      <right style="medium">
        <color auto="1"/>
      </right>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medium">
        <color auto="1"/>
      </bottom>
      <diagonal/>
    </border>
    <border>
      <left/>
      <right style="thin">
        <color auto="1"/>
      </right>
      <top style="thin">
        <color auto="1"/>
      </top>
      <bottom style="medium">
        <color auto="1"/>
      </bottom>
      <diagonal/>
    </border>
    <border>
      <left/>
      <right style="thin">
        <color auto="1"/>
      </right>
      <top style="thin">
        <color auto="1"/>
      </top>
      <bottom/>
      <diagonal/>
    </border>
    <border>
      <left/>
      <right style="thin">
        <color auto="1"/>
      </right>
      <top/>
      <bottom style="thin">
        <color auto="1"/>
      </bottom>
      <diagonal/>
    </border>
    <border>
      <left style="thin">
        <color auto="1"/>
      </left>
      <right/>
      <top/>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bottom/>
      <diagonal/>
    </border>
    <border>
      <left style="medium">
        <color auto="1"/>
      </left>
      <right style="thin">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s>
  <cellStyleXfs count="4">
    <xf numFmtId="0" fontId="0" fillId="0" borderId="0"/>
    <xf numFmtId="0" fontId="1" fillId="0" borderId="0"/>
    <xf numFmtId="0" fontId="1" fillId="0" borderId="0"/>
    <xf numFmtId="0" fontId="2" fillId="0" borderId="0"/>
  </cellStyleXfs>
  <cellXfs count="327">
    <xf numFmtId="0" fontId="0" fillId="0" borderId="0" xfId="0"/>
    <xf numFmtId="0" fontId="0" fillId="0" borderId="0" xfId="0" applyAlignment="1">
      <alignment horizontal="center"/>
    </xf>
    <xf numFmtId="0" fontId="3" fillId="0" borderId="0" xfId="0" applyFont="1"/>
    <xf numFmtId="0" fontId="4" fillId="0" borderId="0" xfId="0" applyFont="1"/>
    <xf numFmtId="0" fontId="5" fillId="2" borderId="2" xfId="0" applyFont="1" applyFill="1" applyBorder="1" applyAlignment="1">
      <alignment horizontal="left" vertical="center"/>
    </xf>
    <xf numFmtId="0" fontId="5" fillId="2" borderId="4" xfId="0" applyFont="1" applyFill="1" applyBorder="1" applyAlignment="1">
      <alignment horizontal="left" vertical="center" wrapText="1"/>
    </xf>
    <xf numFmtId="0" fontId="5" fillId="2" borderId="5" xfId="0" applyFont="1" applyFill="1" applyBorder="1"/>
    <xf numFmtId="0" fontId="5" fillId="2" borderId="6" xfId="0" applyFont="1" applyFill="1" applyBorder="1"/>
    <xf numFmtId="0" fontId="5" fillId="2" borderId="7" xfId="0" applyFont="1" applyFill="1" applyBorder="1"/>
    <xf numFmtId="0" fontId="0" fillId="0" borderId="5" xfId="0" applyBorder="1" applyAlignment="1">
      <alignment horizontal="center"/>
    </xf>
    <xf numFmtId="0" fontId="0" fillId="0" borderId="8" xfId="0" applyBorder="1" applyAlignment="1">
      <alignment horizontal="center"/>
    </xf>
    <xf numFmtId="0" fontId="0" fillId="0" borderId="7" xfId="0" applyBorder="1"/>
    <xf numFmtId="0" fontId="0" fillId="0" borderId="9" xfId="0" applyBorder="1" applyAlignment="1">
      <alignment horizontal="center"/>
    </xf>
    <xf numFmtId="0" fontId="0" fillId="0" borderId="4" xfId="0" applyBorder="1" applyAlignment="1">
      <alignment horizontal="center"/>
    </xf>
    <xf numFmtId="0" fontId="0" fillId="0" borderId="10" xfId="0" applyBorder="1"/>
    <xf numFmtId="0" fontId="0" fillId="0" borderId="11" xfId="0" applyBorder="1" applyAlignment="1">
      <alignment horizontal="center"/>
    </xf>
    <xf numFmtId="0" fontId="0" fillId="0" borderId="12" xfId="0" applyBorder="1" applyAlignment="1">
      <alignment horizontal="center"/>
    </xf>
    <xf numFmtId="0" fontId="0" fillId="0" borderId="13" xfId="0" applyBorder="1"/>
    <xf numFmtId="0" fontId="0" fillId="0" borderId="0" xfId="0" applyAlignment="1">
      <alignment horizontal="left" vertical="center"/>
    </xf>
    <xf numFmtId="0" fontId="0" fillId="0" borderId="0" xfId="0" applyAlignment="1">
      <alignment wrapText="1"/>
    </xf>
    <xf numFmtId="0" fontId="0" fillId="0" borderId="0" xfId="0" applyAlignment="1">
      <alignment horizontal="center" vertical="center"/>
    </xf>
    <xf numFmtId="164" fontId="0" fillId="3" borderId="0" xfId="0" applyNumberFormat="1" applyFill="1"/>
    <xf numFmtId="0" fontId="0" fillId="3" borderId="0" xfId="0" applyFill="1"/>
    <xf numFmtId="0" fontId="0" fillId="0" borderId="0" xfId="0" applyAlignment="1">
      <alignment horizontal="center" vertical="center" wrapText="1"/>
    </xf>
    <xf numFmtId="0" fontId="7" fillId="4" borderId="14" xfId="0" applyFont="1" applyFill="1" applyBorder="1" applyAlignment="1">
      <alignment horizontal="center" wrapText="1"/>
    </xf>
    <xf numFmtId="0" fontId="7" fillId="5" borderId="14" xfId="0" applyFont="1" applyFill="1" applyBorder="1" applyAlignment="1">
      <alignment horizontal="center" vertical="center" wrapText="1"/>
    </xf>
    <xf numFmtId="0" fontId="0" fillId="11" borderId="14" xfId="0" applyFill="1" applyBorder="1" applyAlignment="1">
      <alignment horizontal="center" vertical="center"/>
    </xf>
    <xf numFmtId="0" fontId="9" fillId="12" borderId="14" xfId="0" applyFont="1" applyFill="1" applyBorder="1" applyAlignment="1">
      <alignment horizontal="left" vertical="center" wrapText="1"/>
    </xf>
    <xf numFmtId="0" fontId="0" fillId="12" borderId="14" xfId="0" applyFill="1" applyBorder="1" applyAlignment="1">
      <alignment horizontal="center" vertical="center" wrapText="1"/>
    </xf>
    <xf numFmtId="167" fontId="0" fillId="12" borderId="14" xfId="0" applyNumberFormat="1" applyFill="1" applyBorder="1" applyAlignment="1">
      <alignment horizontal="center" vertical="center" wrapText="1"/>
    </xf>
    <xf numFmtId="9" fontId="0" fillId="12" borderId="14" xfId="0" applyNumberFormat="1" applyFill="1" applyBorder="1" applyAlignment="1">
      <alignment horizontal="center" vertical="center" wrapText="1"/>
    </xf>
    <xf numFmtId="0" fontId="7" fillId="3" borderId="14" xfId="0" applyFont="1" applyFill="1" applyBorder="1" applyAlignment="1">
      <alignment horizontal="center" vertical="center" wrapText="1"/>
    </xf>
    <xf numFmtId="0" fontId="0" fillId="3" borderId="14" xfId="0" applyFont="1" applyFill="1" applyBorder="1" applyAlignment="1">
      <alignment vertical="center" wrapText="1"/>
    </xf>
    <xf numFmtId="0" fontId="0" fillId="11" borderId="14" xfId="0" applyFill="1" applyBorder="1" applyAlignment="1">
      <alignment horizontal="center" vertical="center" wrapText="1"/>
    </xf>
    <xf numFmtId="0" fontId="10" fillId="12" borderId="14" xfId="0" applyFont="1" applyFill="1" applyBorder="1" applyAlignment="1">
      <alignment horizontal="left" vertical="center" wrapText="1"/>
    </xf>
    <xf numFmtId="0" fontId="0" fillId="11" borderId="15" xfId="0" applyFill="1" applyBorder="1" applyAlignment="1">
      <alignment horizontal="center" vertical="center"/>
    </xf>
    <xf numFmtId="0" fontId="10" fillId="12" borderId="15" xfId="0" applyFont="1" applyFill="1" applyBorder="1" applyAlignment="1">
      <alignment horizontal="left" vertical="center" wrapText="1"/>
    </xf>
    <xf numFmtId="0" fontId="0" fillId="12" borderId="15" xfId="0" applyFill="1" applyBorder="1" applyAlignment="1">
      <alignment horizontal="center" vertical="center" wrapText="1"/>
    </xf>
    <xf numFmtId="167" fontId="0" fillId="12" borderId="15" xfId="0" applyNumberFormat="1" applyFill="1" applyBorder="1" applyAlignment="1">
      <alignment horizontal="center" vertical="center" wrapText="1"/>
    </xf>
    <xf numFmtId="9" fontId="0" fillId="12" borderId="15" xfId="0" applyNumberFormat="1" applyFill="1" applyBorder="1" applyAlignment="1">
      <alignment horizontal="center" vertical="center" wrapText="1"/>
    </xf>
    <xf numFmtId="167" fontId="0" fillId="0" borderId="0" xfId="0" applyNumberFormat="1"/>
    <xf numFmtId="0" fontId="7" fillId="13" borderId="16" xfId="0" applyFont="1" applyFill="1" applyBorder="1" applyAlignment="1">
      <alignment horizontal="center" vertical="center" wrapText="1"/>
    </xf>
    <xf numFmtId="0" fontId="7" fillId="13" borderId="17" xfId="0" applyFont="1" applyFill="1" applyBorder="1" applyAlignment="1">
      <alignment vertical="center" wrapText="1"/>
    </xf>
    <xf numFmtId="0" fontId="7" fillId="13" borderId="17" xfId="0" applyFont="1" applyFill="1" applyBorder="1" applyAlignment="1">
      <alignment horizontal="center" vertical="center" wrapText="1"/>
    </xf>
    <xf numFmtId="0" fontId="7" fillId="13" borderId="18" xfId="0" applyFont="1" applyFill="1" applyBorder="1" applyAlignment="1">
      <alignment vertical="center" wrapText="1"/>
    </xf>
    <xf numFmtId="0" fontId="7" fillId="14" borderId="16" xfId="0" applyFont="1" applyFill="1" applyBorder="1" applyAlignment="1">
      <alignment horizontal="center" vertical="center" wrapText="1"/>
    </xf>
    <xf numFmtId="0" fontId="7" fillId="14" borderId="17" xfId="0" applyFont="1" applyFill="1" applyBorder="1" applyAlignment="1">
      <alignment vertical="center" wrapText="1"/>
    </xf>
    <xf numFmtId="0" fontId="7" fillId="14" borderId="18" xfId="0" applyFont="1" applyFill="1" applyBorder="1" applyAlignment="1">
      <alignment vertical="center" wrapText="1"/>
    </xf>
    <xf numFmtId="0" fontId="7" fillId="10" borderId="19" xfId="0" applyFont="1" applyFill="1" applyBorder="1" applyAlignment="1">
      <alignment vertical="center" wrapText="1"/>
    </xf>
    <xf numFmtId="0" fontId="0" fillId="0" borderId="14" xfId="0" applyBorder="1" applyAlignment="1">
      <alignment horizontal="center" vertical="center"/>
    </xf>
    <xf numFmtId="0" fontId="11" fillId="15" borderId="14" xfId="0" applyFont="1" applyFill="1" applyBorder="1" applyAlignment="1">
      <alignment vertical="center" wrapText="1"/>
    </xf>
    <xf numFmtId="0" fontId="0" fillId="15" borderId="14" xfId="0" applyFont="1" applyFill="1" applyBorder="1" applyAlignment="1">
      <alignment horizontal="center" vertical="center"/>
    </xf>
    <xf numFmtId="0" fontId="0" fillId="15" borderId="14" xfId="0" applyFill="1" applyBorder="1" applyAlignment="1">
      <alignment horizontal="center" vertical="center" wrapText="1"/>
    </xf>
    <xf numFmtId="167" fontId="0" fillId="15" borderId="14" xfId="0" applyNumberFormat="1" applyFill="1" applyBorder="1" applyAlignment="1">
      <alignment horizontal="center" vertical="center" wrapText="1"/>
    </xf>
    <xf numFmtId="167" fontId="0" fillId="0" borderId="14" xfId="0" applyNumberFormat="1" applyBorder="1" applyAlignment="1">
      <alignment horizontal="center" vertical="center" wrapText="1"/>
    </xf>
    <xf numFmtId="0" fontId="0" fillId="3" borderId="14" xfId="0" applyFont="1" applyFill="1" applyBorder="1" applyAlignment="1">
      <alignment horizontal="center" vertical="center" wrapText="1"/>
    </xf>
    <xf numFmtId="0" fontId="0" fillId="0" borderId="14" xfId="0" applyBorder="1" applyAlignment="1">
      <alignment horizontal="center" vertical="center" wrapText="1"/>
    </xf>
    <xf numFmtId="0" fontId="11" fillId="16" borderId="14" xfId="0" applyFont="1" applyFill="1" applyBorder="1" applyAlignment="1">
      <alignment vertical="center" wrapText="1"/>
    </xf>
    <xf numFmtId="168" fontId="0" fillId="15" borderId="14" xfId="0" applyNumberFormat="1" applyFill="1" applyBorder="1" applyAlignment="1">
      <alignment horizontal="center" vertical="center" wrapText="1"/>
    </xf>
    <xf numFmtId="168" fontId="0" fillId="0" borderId="14" xfId="0" applyNumberFormat="1" applyBorder="1" applyAlignment="1">
      <alignment horizontal="center" vertical="center" wrapText="1"/>
    </xf>
    <xf numFmtId="0" fontId="7" fillId="10" borderId="14" xfId="0" applyFont="1" applyFill="1" applyBorder="1" applyAlignment="1">
      <alignment vertical="center" wrapText="1"/>
    </xf>
    <xf numFmtId="0" fontId="11" fillId="17" borderId="14" xfId="0" applyFont="1" applyFill="1" applyBorder="1" applyAlignment="1">
      <alignment vertical="center" wrapText="1"/>
    </xf>
    <xf numFmtId="0" fontId="11" fillId="0" borderId="14" xfId="0" applyFont="1" applyBorder="1" applyAlignment="1">
      <alignment vertical="center" wrapText="1"/>
    </xf>
    <xf numFmtId="167" fontId="0" fillId="3" borderId="14" xfId="0" applyNumberFormat="1" applyFill="1" applyBorder="1" applyAlignment="1">
      <alignment horizontal="center" vertical="center" wrapText="1"/>
    </xf>
    <xf numFmtId="167" fontId="0" fillId="3" borderId="16" xfId="0" applyNumberFormat="1" applyFill="1" applyBorder="1" applyAlignment="1">
      <alignment horizontal="center" vertical="center" wrapText="1"/>
    </xf>
    <xf numFmtId="0" fontId="0" fillId="18" borderId="14" xfId="0" applyFont="1" applyFill="1" applyBorder="1" applyAlignment="1">
      <alignment horizontal="center" vertical="center" wrapText="1"/>
    </xf>
    <xf numFmtId="0" fontId="12" fillId="17" borderId="20" xfId="0" applyFont="1" applyFill="1" applyBorder="1" applyAlignment="1">
      <alignment wrapText="1"/>
    </xf>
    <xf numFmtId="0" fontId="12" fillId="3" borderId="21" xfId="0" applyFont="1" applyFill="1" applyBorder="1" applyAlignment="1">
      <alignment wrapText="1"/>
    </xf>
    <xf numFmtId="0" fontId="0" fillId="0" borderId="14" xfId="0" applyFont="1" applyBorder="1" applyAlignment="1">
      <alignment wrapText="1"/>
    </xf>
    <xf numFmtId="0" fontId="0" fillId="0" borderId="18" xfId="0" applyFont="1" applyBorder="1" applyAlignment="1">
      <alignment wrapText="1"/>
    </xf>
    <xf numFmtId="0" fontId="12" fillId="3" borderId="14" xfId="0" applyFont="1" applyFill="1" applyBorder="1" applyAlignment="1">
      <alignment wrapText="1"/>
    </xf>
    <xf numFmtId="169" fontId="0" fillId="0" borderId="14" xfId="0" applyNumberFormat="1" applyBorder="1" applyAlignment="1">
      <alignment horizontal="center" vertical="center" wrapText="1"/>
    </xf>
    <xf numFmtId="167" fontId="0" fillId="13" borderId="14" xfId="0" applyNumberFormat="1" applyFill="1" applyBorder="1" applyAlignment="1">
      <alignment horizontal="center" vertical="center" wrapText="1"/>
    </xf>
    <xf numFmtId="0" fontId="0" fillId="13" borderId="18" xfId="0" applyFont="1" applyFill="1" applyBorder="1" applyAlignment="1">
      <alignment wrapText="1"/>
    </xf>
    <xf numFmtId="0" fontId="0" fillId="18" borderId="18" xfId="0" applyFont="1" applyFill="1" applyBorder="1" applyAlignment="1">
      <alignment wrapText="1"/>
    </xf>
    <xf numFmtId="0" fontId="13" fillId="13" borderId="14" xfId="0" applyFont="1" applyFill="1" applyBorder="1" applyAlignment="1">
      <alignment vertical="center" wrapText="1"/>
    </xf>
    <xf numFmtId="167" fontId="13" fillId="13" borderId="14" xfId="0" applyNumberFormat="1" applyFont="1" applyFill="1" applyBorder="1" applyAlignment="1">
      <alignment horizontal="center" vertical="center" wrapText="1"/>
    </xf>
    <xf numFmtId="0" fontId="0" fillId="18" borderId="14" xfId="0" applyFont="1" applyFill="1" applyBorder="1" applyAlignment="1">
      <alignment vertical="center" wrapText="1"/>
    </xf>
    <xf numFmtId="0" fontId="0" fillId="18" borderId="18" xfId="0" applyFont="1" applyFill="1" applyBorder="1" applyAlignment="1">
      <alignment vertical="center" wrapText="1"/>
    </xf>
    <xf numFmtId="0" fontId="0" fillId="13" borderId="18" xfId="0" applyFont="1" applyFill="1" applyBorder="1" applyAlignment="1">
      <alignment vertical="center" wrapText="1"/>
    </xf>
    <xf numFmtId="0" fontId="11" fillId="11" borderId="14" xfId="0" applyFont="1" applyFill="1" applyBorder="1" applyAlignment="1">
      <alignment vertical="center" wrapText="1"/>
    </xf>
    <xf numFmtId="0" fontId="0" fillId="0" borderId="18" xfId="0" applyFont="1" applyBorder="1" applyAlignment="1">
      <alignment horizontal="center" vertical="center" wrapText="1"/>
    </xf>
    <xf numFmtId="0" fontId="14" fillId="17" borderId="2" xfId="0" applyFont="1" applyFill="1" applyBorder="1" applyAlignment="1">
      <alignment vertical="center" wrapText="1"/>
    </xf>
    <xf numFmtId="0" fontId="11" fillId="0" borderId="2" xfId="0" applyFont="1" applyBorder="1" applyAlignment="1">
      <alignment vertical="center" wrapText="1"/>
    </xf>
    <xf numFmtId="0" fontId="11" fillId="0" borderId="2" xfId="0" applyFont="1" applyBorder="1" applyAlignment="1">
      <alignment horizontal="right" vertical="center" wrapText="1"/>
    </xf>
    <xf numFmtId="0" fontId="0" fillId="0" borderId="15" xfId="0" applyFont="1" applyBorder="1" applyAlignment="1">
      <alignment horizontal="center" vertical="center" wrapText="1"/>
    </xf>
    <xf numFmtId="0" fontId="0" fillId="0" borderId="22" xfId="0" applyFont="1" applyBorder="1" applyAlignment="1">
      <alignment horizontal="center" vertical="center" wrapText="1"/>
    </xf>
    <xf numFmtId="0" fontId="13" fillId="19" borderId="14" xfId="0" applyFont="1" applyFill="1" applyBorder="1" applyAlignment="1">
      <alignment horizontal="center" vertical="center" wrapText="1"/>
    </xf>
    <xf numFmtId="0" fontId="0" fillId="3" borderId="14" xfId="0" applyFont="1" applyFill="1" applyBorder="1" applyAlignment="1">
      <alignment horizontal="left" vertical="center" wrapText="1"/>
    </xf>
    <xf numFmtId="0" fontId="0" fillId="0" borderId="14" xfId="0" applyFont="1" applyBorder="1" applyAlignment="1">
      <alignment vertical="center" wrapText="1"/>
    </xf>
    <xf numFmtId="0" fontId="0" fillId="0" borderId="18" xfId="0" applyFont="1" applyBorder="1" applyAlignment="1">
      <alignment vertical="center" wrapText="1"/>
    </xf>
    <xf numFmtId="0" fontId="0" fillId="3" borderId="14" xfId="0" applyFont="1" applyFill="1" applyBorder="1" applyAlignment="1">
      <alignment wrapText="1"/>
    </xf>
    <xf numFmtId="0" fontId="0" fillId="0" borderId="19" xfId="0" applyFont="1" applyBorder="1" applyAlignment="1">
      <alignment wrapText="1"/>
    </xf>
    <xf numFmtId="0" fontId="0" fillId="0" borderId="23" xfId="0" applyFont="1" applyBorder="1" applyAlignment="1">
      <alignment wrapText="1"/>
    </xf>
    <xf numFmtId="0" fontId="14" fillId="17" borderId="8" xfId="0" applyFont="1" applyFill="1" applyBorder="1" applyAlignment="1">
      <alignment vertical="center" wrapText="1"/>
    </xf>
    <xf numFmtId="0" fontId="11" fillId="0" borderId="8" xfId="0" applyFont="1" applyBorder="1" applyAlignment="1">
      <alignment vertical="center" wrapText="1"/>
    </xf>
    <xf numFmtId="0" fontId="11" fillId="0" borderId="8" xfId="0" applyFont="1" applyBorder="1" applyAlignment="1">
      <alignment horizontal="right" vertical="center" wrapText="1"/>
    </xf>
    <xf numFmtId="0" fontId="14" fillId="15" borderId="0" xfId="0" applyFont="1" applyFill="1" applyAlignment="1">
      <alignment vertical="center" wrapText="1"/>
    </xf>
    <xf numFmtId="0" fontId="15" fillId="15" borderId="14" xfId="0" applyFont="1" applyFill="1" applyBorder="1" applyAlignment="1">
      <alignment horizontal="center" vertical="center" wrapText="1"/>
    </xf>
    <xf numFmtId="3" fontId="15" fillId="15" borderId="14" xfId="0" applyNumberFormat="1" applyFont="1" applyFill="1" applyBorder="1" applyAlignment="1">
      <alignment vertical="center" wrapText="1"/>
    </xf>
    <xf numFmtId="0" fontId="15" fillId="16" borderId="14" xfId="0" applyFont="1" applyFill="1" applyBorder="1" applyAlignment="1">
      <alignment vertical="center" wrapText="1"/>
    </xf>
    <xf numFmtId="0" fontId="11" fillId="0" borderId="14" xfId="0" applyFont="1" applyBorder="1" applyAlignment="1">
      <alignment horizontal="right" vertical="center" wrapText="1"/>
    </xf>
    <xf numFmtId="167" fontId="13" fillId="19" borderId="14" xfId="0" applyNumberFormat="1" applyFont="1" applyFill="1" applyBorder="1" applyAlignment="1">
      <alignment horizontal="center" vertical="center" wrapText="1"/>
    </xf>
    <xf numFmtId="167" fontId="13" fillId="20" borderId="14" xfId="0" applyNumberFormat="1" applyFont="1" applyFill="1" applyBorder="1" applyAlignment="1">
      <alignment horizontal="center" vertical="center" wrapText="1"/>
    </xf>
    <xf numFmtId="0" fontId="12" fillId="0" borderId="14" xfId="0" applyFont="1" applyBorder="1" applyAlignment="1">
      <alignment horizontal="left" vertical="center" wrapText="1"/>
    </xf>
    <xf numFmtId="167" fontId="0" fillId="21" borderId="14" xfId="0" applyNumberFormat="1" applyFill="1" applyBorder="1" applyAlignment="1">
      <alignment horizontal="center" vertical="center" wrapText="1"/>
    </xf>
    <xf numFmtId="0" fontId="0" fillId="21" borderId="14" xfId="0" applyFont="1" applyFill="1" applyBorder="1" applyAlignment="1">
      <alignment horizontal="center" vertical="center" wrapText="1"/>
    </xf>
    <xf numFmtId="0" fontId="7" fillId="0" borderId="14" xfId="0" applyFont="1" applyBorder="1" applyAlignment="1">
      <alignment vertical="center" wrapText="1"/>
    </xf>
    <xf numFmtId="0" fontId="11" fillId="22" borderId="14" xfId="0" applyFont="1" applyFill="1" applyBorder="1" applyAlignment="1">
      <alignment vertical="center" wrapText="1"/>
    </xf>
    <xf numFmtId="0" fontId="11" fillId="23" borderId="14" xfId="0" applyFont="1" applyFill="1" applyBorder="1" applyAlignment="1">
      <alignment horizontal="justify" vertical="center" wrapText="1"/>
    </xf>
    <xf numFmtId="0" fontId="11" fillId="23" borderId="14" xfId="0" applyFont="1" applyFill="1" applyBorder="1" applyAlignment="1">
      <alignment vertical="center" wrapText="1"/>
    </xf>
    <xf numFmtId="0" fontId="11" fillId="23" borderId="14" xfId="0" applyFont="1" applyFill="1" applyBorder="1" applyAlignment="1">
      <alignment vertical="center"/>
    </xf>
    <xf numFmtId="3" fontId="0" fillId="23" borderId="14" xfId="0" applyNumberFormat="1" applyFill="1" applyBorder="1" applyAlignment="1">
      <alignment vertical="center"/>
    </xf>
    <xf numFmtId="0" fontId="0" fillId="3" borderId="14" xfId="0" applyFill="1" applyBorder="1"/>
    <xf numFmtId="0" fontId="11" fillId="15" borderId="14" xfId="0" applyFont="1" applyFill="1" applyBorder="1" applyAlignment="1">
      <alignment horizontal="right" vertical="center" wrapText="1"/>
    </xf>
    <xf numFmtId="0" fontId="11" fillId="16" borderId="14" xfId="0" applyFont="1" applyFill="1" applyBorder="1" applyAlignment="1">
      <alignment horizontal="right" vertical="center" wrapText="1"/>
    </xf>
    <xf numFmtId="170" fontId="16" fillId="15" borderId="14" xfId="0" applyNumberFormat="1" applyFont="1" applyFill="1" applyBorder="1" applyAlignment="1">
      <alignment horizontal="left" vertical="center" wrapText="1"/>
    </xf>
    <xf numFmtId="170" fontId="16" fillId="0" borderId="14" xfId="0" applyNumberFormat="1" applyFont="1" applyBorder="1" applyAlignment="1">
      <alignment horizontal="left" vertical="center" wrapText="1"/>
    </xf>
    <xf numFmtId="165" fontId="16" fillId="0" borderId="14" xfId="0" applyNumberFormat="1" applyFont="1" applyBorder="1" applyAlignment="1">
      <alignment horizontal="center" vertical="center" wrapText="1"/>
    </xf>
    <xf numFmtId="0" fontId="16" fillId="0" borderId="14" xfId="0" applyFont="1" applyBorder="1" applyAlignment="1">
      <alignment horizontal="center" vertical="center" wrapText="1"/>
    </xf>
    <xf numFmtId="0" fontId="0" fillId="0" borderId="18" xfId="0" applyBorder="1"/>
    <xf numFmtId="0" fontId="0" fillId="0" borderId="14" xfId="0" applyBorder="1"/>
    <xf numFmtId="0" fontId="13" fillId="19" borderId="14" xfId="0" applyFont="1" applyFill="1" applyBorder="1" applyAlignment="1">
      <alignment vertical="center" wrapText="1"/>
    </xf>
    <xf numFmtId="0" fontId="11" fillId="0" borderId="14" xfId="0" applyFont="1" applyBorder="1" applyAlignment="1">
      <alignment horizontal="justify" vertical="center" wrapText="1"/>
    </xf>
    <xf numFmtId="0" fontId="14" fillId="0" borderId="14" xfId="0" applyFont="1" applyBorder="1" applyAlignment="1">
      <alignment horizontal="right" vertical="center" wrapText="1"/>
    </xf>
    <xf numFmtId="0" fontId="0" fillId="18" borderId="14" xfId="0" applyFont="1" applyFill="1" applyBorder="1" applyAlignment="1">
      <alignment wrapText="1"/>
    </xf>
    <xf numFmtId="0" fontId="17" fillId="24" borderId="14" xfId="0" applyFont="1" applyFill="1" applyBorder="1" applyAlignment="1">
      <alignment vertical="center" wrapText="1"/>
    </xf>
    <xf numFmtId="0" fontId="15" fillId="24" borderId="2" xfId="0" applyFont="1" applyFill="1" applyBorder="1" applyAlignment="1">
      <alignment vertical="center" wrapText="1"/>
    </xf>
    <xf numFmtId="168" fontId="7" fillId="0" borderId="0" xfId="0" applyNumberFormat="1" applyFont="1" applyAlignment="1">
      <alignment vertical="center"/>
    </xf>
    <xf numFmtId="0" fontId="16" fillId="3" borderId="18" xfId="0" applyFont="1" applyFill="1" applyBorder="1" applyAlignment="1">
      <alignment wrapText="1"/>
    </xf>
    <xf numFmtId="0" fontId="12" fillId="25" borderId="14" xfId="0" applyFont="1" applyFill="1" applyBorder="1" applyAlignment="1">
      <alignment wrapText="1"/>
    </xf>
    <xf numFmtId="0" fontId="14" fillId="17" borderId="14" xfId="0" applyFont="1" applyFill="1" applyBorder="1" applyAlignment="1">
      <alignment vertical="center" wrapText="1"/>
    </xf>
    <xf numFmtId="0" fontId="12" fillId="10" borderId="14" xfId="0" applyFont="1" applyFill="1" applyBorder="1" applyAlignment="1">
      <alignment wrapText="1"/>
    </xf>
    <xf numFmtId="0" fontId="14" fillId="23" borderId="14" xfId="0" applyFont="1" applyFill="1" applyBorder="1" applyAlignment="1">
      <alignment vertical="center" wrapText="1"/>
    </xf>
    <xf numFmtId="167" fontId="0" fillId="23" borderId="14" xfId="0" applyNumberFormat="1" applyFill="1" applyBorder="1" applyAlignment="1">
      <alignment horizontal="center" vertical="center" wrapText="1"/>
    </xf>
    <xf numFmtId="0" fontId="14" fillId="17" borderId="14" xfId="0" applyFont="1" applyFill="1" applyBorder="1" applyAlignment="1">
      <alignment wrapText="1"/>
    </xf>
    <xf numFmtId="0" fontId="11" fillId="0" borderId="14" xfId="0" applyFont="1" applyBorder="1" applyAlignment="1">
      <alignment wrapText="1"/>
    </xf>
    <xf numFmtId="0" fontId="0" fillId="16" borderId="14" xfId="0" applyFill="1" applyBorder="1" applyAlignment="1">
      <alignment horizontal="center" vertical="center" wrapText="1"/>
    </xf>
    <xf numFmtId="0" fontId="13" fillId="19" borderId="14" xfId="0" applyFont="1" applyFill="1" applyBorder="1" applyAlignment="1">
      <alignment wrapText="1"/>
    </xf>
    <xf numFmtId="0" fontId="11" fillId="15" borderId="14" xfId="0" applyFont="1" applyFill="1" applyBorder="1" applyAlignment="1">
      <alignment horizontal="center" wrapText="1"/>
    </xf>
    <xf numFmtId="164" fontId="0" fillId="0" borderId="14" xfId="0" applyNumberFormat="1" applyBorder="1" applyAlignment="1">
      <alignment horizontal="center" vertical="center" wrapText="1"/>
    </xf>
    <xf numFmtId="0" fontId="0" fillId="0" borderId="0" xfId="0" applyAlignment="1">
      <alignment vertical="center"/>
    </xf>
    <xf numFmtId="0" fontId="11" fillId="3" borderId="14" xfId="0" applyFont="1" applyFill="1" applyBorder="1" applyAlignment="1">
      <alignment wrapText="1"/>
    </xf>
    <xf numFmtId="0" fontId="0" fillId="0" borderId="24" xfId="0" applyFont="1" applyBorder="1" applyAlignment="1">
      <alignment horizontal="center" vertical="center" wrapText="1"/>
    </xf>
    <xf numFmtId="0" fontId="11" fillId="17" borderId="14" xfId="0" applyFont="1" applyFill="1" applyBorder="1" applyAlignment="1">
      <alignment horizontal="left" vertical="center" wrapText="1"/>
    </xf>
    <xf numFmtId="0" fontId="11" fillId="0" borderId="14" xfId="0" applyFont="1" applyBorder="1" applyAlignment="1">
      <alignment horizontal="left" vertical="center" wrapText="1" indent="1"/>
    </xf>
    <xf numFmtId="0" fontId="11" fillId="16" borderId="14" xfId="0" applyFont="1" applyFill="1" applyBorder="1" applyAlignment="1">
      <alignment horizontal="left" vertical="center" wrapText="1"/>
    </xf>
    <xf numFmtId="0" fontId="13" fillId="19" borderId="14" xfId="0" applyFont="1" applyFill="1" applyBorder="1" applyAlignment="1">
      <alignment horizontal="left" vertical="center" wrapText="1"/>
    </xf>
    <xf numFmtId="0" fontId="11" fillId="17" borderId="14" xfId="0" applyFont="1" applyFill="1" applyBorder="1" applyAlignment="1">
      <alignment horizontal="left" wrapText="1"/>
    </xf>
    <xf numFmtId="167" fontId="0" fillId="11" borderId="14" xfId="0" applyNumberFormat="1" applyFill="1" applyBorder="1" applyAlignment="1">
      <alignment horizontal="center" vertical="center" wrapText="1"/>
    </xf>
    <xf numFmtId="166" fontId="0" fillId="3" borderId="0" xfId="0" applyNumberFormat="1" applyFill="1"/>
    <xf numFmtId="0" fontId="9" fillId="17" borderId="14" xfId="0" applyFont="1" applyFill="1" applyBorder="1" applyAlignment="1">
      <alignment horizontal="left" vertical="center" wrapText="1"/>
    </xf>
    <xf numFmtId="0" fontId="9" fillId="0" borderId="14" xfId="0" applyFont="1" applyBorder="1" applyAlignment="1">
      <alignment horizontal="left" vertical="center" wrapText="1"/>
    </xf>
    <xf numFmtId="0" fontId="0" fillId="0" borderId="14" xfId="0" applyBorder="1" applyAlignment="1">
      <alignment horizontal="left" vertical="center" wrapText="1"/>
    </xf>
    <xf numFmtId="0" fontId="9" fillId="23" borderId="14" xfId="0" applyFont="1" applyFill="1" applyBorder="1" applyAlignment="1">
      <alignment horizontal="left" vertical="center" wrapText="1"/>
    </xf>
    <xf numFmtId="0" fontId="0" fillId="23" borderId="14" xfId="0" applyFill="1" applyBorder="1" applyAlignment="1">
      <alignment horizontal="left" vertical="center" wrapText="1"/>
    </xf>
    <xf numFmtId="0" fontId="0" fillId="23" borderId="14" xfId="0" applyFont="1" applyFill="1" applyBorder="1" applyAlignment="1">
      <alignment horizontal="center" vertical="center" wrapText="1"/>
    </xf>
    <xf numFmtId="168" fontId="0" fillId="23" borderId="14" xfId="0" applyNumberFormat="1" applyFill="1" applyBorder="1" applyAlignment="1">
      <alignment horizontal="center" vertical="center" wrapText="1"/>
    </xf>
    <xf numFmtId="0" fontId="18" fillId="0" borderId="14" xfId="0" applyFont="1" applyBorder="1" applyAlignment="1">
      <alignment horizontal="center" vertical="center" wrapText="1"/>
    </xf>
    <xf numFmtId="0" fontId="0" fillId="0" borderId="17" xfId="0" applyBorder="1"/>
    <xf numFmtId="168" fontId="13" fillId="20" borderId="14" xfId="0" applyNumberFormat="1" applyFont="1" applyFill="1" applyBorder="1" applyAlignment="1">
      <alignment horizontal="center" vertical="center" wrapText="1"/>
    </xf>
    <xf numFmtId="0" fontId="12" fillId="0" borderId="14" xfId="0" applyFont="1" applyBorder="1" applyAlignment="1">
      <alignment vertical="center" wrapText="1"/>
    </xf>
    <xf numFmtId="0" fontId="19" fillId="0" borderId="0" xfId="0" applyFont="1"/>
    <xf numFmtId="0" fontId="12" fillId="16" borderId="14" xfId="0" applyFont="1" applyFill="1" applyBorder="1" applyAlignment="1">
      <alignment horizontal="left" vertical="center" wrapText="1"/>
    </xf>
    <xf numFmtId="0" fontId="12" fillId="17" borderId="14" xfId="0" applyFont="1" applyFill="1" applyBorder="1" applyAlignment="1">
      <alignment horizontal="left" vertical="center" wrapText="1"/>
    </xf>
    <xf numFmtId="168" fontId="0" fillId="26" borderId="14" xfId="0" applyNumberFormat="1" applyFill="1" applyBorder="1" applyAlignment="1">
      <alignment horizontal="center" vertical="center" wrapText="1"/>
    </xf>
    <xf numFmtId="168" fontId="13" fillId="13" borderId="14" xfId="0" applyNumberFormat="1" applyFont="1" applyFill="1" applyBorder="1" applyAlignment="1">
      <alignment horizontal="center" vertical="center" wrapText="1"/>
    </xf>
    <xf numFmtId="168" fontId="13" fillId="19" borderId="14" xfId="0" applyNumberFormat="1" applyFont="1" applyFill="1" applyBorder="1" applyAlignment="1">
      <alignment horizontal="center" vertical="center" wrapText="1"/>
    </xf>
    <xf numFmtId="0" fontId="16" fillId="0" borderId="14" xfId="0" applyFont="1" applyBorder="1" applyAlignment="1">
      <alignment wrapText="1"/>
    </xf>
    <xf numFmtId="0" fontId="16" fillId="0" borderId="18" xfId="0" applyFont="1" applyBorder="1" applyAlignment="1">
      <alignment wrapText="1"/>
    </xf>
    <xf numFmtId="0" fontId="12" fillId="17" borderId="20" xfId="0" applyFont="1" applyFill="1" applyBorder="1" applyAlignment="1">
      <alignment horizontal="center" vertical="center" wrapText="1"/>
    </xf>
    <xf numFmtId="0" fontId="13" fillId="19" borderId="20" xfId="0" applyFont="1" applyFill="1" applyBorder="1" applyAlignment="1">
      <alignment horizontal="center" vertical="center" wrapText="1"/>
    </xf>
    <xf numFmtId="0" fontId="0" fillId="0" borderId="14" xfId="0" applyFont="1" applyBorder="1" applyAlignment="1">
      <alignment vertical="center"/>
    </xf>
    <xf numFmtId="168" fontId="0" fillId="20" borderId="14" xfId="0" applyNumberFormat="1" applyFill="1" applyBorder="1" applyAlignment="1">
      <alignment horizontal="center" vertical="center" wrapText="1"/>
    </xf>
    <xf numFmtId="167" fontId="0" fillId="20" borderId="14" xfId="0" applyNumberFormat="1" applyFill="1" applyBorder="1" applyAlignment="1">
      <alignment horizontal="center" vertical="center" wrapText="1"/>
    </xf>
    <xf numFmtId="0" fontId="20" fillId="20" borderId="14" xfId="0" applyFont="1" applyFill="1" applyBorder="1" applyAlignment="1">
      <alignment wrapText="1"/>
    </xf>
    <xf numFmtId="0" fontId="20" fillId="20" borderId="14" xfId="0" applyFont="1" applyFill="1" applyBorder="1"/>
    <xf numFmtId="0" fontId="7" fillId="0" borderId="24" xfId="0" applyFont="1" applyBorder="1" applyAlignment="1">
      <alignment vertical="center"/>
    </xf>
    <xf numFmtId="0" fontId="7" fillId="0" borderId="0" xfId="0" applyFont="1" applyAlignment="1">
      <alignment vertical="center"/>
    </xf>
    <xf numFmtId="0" fontId="11" fillId="18" borderId="14" xfId="0" applyFont="1" applyFill="1" applyBorder="1" applyAlignment="1">
      <alignment vertical="center" wrapText="1"/>
    </xf>
    <xf numFmtId="0" fontId="11" fillId="18" borderId="14" xfId="0" applyFont="1" applyFill="1" applyBorder="1" applyAlignment="1">
      <alignment horizontal="left" vertical="center" wrapText="1"/>
    </xf>
    <xf numFmtId="0" fontId="11" fillId="18" borderId="14" xfId="0" applyFont="1" applyFill="1" applyBorder="1" applyAlignment="1">
      <alignment wrapText="1"/>
    </xf>
    <xf numFmtId="0" fontId="11" fillId="18" borderId="14" xfId="0" applyFont="1" applyFill="1" applyBorder="1" applyAlignment="1">
      <alignment horizontal="left" vertical="center" wrapText="1" indent="1"/>
    </xf>
    <xf numFmtId="167" fontId="0" fillId="18" borderId="14" xfId="0" applyNumberFormat="1" applyFill="1" applyBorder="1" applyAlignment="1">
      <alignment horizontal="center" vertical="center" wrapText="1"/>
    </xf>
    <xf numFmtId="9" fontId="0" fillId="18" borderId="14" xfId="0" applyNumberFormat="1" applyFill="1" applyBorder="1" applyAlignment="1">
      <alignment horizontal="center" vertical="center" wrapText="1"/>
    </xf>
    <xf numFmtId="0" fontId="12" fillId="18" borderId="14" xfId="0" applyFont="1" applyFill="1" applyBorder="1" applyAlignment="1">
      <alignment horizontal="left" vertical="center" wrapText="1"/>
    </xf>
    <xf numFmtId="0" fontId="0" fillId="3" borderId="18" xfId="0" applyFont="1" applyFill="1" applyBorder="1" applyAlignment="1">
      <alignment wrapText="1"/>
    </xf>
    <xf numFmtId="0" fontId="11" fillId="18" borderId="14" xfId="0" applyFont="1" applyFill="1" applyBorder="1" applyAlignment="1">
      <alignment vertical="top" wrapText="1"/>
    </xf>
    <xf numFmtId="0" fontId="12" fillId="18" borderId="18" xfId="0" applyFont="1" applyFill="1" applyBorder="1" applyAlignment="1">
      <alignment vertical="top" wrapText="1"/>
    </xf>
    <xf numFmtId="0" fontId="11" fillId="0" borderId="18" xfId="0" applyFont="1" applyBorder="1" applyAlignment="1">
      <alignment horizontal="right" vertical="center"/>
    </xf>
    <xf numFmtId="0" fontId="0" fillId="0" borderId="18" xfId="0" applyFont="1" applyBorder="1" applyAlignment="1">
      <alignment horizontal="center" vertical="center"/>
    </xf>
    <xf numFmtId="167" fontId="0" fillId="0" borderId="18" xfId="0" applyNumberFormat="1" applyBorder="1" applyAlignment="1">
      <alignment horizontal="center" vertical="center"/>
    </xf>
    <xf numFmtId="167" fontId="0" fillId="11" borderId="18" xfId="0" applyNumberFormat="1" applyFill="1" applyBorder="1" applyAlignment="1">
      <alignment horizontal="center" vertical="center"/>
    </xf>
    <xf numFmtId="9" fontId="0" fillId="11" borderId="18" xfId="0" applyNumberFormat="1" applyFill="1" applyBorder="1" applyAlignment="1">
      <alignment horizontal="center" vertical="center"/>
    </xf>
    <xf numFmtId="0" fontId="19" fillId="18" borderId="0" xfId="0" applyFont="1" applyFill="1"/>
    <xf numFmtId="0" fontId="16" fillId="3" borderId="14" xfId="0" applyFont="1" applyFill="1" applyBorder="1" applyAlignment="1">
      <alignment wrapText="1"/>
    </xf>
    <xf numFmtId="0" fontId="17" fillId="18" borderId="14" xfId="0" applyFont="1" applyFill="1" applyBorder="1" applyAlignment="1">
      <alignment vertical="center" wrapText="1"/>
    </xf>
    <xf numFmtId="0" fontId="15" fillId="18" borderId="2" xfId="0" applyFont="1" applyFill="1" applyBorder="1" applyAlignment="1">
      <alignment vertical="center" wrapText="1"/>
    </xf>
    <xf numFmtId="0" fontId="20" fillId="3" borderId="14" xfId="0" applyFont="1" applyFill="1" applyBorder="1" applyAlignment="1">
      <alignment wrapText="1"/>
    </xf>
    <xf numFmtId="0" fontId="20" fillId="3" borderId="14" xfId="0" applyFont="1" applyFill="1" applyBorder="1"/>
    <xf numFmtId="0" fontId="11" fillId="11" borderId="14" xfId="0" applyFont="1" applyFill="1" applyBorder="1" applyAlignment="1">
      <alignment horizontal="right" vertical="center" wrapText="1"/>
    </xf>
    <xf numFmtId="167" fontId="0" fillId="0" borderId="18" xfId="0" applyNumberFormat="1" applyBorder="1" applyAlignment="1">
      <alignment horizontal="center" vertical="center" wrapText="1"/>
    </xf>
    <xf numFmtId="0" fontId="18" fillId="3" borderId="25" xfId="0" applyFont="1" applyFill="1" applyBorder="1" applyAlignment="1" applyProtection="1">
      <alignment horizontal="center" vertical="center" wrapText="1"/>
      <protection locked="0"/>
    </xf>
    <xf numFmtId="0" fontId="18" fillId="3" borderId="14" xfId="0" applyFont="1" applyFill="1" applyBorder="1" applyAlignment="1" applyProtection="1">
      <alignment horizontal="center" vertical="center" wrapText="1"/>
      <protection locked="0"/>
    </xf>
    <xf numFmtId="0" fontId="18" fillId="3" borderId="26" xfId="0" applyFont="1" applyFill="1" applyBorder="1" applyAlignment="1" applyProtection="1">
      <alignment horizontal="center" vertical="center" wrapText="1"/>
      <protection locked="0"/>
    </xf>
    <xf numFmtId="0" fontId="0" fillId="20" borderId="14" xfId="0" applyFont="1" applyFill="1" applyBorder="1" applyAlignment="1">
      <alignment horizontal="center" vertical="center" wrapText="1"/>
    </xf>
    <xf numFmtId="165" fontId="0" fillId="0" borderId="14" xfId="0" applyNumberFormat="1" applyFont="1" applyBorder="1" applyAlignment="1">
      <alignment horizontal="left" vertical="center" wrapText="1"/>
    </xf>
    <xf numFmtId="165" fontId="0" fillId="0" borderId="16" xfId="0" applyNumberFormat="1" applyFont="1" applyBorder="1" applyAlignment="1">
      <alignment horizontal="left" vertical="center" wrapText="1"/>
    </xf>
    <xf numFmtId="165" fontId="0" fillId="0" borderId="0" xfId="0" applyNumberFormat="1" applyFont="1" applyAlignment="1">
      <alignment horizontal="left" vertical="center" wrapText="1"/>
    </xf>
    <xf numFmtId="0" fontId="0" fillId="17" borderId="14" xfId="0" applyFont="1" applyFill="1" applyBorder="1" applyAlignment="1">
      <alignment vertical="center" wrapText="1"/>
    </xf>
    <xf numFmtId="168" fontId="0" fillId="11" borderId="14" xfId="0" applyNumberFormat="1" applyFill="1" applyBorder="1" applyAlignment="1">
      <alignment horizontal="center" vertical="center" wrapText="1"/>
    </xf>
    <xf numFmtId="167" fontId="13" fillId="22" borderId="14" xfId="0" applyNumberFormat="1" applyFont="1" applyFill="1" applyBorder="1" applyAlignment="1">
      <alignment horizontal="center" vertical="center" wrapText="1"/>
    </xf>
    <xf numFmtId="0" fontId="0" fillId="0" borderId="27" xfId="0" applyFont="1" applyBorder="1" applyAlignment="1">
      <alignment horizontal="center" vertical="center" wrapText="1"/>
    </xf>
    <xf numFmtId="167" fontId="0" fillId="27" borderId="14" xfId="0" applyNumberFormat="1" applyFill="1" applyBorder="1" applyAlignment="1">
      <alignment horizontal="center" vertical="center" wrapText="1"/>
    </xf>
    <xf numFmtId="0" fontId="0" fillId="3" borderId="18" xfId="0" applyFill="1" applyBorder="1"/>
    <xf numFmtId="0" fontId="11" fillId="14" borderId="14" xfId="0" applyFont="1" applyFill="1" applyBorder="1" applyAlignment="1">
      <alignment vertical="center" wrapText="1"/>
    </xf>
    <xf numFmtId="3" fontId="0" fillId="23" borderId="14" xfId="0" applyNumberFormat="1" applyFill="1" applyBorder="1"/>
    <xf numFmtId="0" fontId="11" fillId="22" borderId="14" xfId="0" applyFont="1" applyFill="1" applyBorder="1" applyAlignment="1">
      <alignment horizontal="justify" vertical="center" wrapText="1"/>
    </xf>
    <xf numFmtId="0" fontId="11" fillId="16" borderId="14" xfId="0" applyFont="1" applyFill="1" applyBorder="1" applyAlignment="1">
      <alignment horizontal="justify" vertical="center" wrapText="1"/>
    </xf>
    <xf numFmtId="0" fontId="11" fillId="0" borderId="14" xfId="0" applyFont="1" applyBorder="1" applyAlignment="1">
      <alignment horizontal="justify" vertical="center"/>
    </xf>
    <xf numFmtId="165" fontId="0" fillId="3" borderId="14" xfId="0" applyNumberFormat="1" applyFill="1" applyBorder="1"/>
    <xf numFmtId="0" fontId="11" fillId="0" borderId="14" xfId="0" applyFont="1" applyBorder="1" applyAlignment="1">
      <alignment vertical="center"/>
    </xf>
    <xf numFmtId="0" fontId="0" fillId="0" borderId="14" xfId="0" applyBorder="1" applyAlignment="1">
      <alignment horizontal="right" vertical="center" wrapText="1"/>
    </xf>
    <xf numFmtId="0" fontId="0" fillId="17" borderId="14" xfId="0" applyFont="1" applyFill="1" applyBorder="1" applyAlignment="1">
      <alignment horizontal="left" vertical="center" wrapText="1"/>
    </xf>
    <xf numFmtId="0" fontId="0" fillId="11" borderId="14" xfId="0" applyFill="1" applyBorder="1" applyAlignment="1">
      <alignment horizontal="right" vertical="center" wrapText="1"/>
    </xf>
    <xf numFmtId="0" fontId="7" fillId="0" borderId="14" xfId="0" applyFont="1" applyBorder="1" applyAlignment="1">
      <alignment horizontal="center" vertical="center" wrapText="1"/>
    </xf>
    <xf numFmtId="0" fontId="11" fillId="0" borderId="14" xfId="0" applyFont="1" applyBorder="1" applyAlignment="1">
      <alignment horizontal="center" vertical="center" wrapText="1"/>
    </xf>
    <xf numFmtId="166" fontId="0" fillId="3" borderId="14" xfId="0" applyNumberFormat="1" applyFill="1" applyBorder="1"/>
    <xf numFmtId="166" fontId="0" fillId="20" borderId="14" xfId="0" applyNumberFormat="1" applyFill="1" applyBorder="1"/>
    <xf numFmtId="0" fontId="11" fillId="17" borderId="14" xfId="0" applyFont="1" applyFill="1" applyBorder="1" applyAlignment="1">
      <alignment horizontal="center" vertical="center" wrapText="1"/>
    </xf>
    <xf numFmtId="166" fontId="0" fillId="3" borderId="14" xfId="0" applyNumberFormat="1" applyFill="1" applyBorder="1" applyAlignment="1">
      <alignment horizontal="center" vertical="center"/>
    </xf>
    <xf numFmtId="166" fontId="0" fillId="3" borderId="14" xfId="0" applyNumberFormat="1" applyFill="1" applyBorder="1" applyAlignment="1">
      <alignment vertical="center"/>
    </xf>
    <xf numFmtId="166" fontId="0" fillId="3" borderId="0" xfId="0" applyNumberFormat="1" applyFill="1" applyAlignment="1">
      <alignment vertical="center"/>
    </xf>
    <xf numFmtId="0" fontId="0" fillId="3" borderId="14" xfId="0" applyFill="1" applyBorder="1" applyAlignment="1">
      <alignment vertical="center"/>
    </xf>
    <xf numFmtId="0" fontId="13" fillId="19" borderId="15" xfId="0" applyFont="1" applyFill="1" applyBorder="1" applyAlignment="1">
      <alignment vertical="center" wrapText="1"/>
    </xf>
    <xf numFmtId="166" fontId="13" fillId="13" borderId="14" xfId="0" applyNumberFormat="1" applyFont="1" applyFill="1" applyBorder="1"/>
    <xf numFmtId="0" fontId="11" fillId="17" borderId="14" xfId="0" applyFont="1" applyFill="1" applyBorder="1" applyAlignment="1">
      <alignment horizontal="justify" vertical="center" wrapText="1"/>
    </xf>
    <xf numFmtId="0" fontId="11" fillId="23" borderId="14" xfId="0" applyFont="1" applyFill="1" applyBorder="1" applyAlignment="1">
      <alignment horizontal="center" vertical="center" wrapText="1"/>
    </xf>
    <xf numFmtId="0" fontId="0" fillId="23" borderId="14" xfId="0" applyFill="1" applyBorder="1" applyAlignment="1">
      <alignment horizontal="center" vertical="center"/>
    </xf>
    <xf numFmtId="0" fontId="21" fillId="29" borderId="14" xfId="0" applyFont="1" applyFill="1" applyBorder="1"/>
    <xf numFmtId="166" fontId="0" fillId="23" borderId="14" xfId="0" applyNumberFormat="1" applyFill="1" applyBorder="1"/>
    <xf numFmtId="0" fontId="0" fillId="23" borderId="14" xfId="0" applyFill="1" applyBorder="1"/>
    <xf numFmtId="0" fontId="0" fillId="30" borderId="14" xfId="0" applyFont="1" applyFill="1" applyBorder="1" applyAlignment="1">
      <alignment vertical="center" wrapText="1"/>
    </xf>
    <xf numFmtId="0" fontId="0" fillId="30" borderId="14" xfId="0" applyFont="1" applyFill="1" applyBorder="1" applyAlignment="1">
      <alignment horizontal="left" vertical="center" wrapText="1"/>
    </xf>
    <xf numFmtId="166" fontId="23" fillId="23" borderId="28" xfId="0" applyNumberFormat="1" applyFont="1" applyFill="1" applyBorder="1" applyAlignment="1">
      <alignment vertical="center" wrapText="1"/>
    </xf>
    <xf numFmtId="166" fontId="23" fillId="3" borderId="26" xfId="0" applyNumberFormat="1" applyFont="1" applyFill="1" applyBorder="1" applyAlignment="1">
      <alignment horizontal="center" vertical="center"/>
    </xf>
    <xf numFmtId="166" fontId="23" fillId="23" borderId="25" xfId="0" applyNumberFormat="1" applyFont="1" applyFill="1" applyBorder="1" applyAlignment="1">
      <alignment vertical="center" wrapText="1"/>
    </xf>
    <xf numFmtId="166" fontId="23" fillId="32" borderId="26" xfId="0" applyNumberFormat="1" applyFont="1" applyFill="1" applyBorder="1" applyAlignment="1">
      <alignment horizontal="center" vertical="center"/>
    </xf>
    <xf numFmtId="166" fontId="23" fillId="23" borderId="29" xfId="0" applyNumberFormat="1" applyFont="1" applyFill="1" applyBorder="1" applyAlignment="1">
      <alignment vertical="center" wrapText="1"/>
    </xf>
    <xf numFmtId="166" fontId="23" fillId="3" borderId="30" xfId="0" applyNumberFormat="1" applyFont="1" applyFill="1" applyBorder="1" applyAlignment="1">
      <alignment horizontal="center" vertical="center"/>
    </xf>
    <xf numFmtId="0" fontId="24" fillId="0" borderId="0" xfId="0" applyFont="1" applyAlignment="1">
      <alignment horizontal="center" vertical="center" wrapText="1"/>
    </xf>
    <xf numFmtId="0" fontId="25" fillId="0" borderId="0" xfId="0" applyFont="1" applyAlignment="1">
      <alignment horizontal="center" vertical="center" wrapText="1"/>
    </xf>
    <xf numFmtId="166" fontId="0" fillId="0" borderId="19" xfId="0" applyNumberFormat="1" applyBorder="1"/>
    <xf numFmtId="0" fontId="26" fillId="0" borderId="0" xfId="0" applyFont="1"/>
    <xf numFmtId="0" fontId="27" fillId="34" borderId="14" xfId="0" applyFont="1" applyFill="1" applyBorder="1" applyAlignment="1">
      <alignment horizontal="center" vertical="center" wrapText="1"/>
    </xf>
    <xf numFmtId="0" fontId="0" fillId="0" borderId="14" xfId="0" applyBorder="1" applyAlignment="1">
      <alignment horizontal="center"/>
    </xf>
    <xf numFmtId="0" fontId="0" fillId="0" borderId="14" xfId="0" applyFont="1" applyBorder="1"/>
    <xf numFmtId="171" fontId="0" fillId="0" borderId="14" xfId="0" applyNumberFormat="1" applyBorder="1"/>
    <xf numFmtId="0" fontId="28" fillId="0" borderId="14" xfId="0" applyFont="1" applyBorder="1"/>
    <xf numFmtId="171" fontId="28" fillId="0" borderId="14" xfId="0" applyNumberFormat="1" applyFont="1" applyBorder="1"/>
    <xf numFmtId="0" fontId="29" fillId="0" borderId="0" xfId="0" applyFont="1" applyAlignment="1">
      <alignment horizontal="justify" vertical="center"/>
    </xf>
    <xf numFmtId="0" fontId="29" fillId="0" borderId="2" xfId="0" applyFont="1" applyBorder="1" applyAlignment="1">
      <alignment horizontal="center" vertical="center" wrapText="1"/>
    </xf>
    <xf numFmtId="0" fontId="29" fillId="0" borderId="3" xfId="0" applyFont="1" applyBorder="1" applyAlignment="1">
      <alignment horizontal="center" vertical="center" wrapText="1"/>
    </xf>
    <xf numFmtId="0" fontId="25" fillId="0" borderId="12" xfId="0" applyFont="1" applyBorder="1" applyAlignment="1">
      <alignment horizontal="center" vertical="center" wrapText="1"/>
    </xf>
    <xf numFmtId="0" fontId="29" fillId="0" borderId="13" xfId="0" applyFont="1" applyBorder="1" applyAlignment="1">
      <alignment horizontal="center" vertical="center" wrapText="1"/>
    </xf>
    <xf numFmtId="0" fontId="25" fillId="0" borderId="13" xfId="0" applyFont="1" applyBorder="1" applyAlignment="1">
      <alignment horizontal="center" vertical="center" wrapText="1"/>
    </xf>
    <xf numFmtId="3" fontId="25" fillId="0" borderId="13" xfId="0" applyNumberFormat="1" applyFont="1" applyBorder="1" applyAlignment="1">
      <alignment horizontal="center" vertical="center" wrapText="1"/>
    </xf>
    <xf numFmtId="0" fontId="1" fillId="0" borderId="0" xfId="0" applyFont="1" applyAlignment="1">
      <alignment vertical="center" wrapText="1"/>
    </xf>
    <xf numFmtId="0" fontId="30" fillId="0" borderId="0" xfId="0" applyFont="1"/>
    <xf numFmtId="0" fontId="27" fillId="34" borderId="0" xfId="0" applyFont="1" applyFill="1" applyAlignment="1">
      <alignment horizontal="center" wrapText="1"/>
    </xf>
    <xf numFmtId="0" fontId="0" fillId="0" borderId="0" xfId="0" applyFont="1" applyAlignment="1">
      <alignment vertical="top" wrapText="1"/>
    </xf>
    <xf numFmtId="0" fontId="0" fillId="35" borderId="0" xfId="0" applyFont="1" applyFill="1" applyAlignment="1">
      <alignment vertical="top" wrapText="1"/>
    </xf>
    <xf numFmtId="0" fontId="21" fillId="29" borderId="0" xfId="0" applyFont="1" applyFill="1" applyAlignment="1">
      <alignment vertical="top" wrapText="1"/>
    </xf>
    <xf numFmtId="3" fontId="0" fillId="0" borderId="0" xfId="0" applyNumberFormat="1"/>
    <xf numFmtId="9" fontId="0" fillId="0" borderId="0" xfId="0" applyNumberFormat="1"/>
    <xf numFmtId="0" fontId="0" fillId="0" borderId="19" xfId="0" applyBorder="1"/>
    <xf numFmtId="0" fontId="32" fillId="0" borderId="0" xfId="0" applyFont="1" applyFill="1" applyBorder="1"/>
    <xf numFmtId="166" fontId="32" fillId="0" borderId="0" xfId="0" applyNumberFormat="1" applyFont="1" applyFill="1" applyBorder="1"/>
    <xf numFmtId="0" fontId="32" fillId="0" borderId="0" xfId="0" applyFont="1" applyFill="1" applyBorder="1" applyAlignment="1">
      <alignment wrapText="1"/>
    </xf>
    <xf numFmtId="0" fontId="32" fillId="0" borderId="0" xfId="0" applyFont="1" applyFill="1" applyBorder="1" applyAlignment="1">
      <alignment vertical="center" wrapText="1"/>
    </xf>
    <xf numFmtId="167" fontId="32" fillId="0" borderId="0" xfId="0" applyNumberFormat="1" applyFont="1" applyFill="1" applyBorder="1"/>
    <xf numFmtId="0" fontId="0" fillId="2" borderId="2" xfId="0" applyFont="1" applyFill="1" applyBorder="1" applyAlignment="1">
      <alignment horizontal="center" vertical="center"/>
    </xf>
    <xf numFmtId="0" fontId="0" fillId="0" borderId="7" xfId="0" applyBorder="1" applyAlignment="1">
      <alignment horizontal="center"/>
    </xf>
    <xf numFmtId="0" fontId="0" fillId="0" borderId="13" xfId="0" applyFont="1" applyBorder="1" applyAlignment="1">
      <alignment horizontal="center"/>
    </xf>
    <xf numFmtId="0" fontId="0" fillId="0" borderId="3" xfId="0" applyFont="1" applyBorder="1" applyAlignment="1">
      <alignment horizontal="left" vertical="center"/>
    </xf>
    <xf numFmtId="0" fontId="6" fillId="0" borderId="3" xfId="0" applyFont="1" applyBorder="1" applyAlignment="1">
      <alignment horizontal="left" vertical="center"/>
    </xf>
    <xf numFmtId="0" fontId="5" fillId="2" borderId="2" xfId="0" applyFont="1" applyFill="1" applyBorder="1" applyAlignment="1">
      <alignment horizontal="left"/>
    </xf>
    <xf numFmtId="0" fontId="0" fillId="0" borderId="2" xfId="0" applyBorder="1" applyAlignment="1">
      <alignment horizontal="center" vertical="center"/>
    </xf>
    <xf numFmtId="0" fontId="5" fillId="2" borderId="2" xfId="0" applyFont="1" applyFill="1" applyBorder="1" applyAlignment="1">
      <alignment horizontal="center" vertical="center"/>
    </xf>
    <xf numFmtId="0" fontId="3" fillId="0" borderId="0" xfId="0" applyFont="1" applyBorder="1" applyAlignment="1">
      <alignment horizontal="center"/>
    </xf>
    <xf numFmtId="0" fontId="4" fillId="0" borderId="0" xfId="0" applyFont="1" applyBorder="1" applyAlignment="1">
      <alignment horizontal="center"/>
    </xf>
    <xf numFmtId="0" fontId="0" fillId="0" borderId="1" xfId="0"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left" vertical="center" wrapText="1"/>
    </xf>
    <xf numFmtId="0" fontId="0" fillId="0" borderId="0" xfId="0" applyBorder="1" applyAlignment="1">
      <alignment horizontal="center" wrapText="1"/>
    </xf>
    <xf numFmtId="0" fontId="7" fillId="18" borderId="14" xfId="0" applyFont="1" applyFill="1" applyBorder="1" applyAlignment="1">
      <alignment horizontal="center" vertical="center" wrapText="1"/>
    </xf>
    <xf numFmtId="0" fontId="7" fillId="10" borderId="14" xfId="0" applyFont="1" applyFill="1" applyBorder="1" applyAlignment="1">
      <alignment horizontal="center" vertical="center" wrapText="1"/>
    </xf>
    <xf numFmtId="0" fontId="22" fillId="31" borderId="12" xfId="0" applyFont="1" applyFill="1" applyBorder="1" applyAlignment="1">
      <alignment horizontal="center" vertical="center"/>
    </xf>
    <xf numFmtId="0" fontId="22" fillId="31" borderId="2" xfId="0" applyFont="1" applyFill="1" applyBorder="1" applyAlignment="1">
      <alignment horizontal="center" vertical="center"/>
    </xf>
    <xf numFmtId="0" fontId="0" fillId="33" borderId="14" xfId="0" applyFont="1" applyFill="1" applyBorder="1" applyAlignment="1">
      <alignment horizontal="center" wrapText="1"/>
    </xf>
    <xf numFmtId="0" fontId="7" fillId="10" borderId="18" xfId="0" applyFont="1" applyFill="1" applyBorder="1" applyAlignment="1">
      <alignment horizontal="center" vertical="center" wrapText="1"/>
    </xf>
    <xf numFmtId="0" fontId="7" fillId="11" borderId="18" xfId="0" applyFont="1" applyFill="1" applyBorder="1" applyAlignment="1">
      <alignment horizontal="center" vertical="center" wrapText="1"/>
    </xf>
    <xf numFmtId="0" fontId="7" fillId="18" borderId="18" xfId="0" applyFont="1" applyFill="1" applyBorder="1" applyAlignment="1">
      <alignment horizontal="center" vertical="center" wrapText="1"/>
    </xf>
    <xf numFmtId="0" fontId="7" fillId="14" borderId="18" xfId="0" applyFont="1" applyFill="1" applyBorder="1" applyAlignment="1">
      <alignment horizontal="center" vertical="center" wrapText="1"/>
    </xf>
    <xf numFmtId="0" fontId="7" fillId="28" borderId="18" xfId="0" applyFont="1" applyFill="1" applyBorder="1" applyAlignment="1">
      <alignment horizontal="center" vertical="center" wrapText="1"/>
    </xf>
    <xf numFmtId="0" fontId="7" fillId="14" borderId="19" xfId="0" applyFont="1" applyFill="1" applyBorder="1" applyAlignment="1">
      <alignment horizontal="center" vertical="center" wrapText="1"/>
    </xf>
    <xf numFmtId="0" fontId="13" fillId="19" borderId="14" xfId="0" applyFont="1" applyFill="1" applyBorder="1" applyAlignment="1">
      <alignment horizontal="center" vertical="center" wrapText="1"/>
    </xf>
    <xf numFmtId="0" fontId="7" fillId="14" borderId="14" xfId="0" applyFont="1" applyFill="1" applyBorder="1" applyAlignment="1">
      <alignment horizontal="center" vertical="center" wrapText="1"/>
    </xf>
    <xf numFmtId="0" fontId="7" fillId="10" borderId="15" xfId="0" applyFont="1" applyFill="1" applyBorder="1" applyAlignment="1">
      <alignment horizontal="center" vertical="center" wrapText="1"/>
    </xf>
    <xf numFmtId="0" fontId="7" fillId="10" borderId="17" xfId="0" applyFont="1" applyFill="1" applyBorder="1" applyAlignment="1">
      <alignment horizontal="center" vertical="center" wrapText="1"/>
    </xf>
    <xf numFmtId="0" fontId="14" fillId="17" borderId="14" xfId="0" applyFont="1" applyFill="1" applyBorder="1" applyAlignment="1">
      <alignment horizontal="center" vertical="center" wrapText="1"/>
    </xf>
    <xf numFmtId="165" fontId="7" fillId="5" borderId="14" xfId="0" applyNumberFormat="1" applyFont="1" applyFill="1" applyBorder="1" applyAlignment="1">
      <alignment horizontal="center" vertical="center" wrapText="1"/>
    </xf>
    <xf numFmtId="0" fontId="7" fillId="5" borderId="14" xfId="0" applyFont="1" applyFill="1" applyBorder="1" applyAlignment="1">
      <alignment horizontal="center" vertical="center" wrapText="1"/>
    </xf>
    <xf numFmtId="0" fontId="7" fillId="10" borderId="14" xfId="0" applyFont="1" applyFill="1" applyBorder="1" applyAlignment="1">
      <alignment horizontal="center" vertical="center"/>
    </xf>
    <xf numFmtId="0" fontId="7" fillId="14" borderId="17" xfId="0" applyFont="1" applyFill="1" applyBorder="1" applyAlignment="1">
      <alignment horizontal="center" vertical="center" wrapText="1"/>
    </xf>
    <xf numFmtId="166" fontId="8" fillId="7" borderId="14" xfId="0" applyNumberFormat="1" applyFont="1" applyFill="1" applyBorder="1" applyAlignment="1">
      <alignment horizontal="center" vertical="center" wrapText="1"/>
    </xf>
    <xf numFmtId="166" fontId="8" fillId="9" borderId="14" xfId="0" applyNumberFormat="1" applyFont="1" applyFill="1" applyBorder="1" applyAlignment="1">
      <alignment horizontal="center" vertical="center" wrapText="1"/>
    </xf>
    <xf numFmtId="165" fontId="7" fillId="6" borderId="14" xfId="0" applyNumberFormat="1" applyFont="1" applyFill="1" applyBorder="1" applyAlignment="1">
      <alignment horizontal="center" vertical="center" wrapText="1"/>
    </xf>
    <xf numFmtId="166" fontId="8" fillId="8" borderId="14" xfId="0" applyNumberFormat="1" applyFont="1" applyFill="1" applyBorder="1" applyAlignment="1">
      <alignment horizontal="center" vertical="center" wrapText="1"/>
    </xf>
    <xf numFmtId="164" fontId="7" fillId="6" borderId="14" xfId="0" applyNumberFormat="1" applyFont="1" applyFill="1" applyBorder="1" applyAlignment="1">
      <alignment horizontal="center" vertical="center" wrapText="1"/>
    </xf>
    <xf numFmtId="0" fontId="31" fillId="0" borderId="0" xfId="0" applyFont="1" applyFill="1" applyBorder="1" applyAlignment="1">
      <alignment horizontal="center" vertical="center" wrapText="1"/>
    </xf>
    <xf numFmtId="0" fontId="32" fillId="0" borderId="0" xfId="0" applyFont="1" applyFill="1" applyBorder="1" applyAlignment="1">
      <alignment horizontal="center" wrapText="1"/>
    </xf>
    <xf numFmtId="0" fontId="32" fillId="0" borderId="0" xfId="0" applyFont="1" applyFill="1" applyBorder="1" applyAlignment="1">
      <alignment horizontal="center" vertical="center" wrapText="1"/>
    </xf>
    <xf numFmtId="0" fontId="0" fillId="0" borderId="0" xfId="0" applyFont="1" applyBorder="1" applyAlignment="1">
      <alignment wrapText="1"/>
    </xf>
    <xf numFmtId="0" fontId="29" fillId="0" borderId="2" xfId="0" applyFont="1" applyBorder="1" applyAlignment="1">
      <alignment horizontal="center" vertical="center" wrapText="1"/>
    </xf>
    <xf numFmtId="166" fontId="29" fillId="0" borderId="2" xfId="0" applyNumberFormat="1" applyFont="1" applyBorder="1" applyAlignment="1">
      <alignment horizontal="center" vertical="center" wrapText="1"/>
    </xf>
    <xf numFmtId="3" fontId="25" fillId="0" borderId="2" xfId="0" applyNumberFormat="1" applyFont="1" applyBorder="1" applyAlignment="1">
      <alignment horizontal="center" vertical="center" wrapText="1"/>
    </xf>
  </cellXfs>
  <cellStyles count="4">
    <cellStyle name="Normal" xfId="0" builtinId="0"/>
    <cellStyle name="Normal 2" xfId="1" xr:uid="{00000000-0005-0000-0000-000006000000}"/>
    <cellStyle name="Normal 2 3" xfId="2" xr:uid="{00000000-0005-0000-0000-000007000000}"/>
    <cellStyle name="Normal 3" xfId="3" xr:uid="{00000000-0005-0000-0000-000008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F2F2F2"/>
      <rgbColor rgb="FF9C0006"/>
      <rgbColor rgb="FF008000"/>
      <rgbColor rgb="FF000080"/>
      <rgbColor rgb="FFD9D9D9"/>
      <rgbColor rgb="FF800080"/>
      <rgbColor rgb="FF2E75B6"/>
      <rgbColor rgb="FFADB9CA"/>
      <rgbColor rgb="FFA27094"/>
      <rgbColor rgb="FF8FAADC"/>
      <rgbColor rgb="FF7030A0"/>
      <rgbColor rgb="FFFFF2CC"/>
      <rgbColor rgb="FFE2EFDA"/>
      <rgbColor rgb="FF660066"/>
      <rgbColor rgb="FFFF8389"/>
      <rgbColor rgb="FF0563C1"/>
      <rgbColor rgb="FFC6C0FF"/>
      <rgbColor rgb="FF000080"/>
      <rgbColor rgb="FFFF00FF"/>
      <rgbColor rgb="FFFFD966"/>
      <rgbColor rgb="FF00FFFF"/>
      <rgbColor rgb="FF800080"/>
      <rgbColor rgb="FF800000"/>
      <rgbColor rgb="FF008080"/>
      <rgbColor rgb="FF0000FF"/>
      <rgbColor rgb="FFFBE5D6"/>
      <rgbColor rgb="FFA8F5FF"/>
      <rgbColor rgb="FFE2F0D9"/>
      <rgbColor rgb="FFFFE699"/>
      <rgbColor rgb="FFBDD7EE"/>
      <rgbColor rgb="FFFF8CFD"/>
      <rgbColor rgb="FFB17BB8"/>
      <rgbColor rgb="FFF8CBAD"/>
      <rgbColor rgb="FF4472C4"/>
      <rgbColor rgb="FFC5E0B4"/>
      <rgbColor rgb="FF92D050"/>
      <rgbColor rgb="FFFFC000"/>
      <rgbColor rgb="FFFFC7CE"/>
      <rgbColor rgb="FFC55A11"/>
      <rgbColor rgb="FFFFC0DC"/>
      <rgbColor rgb="FFAFABAB"/>
      <rgbColor rgb="FF1F3864"/>
      <rgbColor rgb="FF00B050"/>
      <rgbColor rgb="FF0D0D0D"/>
      <rgbColor rgb="FF333300"/>
      <rgbColor rgb="FF993300"/>
      <rgbColor rgb="FFFAC9FF"/>
      <rgbColor rgb="FF2F5597"/>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2652840</xdr:colOff>
      <xdr:row>0</xdr:row>
      <xdr:rowOff>129600</xdr:rowOff>
    </xdr:from>
    <xdr:to>
      <xdr:col>5</xdr:col>
      <xdr:colOff>3540600</xdr:colOff>
      <xdr:row>2</xdr:row>
      <xdr:rowOff>150480</xdr:rowOff>
    </xdr:to>
    <xdr:pic>
      <xdr:nvPicPr>
        <xdr:cNvPr id="2" name="gráficos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7993080" y="129600"/>
          <a:ext cx="887760" cy="601920"/>
        </a:xfrm>
        <a:prstGeom prst="rect">
          <a:avLst/>
        </a:prstGeom>
        <a:ln w="0">
          <a:noFill/>
        </a:ln>
      </xdr:spPr>
    </xdr:pic>
    <xdr:clientData/>
  </xdr:twoCellAnchor>
</xdr:wsDr>
</file>

<file path=xl/theme/theme1.xml><?xml version="1.0" encoding="utf-8"?>
<a:theme xmlns:a="http://schemas.openxmlformats.org/drawingml/2006/main" name="Tema de 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majorFont>
      <a:minorFont>
        <a:latin typeface="Calibri" panose="020F0502020204030204"/>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5"/>
  <sheetViews>
    <sheetView zoomScale="70" zoomScaleNormal="70" workbookViewId="0">
      <selection activeCell="C22" sqref="C22"/>
    </sheetView>
  </sheetViews>
  <sheetFormatPr baseColWidth="10" defaultColWidth="11" defaultRowHeight="16"/>
  <cols>
    <col min="1" max="1" width="11" style="1"/>
    <col min="2" max="2" width="25.5" customWidth="1"/>
    <col min="6" max="6" width="49.5" customWidth="1"/>
    <col min="7" max="7" width="33" customWidth="1"/>
  </cols>
  <sheetData>
    <row r="1" spans="2:7" ht="26.25" customHeight="1">
      <c r="B1" s="289" t="s">
        <v>0</v>
      </c>
      <c r="C1" s="289"/>
      <c r="D1" s="289"/>
      <c r="E1" s="289"/>
      <c r="F1" s="289"/>
      <c r="G1" s="2"/>
    </row>
    <row r="2" spans="2:7" ht="19.5" customHeight="1">
      <c r="B2" s="290" t="s">
        <v>1</v>
      </c>
      <c r="C2" s="290"/>
      <c r="D2" s="290"/>
      <c r="E2" s="290"/>
      <c r="F2" s="290"/>
      <c r="G2" s="3"/>
    </row>
    <row r="3" spans="2:7" ht="15.75" customHeight="1">
      <c r="B3" s="291"/>
      <c r="C3" s="291"/>
      <c r="D3" s="291"/>
      <c r="E3" s="291"/>
      <c r="F3" s="291"/>
    </row>
    <row r="4" spans="2:7" ht="15.75" customHeight="1">
      <c r="B4" s="291"/>
      <c r="C4" s="291"/>
      <c r="D4" s="291"/>
      <c r="E4" s="291"/>
      <c r="F4" s="291"/>
    </row>
    <row r="5" spans="2:7" ht="44.25" customHeight="1">
      <c r="B5" s="4" t="s">
        <v>2</v>
      </c>
      <c r="C5" s="292" t="s">
        <v>3</v>
      </c>
      <c r="D5" s="292"/>
      <c r="E5" s="292"/>
      <c r="F5" s="292"/>
    </row>
    <row r="6" spans="2:7" ht="126.75" customHeight="1">
      <c r="B6" s="4" t="s">
        <v>4</v>
      </c>
      <c r="C6" s="293"/>
      <c r="D6" s="293"/>
      <c r="E6" s="293"/>
      <c r="F6" s="293"/>
    </row>
    <row r="7" spans="2:7" ht="15.75" customHeight="1">
      <c r="B7" s="4" t="s">
        <v>5</v>
      </c>
      <c r="C7" s="284" t="s">
        <v>6</v>
      </c>
      <c r="D7" s="284"/>
      <c r="E7" s="284"/>
      <c r="F7" s="284"/>
    </row>
    <row r="8" spans="2:7" ht="15.75" customHeight="1">
      <c r="B8" s="4" t="s">
        <v>7</v>
      </c>
      <c r="C8" s="285" t="s">
        <v>8</v>
      </c>
      <c r="D8" s="285"/>
      <c r="E8" s="285"/>
      <c r="F8" s="285"/>
    </row>
    <row r="9" spans="2:7" ht="35.25" customHeight="1">
      <c r="B9" s="5" t="s">
        <v>9</v>
      </c>
      <c r="C9" s="286" t="s">
        <v>10</v>
      </c>
      <c r="D9" s="286"/>
      <c r="E9" s="287"/>
      <c r="F9" s="287"/>
    </row>
    <row r="10" spans="2:7" ht="15.75" customHeight="1">
      <c r="B10" s="288" t="s">
        <v>11</v>
      </c>
      <c r="C10" s="6" t="s">
        <v>12</v>
      </c>
      <c r="D10" s="7" t="s">
        <v>13</v>
      </c>
      <c r="E10" s="7" t="s">
        <v>14</v>
      </c>
      <c r="F10" s="8" t="s">
        <v>15</v>
      </c>
    </row>
    <row r="11" spans="2:7" ht="15.75" customHeight="1">
      <c r="B11" s="288"/>
      <c r="C11" s="9"/>
      <c r="D11" s="9"/>
      <c r="E11" s="10"/>
      <c r="F11" s="11"/>
    </row>
    <row r="12" spans="2:7" ht="15.75" customHeight="1">
      <c r="B12" s="288"/>
      <c r="C12" s="12"/>
      <c r="D12" s="12"/>
      <c r="E12" s="13"/>
      <c r="F12" s="14"/>
    </row>
    <row r="13" spans="2:7" ht="15.75" customHeight="1">
      <c r="B13" s="288"/>
      <c r="C13" s="12"/>
      <c r="D13" s="12"/>
      <c r="E13" s="13"/>
      <c r="F13" s="14"/>
    </row>
    <row r="14" spans="2:7" ht="15.75" customHeight="1">
      <c r="B14" s="288"/>
      <c r="C14" s="12"/>
      <c r="D14" s="12"/>
      <c r="E14" s="13"/>
      <c r="F14" s="14"/>
    </row>
    <row r="15" spans="2:7" ht="15.75" customHeight="1">
      <c r="B15" s="288"/>
      <c r="C15" s="12"/>
      <c r="D15" s="12"/>
      <c r="E15" s="13"/>
      <c r="F15" s="14"/>
    </row>
    <row r="16" spans="2:7" ht="15.75" customHeight="1">
      <c r="B16" s="288"/>
      <c r="C16" s="12"/>
      <c r="D16" s="12"/>
      <c r="E16" s="13"/>
      <c r="F16" s="14"/>
    </row>
    <row r="17" spans="2:6" ht="15.75" customHeight="1">
      <c r="B17" s="288"/>
      <c r="C17" s="12"/>
      <c r="D17" s="12"/>
      <c r="E17" s="13"/>
      <c r="F17" s="14"/>
    </row>
    <row r="18" spans="2:6" ht="15.75" customHeight="1">
      <c r="B18" s="288"/>
      <c r="C18" s="15"/>
      <c r="D18" s="15"/>
      <c r="E18" s="16"/>
      <c r="F18" s="17"/>
    </row>
    <row r="19" spans="2:6" ht="15.75" customHeight="1">
      <c r="B19" s="18"/>
      <c r="C19" s="1"/>
    </row>
    <row r="20" spans="2:6" ht="15.75" customHeight="1">
      <c r="B20" s="281" t="s">
        <v>16</v>
      </c>
      <c r="C20" s="282"/>
      <c r="D20" s="282"/>
      <c r="E20" s="282"/>
      <c r="F20" s="282"/>
    </row>
    <row r="21" spans="2:6" ht="15.75" customHeight="1">
      <c r="B21" s="281"/>
      <c r="C21" s="283" t="s">
        <v>17</v>
      </c>
      <c r="D21" s="283"/>
      <c r="E21" s="283"/>
      <c r="F21" s="283"/>
    </row>
    <row r="22" spans="2:6" ht="15.75" customHeight="1">
      <c r="B22" s="281" t="s">
        <v>18</v>
      </c>
      <c r="C22" s="282"/>
      <c r="D22" s="282"/>
      <c r="E22" s="282"/>
      <c r="F22" s="282"/>
    </row>
    <row r="23" spans="2:6" ht="15.75" customHeight="1">
      <c r="B23" s="281"/>
      <c r="C23" s="283" t="s">
        <v>17</v>
      </c>
      <c r="D23" s="283"/>
      <c r="E23" s="283"/>
      <c r="F23" s="283"/>
    </row>
    <row r="24" spans="2:6" ht="15.75" customHeight="1">
      <c r="B24" s="18"/>
    </row>
    <row r="25" spans="2:6" ht="15.75" customHeight="1">
      <c r="B25" s="18"/>
    </row>
  </sheetData>
  <mergeCells count="16">
    <mergeCell ref="B1:F1"/>
    <mergeCell ref="B2:F2"/>
    <mergeCell ref="B3:F4"/>
    <mergeCell ref="C5:F5"/>
    <mergeCell ref="C6:F6"/>
    <mergeCell ref="C7:F7"/>
    <mergeCell ref="C8:F8"/>
    <mergeCell ref="C9:D9"/>
    <mergeCell ref="E9:F9"/>
    <mergeCell ref="B10:B18"/>
    <mergeCell ref="B20:B21"/>
    <mergeCell ref="C20:F20"/>
    <mergeCell ref="C21:F21"/>
    <mergeCell ref="B22:B23"/>
    <mergeCell ref="C22:F22"/>
    <mergeCell ref="C23:F23"/>
  </mergeCells>
  <hyperlinks>
    <hyperlink ref="C8" location="'Especificaciones Tecnicas'!A1" display="Para visualizar las especificaciones tecnicas dirijase a la pestaña Especificaciones Tecnicas" xr:uid="{00000000-0004-0000-0000-000000000000}"/>
  </hyperlinks>
  <pageMargins left="0.7" right="0.7" top="0.75" bottom="0.75" header="0.511811023622047" footer="0.511811023622047"/>
  <pageSetup paperSize="9" orientation="portrait" horizontalDpi="300" verticalDpi="30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B347"/>
  <sheetViews>
    <sheetView tabSelected="1" zoomScale="70" zoomScaleNormal="70" workbookViewId="0">
      <pane ySplit="1" topLeftCell="A2" activePane="bottomLeft" state="frozen"/>
      <selection activeCell="G1" sqref="G1"/>
      <selection pane="bottomLeft" activeCell="C30" sqref="C30"/>
    </sheetView>
  </sheetViews>
  <sheetFormatPr baseColWidth="10" defaultColWidth="11" defaultRowHeight="16"/>
  <cols>
    <col min="1" max="1" width="6" customWidth="1"/>
    <col min="2" max="2" width="17.83203125" style="19" customWidth="1"/>
    <col min="3" max="3" width="40" style="18" customWidth="1"/>
    <col min="4" max="4" width="16.83203125" style="20" customWidth="1"/>
    <col min="5" max="5" width="11.83203125" customWidth="1"/>
    <col min="6" max="6" width="10.5" style="20" customWidth="1"/>
    <col min="7" max="7" width="10" style="20" customWidth="1"/>
    <col min="8" max="8" width="15" style="21" customWidth="1"/>
    <col min="9" max="9" width="19" style="22" customWidth="1"/>
    <col min="10" max="11" width="15.5" style="22" customWidth="1"/>
    <col min="12" max="12" width="14.5" style="22" customWidth="1"/>
    <col min="13" max="13" width="15.83203125" style="22" customWidth="1"/>
    <col min="14" max="14" width="29.83203125" customWidth="1"/>
    <col min="15" max="15" width="21.6640625" customWidth="1"/>
    <col min="16" max="16" width="26.33203125" customWidth="1"/>
    <col min="17" max="17" width="8.5" customWidth="1"/>
    <col min="18" max="18" width="29" customWidth="1"/>
    <col min="19" max="19" width="28" customWidth="1"/>
    <col min="20" max="20" width="32.83203125" customWidth="1"/>
    <col min="21" max="21" width="14" style="23" customWidth="1"/>
    <col min="22" max="22" width="18" style="23" customWidth="1"/>
    <col min="23" max="23" width="13.83203125" style="23" customWidth="1"/>
    <col min="24" max="24" width="19" customWidth="1"/>
    <col min="25" max="25" width="31.5" customWidth="1"/>
  </cols>
  <sheetData>
    <row r="1" spans="1:25" s="19" customFormat="1" ht="82.5" customHeight="1">
      <c r="A1" s="24"/>
      <c r="B1" s="312" t="s">
        <v>19</v>
      </c>
      <c r="C1" s="312" t="s">
        <v>20</v>
      </c>
      <c r="D1" s="312" t="s">
        <v>21</v>
      </c>
      <c r="E1" s="312" t="s">
        <v>22</v>
      </c>
      <c r="F1" s="312" t="s">
        <v>23</v>
      </c>
      <c r="G1" s="312" t="s">
        <v>22</v>
      </c>
      <c r="H1" s="319" t="s">
        <v>24</v>
      </c>
      <c r="I1" s="317" t="s">
        <v>25</v>
      </c>
      <c r="J1" s="317" t="s">
        <v>24</v>
      </c>
      <c r="K1" s="317" t="s">
        <v>25</v>
      </c>
      <c r="L1" s="317" t="s">
        <v>24</v>
      </c>
      <c r="M1" s="317" t="s">
        <v>25</v>
      </c>
      <c r="N1" s="315" t="s">
        <v>26</v>
      </c>
      <c r="O1" s="318" t="s">
        <v>27</v>
      </c>
      <c r="P1" s="315" t="s">
        <v>28</v>
      </c>
      <c r="Q1" s="315" t="s">
        <v>29</v>
      </c>
      <c r="R1" s="315" t="s">
        <v>30</v>
      </c>
      <c r="S1" s="316" t="s">
        <v>31</v>
      </c>
      <c r="T1" s="315" t="s">
        <v>32</v>
      </c>
      <c r="U1" s="311" t="s">
        <v>33</v>
      </c>
      <c r="V1" s="311" t="s">
        <v>34</v>
      </c>
      <c r="W1" s="311" t="s">
        <v>35</v>
      </c>
      <c r="X1" s="19" t="s">
        <v>36</v>
      </c>
    </row>
    <row r="2" spans="1:25" s="19" customFormat="1" ht="29.25" customHeight="1">
      <c r="A2" s="25" t="s">
        <v>37</v>
      </c>
      <c r="B2" s="312"/>
      <c r="C2" s="312"/>
      <c r="D2" s="312"/>
      <c r="E2" s="312"/>
      <c r="F2" s="312"/>
      <c r="G2" s="312"/>
      <c r="H2" s="312"/>
      <c r="I2" s="312"/>
      <c r="J2" s="312"/>
      <c r="K2" s="312"/>
      <c r="L2" s="312"/>
      <c r="M2" s="312"/>
      <c r="N2" s="312"/>
      <c r="O2" s="312"/>
      <c r="P2" s="312"/>
      <c r="Q2" s="312"/>
      <c r="R2" s="312"/>
      <c r="S2" s="312"/>
      <c r="T2" s="312"/>
      <c r="U2" s="312"/>
      <c r="V2" s="312"/>
      <c r="W2" s="312"/>
    </row>
    <row r="3" spans="1:25" ht="21.75" customHeight="1">
      <c r="A3" s="313" t="s">
        <v>38</v>
      </c>
      <c r="B3" s="313"/>
      <c r="C3" s="313"/>
      <c r="D3" s="313"/>
      <c r="E3" s="313"/>
      <c r="F3" s="313"/>
      <c r="G3" s="313"/>
      <c r="H3" s="313"/>
      <c r="I3" s="313"/>
      <c r="J3" s="313"/>
      <c r="K3" s="313"/>
      <c r="L3" s="313"/>
      <c r="M3" s="313"/>
      <c r="N3" s="313"/>
      <c r="O3" s="313"/>
      <c r="P3" s="313"/>
      <c r="Q3" s="313"/>
      <c r="R3" s="313"/>
      <c r="S3" s="313"/>
      <c r="T3" s="313"/>
      <c r="U3" s="313"/>
      <c r="V3" s="313"/>
      <c r="W3" s="313"/>
    </row>
    <row r="4" spans="1:25" ht="408.75" customHeight="1">
      <c r="A4" s="26">
        <v>1</v>
      </c>
      <c r="B4" s="27" t="s">
        <v>39</v>
      </c>
      <c r="C4" s="27" t="s">
        <v>40</v>
      </c>
      <c r="D4" s="28">
        <v>1</v>
      </c>
      <c r="E4" s="28" t="s">
        <v>41</v>
      </c>
      <c r="F4" s="28">
        <v>7</v>
      </c>
      <c r="G4" s="28" t="s">
        <v>42</v>
      </c>
      <c r="H4" s="29">
        <v>7688001</v>
      </c>
      <c r="I4" s="29">
        <f t="shared" ref="I4:I9" si="0">+H4*F4*D4</f>
        <v>53816007</v>
      </c>
      <c r="J4" s="29"/>
      <c r="K4" s="29"/>
      <c r="L4" s="29"/>
      <c r="M4" s="29"/>
      <c r="N4" s="29">
        <f t="shared" ref="N4:N9" si="1">+AVERAGE(H4,J4,L4)</f>
        <v>7688001</v>
      </c>
      <c r="O4" s="29">
        <f t="shared" ref="O4:O9" si="2">+N4*D4*F4</f>
        <v>53816007</v>
      </c>
      <c r="P4" s="29">
        <f t="shared" ref="P4:P9" si="3">+_xlfn.STDEV.P(H4,J4,L4)</f>
        <v>0</v>
      </c>
      <c r="Q4" s="30">
        <f t="shared" ref="Q4:Q9" si="4">+P4/N4</f>
        <v>0</v>
      </c>
      <c r="R4" s="29">
        <f t="shared" ref="R4:R9" si="5">+MEDIAN(H4,J4,L4)</f>
        <v>7688001</v>
      </c>
      <c r="S4" s="29">
        <f t="shared" ref="S4:S9" si="6">+R4*D4*F4</f>
        <v>53816007</v>
      </c>
      <c r="T4" s="30">
        <f t="shared" ref="T4:T9" si="7">+P4/R4</f>
        <v>0</v>
      </c>
      <c r="U4" s="28" t="s">
        <v>43</v>
      </c>
      <c r="V4" s="28"/>
      <c r="W4" s="28"/>
    </row>
    <row r="5" spans="1:25" ht="258.75" customHeight="1">
      <c r="A5" s="26">
        <v>2</v>
      </c>
      <c r="B5" s="27" t="s">
        <v>44</v>
      </c>
      <c r="C5" s="27" t="s">
        <v>45</v>
      </c>
      <c r="D5" s="28">
        <v>2</v>
      </c>
      <c r="E5" s="28" t="s">
        <v>41</v>
      </c>
      <c r="F5" s="28">
        <v>7</v>
      </c>
      <c r="G5" s="28" t="s">
        <v>46</v>
      </c>
      <c r="H5" s="29">
        <v>7688001</v>
      </c>
      <c r="I5" s="29">
        <f t="shared" si="0"/>
        <v>107632014</v>
      </c>
      <c r="J5" s="29"/>
      <c r="K5" s="29"/>
      <c r="L5" s="29"/>
      <c r="M5" s="29"/>
      <c r="N5" s="29">
        <f t="shared" si="1"/>
        <v>7688001</v>
      </c>
      <c r="O5" s="29">
        <f t="shared" si="2"/>
        <v>107632014</v>
      </c>
      <c r="P5" s="29">
        <f t="shared" si="3"/>
        <v>0</v>
      </c>
      <c r="Q5" s="30">
        <f t="shared" si="4"/>
        <v>0</v>
      </c>
      <c r="R5" s="29">
        <f t="shared" si="5"/>
        <v>7688001</v>
      </c>
      <c r="S5" s="29">
        <f t="shared" si="6"/>
        <v>107632014</v>
      </c>
      <c r="T5" s="30">
        <f t="shared" si="7"/>
        <v>0</v>
      </c>
      <c r="U5" s="28" t="s">
        <v>43</v>
      </c>
      <c r="V5" s="28"/>
      <c r="W5" s="28"/>
      <c r="X5" t="s">
        <v>47</v>
      </c>
    </row>
    <row r="6" spans="1:25" ht="165.75" customHeight="1">
      <c r="A6" s="26">
        <v>3</v>
      </c>
      <c r="B6" s="27" t="s">
        <v>48</v>
      </c>
      <c r="C6" s="27" t="s">
        <v>49</v>
      </c>
      <c r="D6" s="28">
        <v>2</v>
      </c>
      <c r="E6" s="28" t="s">
        <v>41</v>
      </c>
      <c r="F6" s="28">
        <v>7</v>
      </c>
      <c r="G6" s="28" t="s">
        <v>46</v>
      </c>
      <c r="H6" s="29">
        <v>3100001</v>
      </c>
      <c r="I6" s="29">
        <f t="shared" si="0"/>
        <v>43400014</v>
      </c>
      <c r="J6" s="29"/>
      <c r="K6" s="29"/>
      <c r="L6" s="29"/>
      <c r="M6" s="29"/>
      <c r="N6" s="29">
        <f t="shared" si="1"/>
        <v>3100001</v>
      </c>
      <c r="O6" s="29">
        <f t="shared" si="2"/>
        <v>43400014</v>
      </c>
      <c r="P6" s="29">
        <f t="shared" si="3"/>
        <v>0</v>
      </c>
      <c r="Q6" s="30">
        <f t="shared" si="4"/>
        <v>0</v>
      </c>
      <c r="R6" s="29">
        <f t="shared" si="5"/>
        <v>3100001</v>
      </c>
      <c r="S6" s="29">
        <f t="shared" si="6"/>
        <v>43400014</v>
      </c>
      <c r="T6" s="30">
        <f t="shared" si="7"/>
        <v>0</v>
      </c>
      <c r="U6" s="28" t="s">
        <v>43</v>
      </c>
      <c r="V6" s="28"/>
      <c r="W6" s="28"/>
      <c r="X6" t="s">
        <v>47</v>
      </c>
    </row>
    <row r="7" spans="1:25" ht="176.25" customHeight="1">
      <c r="A7" s="26"/>
      <c r="B7" s="31" t="s">
        <v>50</v>
      </c>
      <c r="C7" s="32" t="s">
        <v>51</v>
      </c>
      <c r="D7" s="28">
        <v>1</v>
      </c>
      <c r="E7" s="28" t="s">
        <v>52</v>
      </c>
      <c r="F7" s="33">
        <f>D38*F38+500+D86+D96+D138+D183*F183+D217+D280+D283</f>
        <v>6820</v>
      </c>
      <c r="G7" s="28" t="s">
        <v>53</v>
      </c>
      <c r="H7" s="29">
        <v>10800</v>
      </c>
      <c r="I7" s="29">
        <f t="shared" si="0"/>
        <v>73656000</v>
      </c>
      <c r="J7" s="29">
        <v>12200</v>
      </c>
      <c r="K7" s="29">
        <f>+J7*F7*D7</f>
        <v>83204000</v>
      </c>
      <c r="L7" s="29">
        <v>10800</v>
      </c>
      <c r="M7" s="29">
        <f>+L7*F7*D7</f>
        <v>73656000</v>
      </c>
      <c r="N7" s="29">
        <f t="shared" si="1"/>
        <v>11266.666666666666</v>
      </c>
      <c r="O7" s="29">
        <f t="shared" si="2"/>
        <v>76838666.666666657</v>
      </c>
      <c r="P7" s="29">
        <f t="shared" si="3"/>
        <v>659.96632910744438</v>
      </c>
      <c r="Q7" s="30">
        <f t="shared" si="4"/>
        <v>5.8576893116045366E-2</v>
      </c>
      <c r="R7" s="29">
        <f t="shared" si="5"/>
        <v>10800</v>
      </c>
      <c r="S7" s="29">
        <f t="shared" si="6"/>
        <v>73656000</v>
      </c>
      <c r="T7" s="30">
        <f t="shared" si="7"/>
        <v>6.1107993435874482E-2</v>
      </c>
      <c r="U7" s="28" t="s">
        <v>54</v>
      </c>
      <c r="V7" s="28" t="s">
        <v>55</v>
      </c>
      <c r="W7" s="28" t="s">
        <v>56</v>
      </c>
    </row>
    <row r="8" spans="1:25" ht="156" customHeight="1">
      <c r="A8" s="26">
        <v>4</v>
      </c>
      <c r="B8" s="34" t="s">
        <v>57</v>
      </c>
      <c r="C8" s="27" t="s">
        <v>58</v>
      </c>
      <c r="D8" s="28">
        <v>4</v>
      </c>
      <c r="E8" s="28" t="s">
        <v>59</v>
      </c>
      <c r="F8" s="28">
        <v>7</v>
      </c>
      <c r="G8" s="28" t="s">
        <v>46</v>
      </c>
      <c r="H8" s="29">
        <v>1540000</v>
      </c>
      <c r="I8" s="29">
        <f t="shared" si="0"/>
        <v>43120000</v>
      </c>
      <c r="J8" s="29"/>
      <c r="K8" s="29"/>
      <c r="L8" s="29"/>
      <c r="M8" s="29"/>
      <c r="N8" s="29">
        <f t="shared" si="1"/>
        <v>1540000</v>
      </c>
      <c r="O8" s="29">
        <f t="shared" si="2"/>
        <v>43120000</v>
      </c>
      <c r="P8" s="29">
        <f t="shared" si="3"/>
        <v>0</v>
      </c>
      <c r="Q8" s="30">
        <f t="shared" si="4"/>
        <v>0</v>
      </c>
      <c r="R8" s="29">
        <f t="shared" si="5"/>
        <v>1540000</v>
      </c>
      <c r="S8" s="29">
        <f t="shared" si="6"/>
        <v>43120000</v>
      </c>
      <c r="T8" s="30">
        <f t="shared" si="7"/>
        <v>0</v>
      </c>
      <c r="U8" s="28" t="s">
        <v>43</v>
      </c>
      <c r="V8" s="28"/>
      <c r="W8" s="28"/>
      <c r="X8" t="s">
        <v>60</v>
      </c>
      <c r="Y8" t="s">
        <v>61</v>
      </c>
    </row>
    <row r="9" spans="1:25" ht="408.75" customHeight="1">
      <c r="A9" s="35">
        <v>5</v>
      </c>
      <c r="B9" s="36" t="s">
        <v>62</v>
      </c>
      <c r="C9" s="36" t="s">
        <v>63</v>
      </c>
      <c r="D9" s="37">
        <v>1</v>
      </c>
      <c r="E9" s="37" t="s">
        <v>52</v>
      </c>
      <c r="F9" s="37">
        <v>7</v>
      </c>
      <c r="G9" s="37" t="s">
        <v>64</v>
      </c>
      <c r="H9" s="38">
        <v>20000000</v>
      </c>
      <c r="I9" s="38">
        <f t="shared" si="0"/>
        <v>140000000</v>
      </c>
      <c r="J9" s="38"/>
      <c r="K9" s="38"/>
      <c r="L9" s="38"/>
      <c r="M9" s="38"/>
      <c r="N9" s="38">
        <f t="shared" si="1"/>
        <v>20000000</v>
      </c>
      <c r="O9" s="38">
        <f t="shared" si="2"/>
        <v>140000000</v>
      </c>
      <c r="P9" s="38">
        <f t="shared" si="3"/>
        <v>0</v>
      </c>
      <c r="Q9" s="39">
        <f t="shared" si="4"/>
        <v>0</v>
      </c>
      <c r="R9" s="38">
        <f t="shared" si="5"/>
        <v>20000000</v>
      </c>
      <c r="S9" s="38">
        <f t="shared" si="6"/>
        <v>140000000</v>
      </c>
      <c r="T9" s="39">
        <f t="shared" si="7"/>
        <v>0</v>
      </c>
      <c r="U9" s="37" t="s">
        <v>65</v>
      </c>
      <c r="V9" s="37"/>
      <c r="W9" s="37"/>
      <c r="X9" s="40">
        <f>SUM(O4:O9)</f>
        <v>464806701.66666663</v>
      </c>
      <c r="Y9" s="40">
        <f>SUM(S4:S9)</f>
        <v>461624035</v>
      </c>
    </row>
    <row r="10" spans="1:25" ht="41.25" customHeight="1">
      <c r="A10" s="41"/>
      <c r="B10" s="42"/>
      <c r="C10" s="43" t="s">
        <v>66</v>
      </c>
      <c r="D10" s="42"/>
      <c r="E10" s="42"/>
      <c r="F10" s="42"/>
      <c r="G10" s="42"/>
      <c r="H10" s="42"/>
      <c r="I10" s="42"/>
      <c r="J10" s="42"/>
      <c r="K10" s="42"/>
      <c r="L10" s="42"/>
      <c r="M10" s="42"/>
      <c r="N10" s="42"/>
      <c r="O10" s="42"/>
      <c r="P10" s="42"/>
      <c r="Q10" s="42"/>
      <c r="R10" s="42"/>
      <c r="S10" s="42"/>
      <c r="T10" s="42"/>
      <c r="U10" s="42"/>
      <c r="V10" s="42"/>
      <c r="W10" s="44"/>
    </row>
    <row r="11" spans="1:25" ht="39" customHeight="1">
      <c r="A11" s="45"/>
      <c r="B11" s="46"/>
      <c r="C11" s="314" t="s">
        <v>67</v>
      </c>
      <c r="D11" s="314"/>
      <c r="E11" s="314"/>
      <c r="F11" s="314"/>
      <c r="G11" s="314"/>
      <c r="H11" s="46"/>
      <c r="I11" s="46"/>
      <c r="J11" s="46"/>
      <c r="K11" s="46"/>
      <c r="L11" s="46"/>
      <c r="M11" s="46"/>
      <c r="N11" s="46"/>
      <c r="O11" s="46"/>
      <c r="P11" s="46"/>
      <c r="Q11" s="46"/>
      <c r="R11" s="46"/>
      <c r="S11" s="46"/>
      <c r="T11" s="46"/>
      <c r="U11" s="46"/>
      <c r="V11" s="46"/>
      <c r="W11" s="47"/>
    </row>
    <row r="12" spans="1:25" ht="18.75" customHeight="1">
      <c r="A12" s="48"/>
      <c r="B12" s="48"/>
      <c r="C12" s="296" t="s">
        <v>68</v>
      </c>
      <c r="D12" s="296"/>
      <c r="E12" s="296"/>
      <c r="F12" s="296"/>
      <c r="G12" s="296"/>
      <c r="H12" s="48"/>
      <c r="I12" s="48"/>
      <c r="J12" s="48"/>
      <c r="K12" s="48"/>
      <c r="L12" s="48"/>
      <c r="M12" s="48"/>
      <c r="N12" s="48"/>
      <c r="O12" s="48"/>
      <c r="P12" s="48"/>
      <c r="Q12" s="48"/>
      <c r="R12" s="48"/>
      <c r="S12" s="48"/>
      <c r="T12" s="48"/>
      <c r="U12" s="48"/>
      <c r="V12" s="48"/>
      <c r="W12" s="48"/>
    </row>
    <row r="13" spans="1:25" ht="93.75" customHeight="1">
      <c r="A13" s="49">
        <v>6</v>
      </c>
      <c r="B13" s="50" t="s">
        <v>69</v>
      </c>
      <c r="C13" s="50" t="s">
        <v>70</v>
      </c>
      <c r="D13" s="50">
        <v>1</v>
      </c>
      <c r="E13" s="51" t="s">
        <v>71</v>
      </c>
      <c r="F13" s="52">
        <v>1</v>
      </c>
      <c r="G13" s="52" t="s">
        <v>72</v>
      </c>
      <c r="H13" s="53">
        <f>7996001/30</f>
        <v>266533.36666666664</v>
      </c>
      <c r="I13" s="53">
        <f t="shared" ref="I13:I27" si="8">+H13*D13*F13</f>
        <v>266533.36666666664</v>
      </c>
      <c r="J13" s="54"/>
      <c r="K13" s="54"/>
      <c r="L13" s="54"/>
      <c r="M13" s="54"/>
      <c r="N13" s="29">
        <f t="shared" ref="N13:N27" si="9">+AVERAGE(H13,J13,L13)</f>
        <v>266533.36666666664</v>
      </c>
      <c r="O13" s="29">
        <f t="shared" ref="O13:O27" si="10">+N13*D13*F13</f>
        <v>266533.36666666664</v>
      </c>
      <c r="P13" s="29">
        <f t="shared" ref="P13:P27" si="11">+_xlfn.STDEV.P(H13,J13,L13)</f>
        <v>0</v>
      </c>
      <c r="Q13" s="30">
        <f t="shared" ref="Q13:Q27" si="12">+P13/N13</f>
        <v>0</v>
      </c>
      <c r="R13" s="29">
        <f t="shared" ref="R13:R27" si="13">+MEDIAN(H13,J13,L13)</f>
        <v>266533.36666666664</v>
      </c>
      <c r="S13" s="29">
        <f t="shared" ref="S13:S27" si="14">+R13*D13*F13</f>
        <v>266533.36666666664</v>
      </c>
      <c r="T13" s="30">
        <f t="shared" ref="T13:T27" si="15">+P13/R13</f>
        <v>0</v>
      </c>
      <c r="U13" s="55" t="s">
        <v>43</v>
      </c>
      <c r="V13" s="56"/>
      <c r="W13" s="56"/>
    </row>
    <row r="14" spans="1:25" ht="45.75" customHeight="1">
      <c r="A14" s="49">
        <v>7</v>
      </c>
      <c r="B14" s="50" t="s">
        <v>73</v>
      </c>
      <c r="C14" s="50" t="s">
        <v>74</v>
      </c>
      <c r="D14" s="50">
        <v>4</v>
      </c>
      <c r="E14" s="51" t="s">
        <v>71</v>
      </c>
      <c r="F14" s="52">
        <v>1</v>
      </c>
      <c r="G14" s="52" t="s">
        <v>42</v>
      </c>
      <c r="H14" s="53">
        <f>3224001</f>
        <v>3224001</v>
      </c>
      <c r="I14" s="53">
        <f t="shared" si="8"/>
        <v>12896004</v>
      </c>
      <c r="J14" s="54"/>
      <c r="K14" s="54"/>
      <c r="L14" s="54"/>
      <c r="M14" s="54"/>
      <c r="N14" s="29">
        <f t="shared" si="9"/>
        <v>3224001</v>
      </c>
      <c r="O14" s="29">
        <f t="shared" si="10"/>
        <v>12896004</v>
      </c>
      <c r="P14" s="29">
        <f t="shared" si="11"/>
        <v>0</v>
      </c>
      <c r="Q14" s="30">
        <f t="shared" si="12"/>
        <v>0</v>
      </c>
      <c r="R14" s="29">
        <f t="shared" si="13"/>
        <v>3224001</v>
      </c>
      <c r="S14" s="29">
        <f t="shared" si="14"/>
        <v>12896004</v>
      </c>
      <c r="T14" s="30">
        <f t="shared" si="15"/>
        <v>0</v>
      </c>
      <c r="U14" s="55" t="s">
        <v>43</v>
      </c>
      <c r="V14" s="56"/>
      <c r="W14" s="56"/>
    </row>
    <row r="15" spans="1:25" ht="113.25" customHeight="1">
      <c r="A15" s="49">
        <v>8</v>
      </c>
      <c r="B15" s="50" t="s">
        <v>75</v>
      </c>
      <c r="C15" s="50" t="s">
        <v>76</v>
      </c>
      <c r="D15" s="57">
        <v>1</v>
      </c>
      <c r="E15" s="51" t="s">
        <v>71</v>
      </c>
      <c r="F15" s="52">
        <v>1</v>
      </c>
      <c r="G15" s="52" t="s">
        <v>42</v>
      </c>
      <c r="H15" s="53">
        <f>3224001</f>
        <v>3224001</v>
      </c>
      <c r="I15" s="53">
        <f t="shared" si="8"/>
        <v>3224001</v>
      </c>
      <c r="J15" s="54"/>
      <c r="K15" s="54"/>
      <c r="L15" s="54"/>
      <c r="M15" s="54"/>
      <c r="N15" s="29">
        <f t="shared" si="9"/>
        <v>3224001</v>
      </c>
      <c r="O15" s="29">
        <f t="shared" si="10"/>
        <v>3224001</v>
      </c>
      <c r="P15" s="29">
        <f t="shared" si="11"/>
        <v>0</v>
      </c>
      <c r="Q15" s="30">
        <f t="shared" si="12"/>
        <v>0</v>
      </c>
      <c r="R15" s="29">
        <f t="shared" si="13"/>
        <v>3224001</v>
      </c>
      <c r="S15" s="29">
        <f t="shared" si="14"/>
        <v>3224001</v>
      </c>
      <c r="T15" s="30">
        <f t="shared" si="15"/>
        <v>0</v>
      </c>
      <c r="U15" s="55" t="s">
        <v>43</v>
      </c>
      <c r="V15" s="56"/>
      <c r="W15" s="56"/>
    </row>
    <row r="16" spans="1:25" ht="99" customHeight="1">
      <c r="A16" s="49">
        <v>9</v>
      </c>
      <c r="B16" s="50" t="s">
        <v>77</v>
      </c>
      <c r="C16" s="50" t="s">
        <v>78</v>
      </c>
      <c r="D16" s="50">
        <v>24</v>
      </c>
      <c r="E16" s="51" t="s">
        <v>71</v>
      </c>
      <c r="F16" s="52">
        <v>4</v>
      </c>
      <c r="G16" s="52" t="s">
        <v>72</v>
      </c>
      <c r="H16" s="53">
        <f>3224001/30</f>
        <v>107466.7</v>
      </c>
      <c r="I16" s="53">
        <f t="shared" si="8"/>
        <v>10316803.199999999</v>
      </c>
      <c r="J16" s="54"/>
      <c r="K16" s="54"/>
      <c r="L16" s="54"/>
      <c r="M16" s="54"/>
      <c r="N16" s="29">
        <f t="shared" si="9"/>
        <v>107466.7</v>
      </c>
      <c r="O16" s="29">
        <f t="shared" si="10"/>
        <v>10316803.199999999</v>
      </c>
      <c r="P16" s="29">
        <f t="shared" si="11"/>
        <v>0</v>
      </c>
      <c r="Q16" s="30">
        <f t="shared" si="12"/>
        <v>0</v>
      </c>
      <c r="R16" s="29">
        <f t="shared" si="13"/>
        <v>107466.7</v>
      </c>
      <c r="S16" s="29">
        <f t="shared" si="14"/>
        <v>10316803.199999999</v>
      </c>
      <c r="T16" s="30">
        <f t="shared" si="15"/>
        <v>0</v>
      </c>
      <c r="U16" s="55" t="s">
        <v>43</v>
      </c>
      <c r="V16" s="56"/>
      <c r="W16" s="56"/>
    </row>
    <row r="17" spans="1:23" ht="90.75" customHeight="1">
      <c r="A17" s="49">
        <v>10</v>
      </c>
      <c r="B17" s="50" t="s">
        <v>79</v>
      </c>
      <c r="C17" s="50" t="s">
        <v>80</v>
      </c>
      <c r="D17" s="50">
        <v>4</v>
      </c>
      <c r="E17" s="51" t="s">
        <v>71</v>
      </c>
      <c r="F17" s="52">
        <v>4</v>
      </c>
      <c r="G17" s="52" t="s">
        <v>72</v>
      </c>
      <c r="H17" s="53">
        <f>3224001/30</f>
        <v>107466.7</v>
      </c>
      <c r="I17" s="53">
        <f t="shared" si="8"/>
        <v>1719467.2</v>
      </c>
      <c r="J17" s="54"/>
      <c r="K17" s="54"/>
      <c r="L17" s="54"/>
      <c r="M17" s="54"/>
      <c r="N17" s="29">
        <f t="shared" si="9"/>
        <v>107466.7</v>
      </c>
      <c r="O17" s="29">
        <f t="shared" si="10"/>
        <v>1719467.2</v>
      </c>
      <c r="P17" s="29">
        <f t="shared" si="11"/>
        <v>0</v>
      </c>
      <c r="Q17" s="30">
        <f t="shared" si="12"/>
        <v>0</v>
      </c>
      <c r="R17" s="29">
        <f t="shared" si="13"/>
        <v>107466.7</v>
      </c>
      <c r="S17" s="29">
        <f t="shared" si="14"/>
        <v>1719467.2</v>
      </c>
      <c r="T17" s="30">
        <f t="shared" si="15"/>
        <v>0</v>
      </c>
      <c r="U17" s="55" t="s">
        <v>43</v>
      </c>
      <c r="V17" s="56"/>
      <c r="W17" s="56"/>
    </row>
    <row r="18" spans="1:23" ht="81" customHeight="1">
      <c r="A18" s="49">
        <v>11</v>
      </c>
      <c r="B18" s="50" t="s">
        <v>81</v>
      </c>
      <c r="C18" s="50" t="s">
        <v>82</v>
      </c>
      <c r="D18" s="57">
        <v>6</v>
      </c>
      <c r="E18" s="51" t="s">
        <v>71</v>
      </c>
      <c r="F18" s="52">
        <v>4</v>
      </c>
      <c r="G18" s="52" t="s">
        <v>72</v>
      </c>
      <c r="H18" s="58">
        <f>5860001/30</f>
        <v>195333.36666666667</v>
      </c>
      <c r="I18" s="53">
        <f t="shared" si="8"/>
        <v>4688000.8</v>
      </c>
      <c r="J18" s="59"/>
      <c r="K18" s="54"/>
      <c r="L18" s="59"/>
      <c r="M18" s="54"/>
      <c r="N18" s="29">
        <f t="shared" si="9"/>
        <v>195333.36666666667</v>
      </c>
      <c r="O18" s="29">
        <f t="shared" si="10"/>
        <v>4688000.8</v>
      </c>
      <c r="P18" s="29">
        <f t="shared" si="11"/>
        <v>0</v>
      </c>
      <c r="Q18" s="30">
        <f t="shared" si="12"/>
        <v>0</v>
      </c>
      <c r="R18" s="29">
        <f t="shared" si="13"/>
        <v>195333.36666666667</v>
      </c>
      <c r="S18" s="29">
        <f t="shared" si="14"/>
        <v>4688000.8</v>
      </c>
      <c r="T18" s="30">
        <f t="shared" si="15"/>
        <v>0</v>
      </c>
      <c r="U18" s="55" t="s">
        <v>43</v>
      </c>
      <c r="V18" s="56"/>
      <c r="W18" s="56"/>
    </row>
    <row r="19" spans="1:23" ht="56.25" customHeight="1">
      <c r="A19" s="49">
        <v>12</v>
      </c>
      <c r="B19" s="50" t="s">
        <v>83</v>
      </c>
      <c r="C19" s="50" t="s">
        <v>84</v>
      </c>
      <c r="D19" s="57">
        <v>3</v>
      </c>
      <c r="E19" s="51" t="s">
        <v>71</v>
      </c>
      <c r="F19" s="52">
        <v>4</v>
      </c>
      <c r="G19" s="52" t="s">
        <v>72</v>
      </c>
      <c r="H19" s="58">
        <f>5860001/30</f>
        <v>195333.36666666667</v>
      </c>
      <c r="I19" s="53">
        <f t="shared" si="8"/>
        <v>2344000.4</v>
      </c>
      <c r="J19" s="54"/>
      <c r="K19" s="54"/>
      <c r="L19" s="54"/>
      <c r="M19" s="54"/>
      <c r="N19" s="29">
        <f t="shared" si="9"/>
        <v>195333.36666666667</v>
      </c>
      <c r="O19" s="29">
        <f t="shared" si="10"/>
        <v>2344000.4</v>
      </c>
      <c r="P19" s="29">
        <f t="shared" si="11"/>
        <v>0</v>
      </c>
      <c r="Q19" s="30">
        <f t="shared" si="12"/>
        <v>0</v>
      </c>
      <c r="R19" s="29">
        <f t="shared" si="13"/>
        <v>195333.36666666667</v>
      </c>
      <c r="S19" s="29">
        <f t="shared" si="14"/>
        <v>2344000.4</v>
      </c>
      <c r="T19" s="30">
        <f t="shared" si="15"/>
        <v>0</v>
      </c>
      <c r="U19" s="55" t="s">
        <v>43</v>
      </c>
      <c r="V19" s="56"/>
      <c r="W19" s="56"/>
    </row>
    <row r="20" spans="1:23" ht="57.75" customHeight="1">
      <c r="A20" s="49">
        <v>13</v>
      </c>
      <c r="B20" s="50" t="s">
        <v>85</v>
      </c>
      <c r="C20" s="50" t="s">
        <v>86</v>
      </c>
      <c r="D20" s="57">
        <v>2</v>
      </c>
      <c r="E20" s="51" t="s">
        <v>71</v>
      </c>
      <c r="F20" s="52">
        <v>4</v>
      </c>
      <c r="G20" s="52" t="s">
        <v>72</v>
      </c>
      <c r="H20" s="58">
        <f>5860001/30</f>
        <v>195333.36666666667</v>
      </c>
      <c r="I20" s="53">
        <f t="shared" si="8"/>
        <v>1562666.9333333333</v>
      </c>
      <c r="J20" s="59"/>
      <c r="K20" s="54"/>
      <c r="L20" s="59"/>
      <c r="M20" s="54"/>
      <c r="N20" s="29">
        <f t="shared" si="9"/>
        <v>195333.36666666667</v>
      </c>
      <c r="O20" s="29">
        <f t="shared" si="10"/>
        <v>1562666.9333333333</v>
      </c>
      <c r="P20" s="29">
        <f t="shared" si="11"/>
        <v>0</v>
      </c>
      <c r="Q20" s="30">
        <f t="shared" si="12"/>
        <v>0</v>
      </c>
      <c r="R20" s="29">
        <f t="shared" si="13"/>
        <v>195333.36666666667</v>
      </c>
      <c r="S20" s="29">
        <f t="shared" si="14"/>
        <v>1562666.9333333333</v>
      </c>
      <c r="T20" s="30">
        <f t="shared" si="15"/>
        <v>0</v>
      </c>
      <c r="U20" s="55" t="s">
        <v>43</v>
      </c>
      <c r="V20" s="56"/>
      <c r="W20" s="56"/>
    </row>
    <row r="21" spans="1:23" ht="57.75" customHeight="1">
      <c r="A21" s="49">
        <v>14</v>
      </c>
      <c r="B21" s="50" t="s">
        <v>87</v>
      </c>
      <c r="C21" s="50" t="s">
        <v>88</v>
      </c>
      <c r="D21" s="57">
        <v>1</v>
      </c>
      <c r="E21" s="51" t="s">
        <v>71</v>
      </c>
      <c r="F21" s="52">
        <v>4</v>
      </c>
      <c r="G21" s="52" t="s">
        <v>72</v>
      </c>
      <c r="H21" s="58">
        <f>5860001/30</f>
        <v>195333.36666666667</v>
      </c>
      <c r="I21" s="53">
        <f t="shared" si="8"/>
        <v>781333.46666666667</v>
      </c>
      <c r="J21" s="54"/>
      <c r="K21" s="54"/>
      <c r="L21" s="54"/>
      <c r="M21" s="54"/>
      <c r="N21" s="29">
        <f t="shared" si="9"/>
        <v>195333.36666666667</v>
      </c>
      <c r="O21" s="29">
        <f t="shared" si="10"/>
        <v>781333.46666666667</v>
      </c>
      <c r="P21" s="29">
        <f t="shared" si="11"/>
        <v>0</v>
      </c>
      <c r="Q21" s="30">
        <f t="shared" si="12"/>
        <v>0</v>
      </c>
      <c r="R21" s="29">
        <f t="shared" si="13"/>
        <v>195333.36666666667</v>
      </c>
      <c r="S21" s="29">
        <f t="shared" si="14"/>
        <v>781333.46666666667</v>
      </c>
      <c r="T21" s="30">
        <f t="shared" si="15"/>
        <v>0</v>
      </c>
      <c r="U21" s="55" t="s">
        <v>43</v>
      </c>
      <c r="V21" s="56"/>
      <c r="W21" s="56"/>
    </row>
    <row r="22" spans="1:23" ht="88.5" customHeight="1">
      <c r="A22" s="49">
        <v>15</v>
      </c>
      <c r="B22" s="50" t="s">
        <v>89</v>
      </c>
      <c r="C22" s="50" t="s">
        <v>90</v>
      </c>
      <c r="D22" s="57">
        <v>6</v>
      </c>
      <c r="E22" s="51" t="s">
        <v>71</v>
      </c>
      <c r="F22" s="52">
        <v>4</v>
      </c>
      <c r="G22" s="52" t="s">
        <v>72</v>
      </c>
      <c r="H22" s="53">
        <f>3224001/30</f>
        <v>107466.7</v>
      </c>
      <c r="I22" s="53">
        <f t="shared" si="8"/>
        <v>2579200.7999999998</v>
      </c>
      <c r="J22" s="54"/>
      <c r="K22" s="54"/>
      <c r="L22" s="54"/>
      <c r="M22" s="54"/>
      <c r="N22" s="29">
        <f t="shared" si="9"/>
        <v>107466.7</v>
      </c>
      <c r="O22" s="29">
        <f t="shared" si="10"/>
        <v>2579200.7999999998</v>
      </c>
      <c r="P22" s="29">
        <f t="shared" si="11"/>
        <v>0</v>
      </c>
      <c r="Q22" s="30">
        <f t="shared" si="12"/>
        <v>0</v>
      </c>
      <c r="R22" s="29">
        <f t="shared" si="13"/>
        <v>107466.7</v>
      </c>
      <c r="S22" s="29">
        <f t="shared" si="14"/>
        <v>2579200.7999999998</v>
      </c>
      <c r="T22" s="30">
        <f t="shared" si="15"/>
        <v>0</v>
      </c>
      <c r="U22" s="55" t="s">
        <v>43</v>
      </c>
      <c r="V22" s="56"/>
      <c r="W22" s="56"/>
    </row>
    <row r="23" spans="1:23" ht="57.75" customHeight="1">
      <c r="A23" s="49">
        <v>16</v>
      </c>
      <c r="B23" s="50" t="s">
        <v>91</v>
      </c>
      <c r="C23" s="50" t="s">
        <v>92</v>
      </c>
      <c r="D23" s="57">
        <v>2</v>
      </c>
      <c r="E23" s="51" t="s">
        <v>71</v>
      </c>
      <c r="F23" s="52">
        <v>4</v>
      </c>
      <c r="G23" s="52" t="s">
        <v>72</v>
      </c>
      <c r="H23" s="53">
        <f>3640001/30</f>
        <v>121333.36666666667</v>
      </c>
      <c r="I23" s="53">
        <f t="shared" si="8"/>
        <v>970666.93333333335</v>
      </c>
      <c r="J23" s="54"/>
      <c r="K23" s="54"/>
      <c r="L23" s="54"/>
      <c r="M23" s="54"/>
      <c r="N23" s="29">
        <f t="shared" si="9"/>
        <v>121333.36666666667</v>
      </c>
      <c r="O23" s="29">
        <f t="shared" si="10"/>
        <v>970666.93333333335</v>
      </c>
      <c r="P23" s="29">
        <f t="shared" si="11"/>
        <v>0</v>
      </c>
      <c r="Q23" s="30">
        <f t="shared" si="12"/>
        <v>0</v>
      </c>
      <c r="R23" s="29">
        <f t="shared" si="13"/>
        <v>121333.36666666667</v>
      </c>
      <c r="S23" s="29">
        <f t="shared" si="14"/>
        <v>970666.93333333335</v>
      </c>
      <c r="T23" s="30">
        <f t="shared" si="15"/>
        <v>0</v>
      </c>
      <c r="U23" s="55" t="s">
        <v>43</v>
      </c>
      <c r="V23" s="56"/>
      <c r="W23" s="56"/>
    </row>
    <row r="24" spans="1:23" ht="63" customHeight="1">
      <c r="A24" s="49">
        <v>17</v>
      </c>
      <c r="B24" s="50" t="s">
        <v>93</v>
      </c>
      <c r="C24" s="50" t="s">
        <v>94</v>
      </c>
      <c r="D24" s="50">
        <v>8</v>
      </c>
      <c r="E24" s="51" t="s">
        <v>71</v>
      </c>
      <c r="F24" s="52">
        <v>4</v>
      </c>
      <c r="G24" s="52" t="s">
        <v>72</v>
      </c>
      <c r="H24" s="53">
        <f>3095001/30</f>
        <v>103166.7</v>
      </c>
      <c r="I24" s="53">
        <f t="shared" si="8"/>
        <v>3301334.4</v>
      </c>
      <c r="J24" s="54"/>
      <c r="K24" s="54"/>
      <c r="L24" s="54"/>
      <c r="M24" s="54"/>
      <c r="N24" s="29">
        <f t="shared" si="9"/>
        <v>103166.7</v>
      </c>
      <c r="O24" s="29">
        <f t="shared" si="10"/>
        <v>3301334.4</v>
      </c>
      <c r="P24" s="29">
        <f t="shared" si="11"/>
        <v>0</v>
      </c>
      <c r="Q24" s="30">
        <f t="shared" si="12"/>
        <v>0</v>
      </c>
      <c r="R24" s="29">
        <f t="shared" si="13"/>
        <v>103166.7</v>
      </c>
      <c r="S24" s="29">
        <f t="shared" si="14"/>
        <v>3301334.4</v>
      </c>
      <c r="T24" s="30">
        <f t="shared" si="15"/>
        <v>0</v>
      </c>
      <c r="U24" s="55" t="s">
        <v>43</v>
      </c>
      <c r="V24" s="56"/>
      <c r="W24" s="56"/>
    </row>
    <row r="25" spans="1:23" ht="44.25" customHeight="1">
      <c r="A25" s="49">
        <v>18</v>
      </c>
      <c r="B25" s="50" t="s">
        <v>95</v>
      </c>
      <c r="C25" s="50" t="s">
        <v>96</v>
      </c>
      <c r="D25" s="57">
        <v>6</v>
      </c>
      <c r="E25" s="51" t="s">
        <v>71</v>
      </c>
      <c r="F25" s="52">
        <v>4</v>
      </c>
      <c r="G25" s="52" t="s">
        <v>72</v>
      </c>
      <c r="H25" s="53">
        <f>3095001/30</f>
        <v>103166.7</v>
      </c>
      <c r="I25" s="53">
        <f t="shared" si="8"/>
        <v>2476000.7999999998</v>
      </c>
      <c r="J25" s="54"/>
      <c r="K25" s="54"/>
      <c r="L25" s="54"/>
      <c r="M25" s="54"/>
      <c r="N25" s="29">
        <f t="shared" si="9"/>
        <v>103166.7</v>
      </c>
      <c r="O25" s="29">
        <f t="shared" si="10"/>
        <v>2476000.7999999998</v>
      </c>
      <c r="P25" s="29">
        <f t="shared" si="11"/>
        <v>0</v>
      </c>
      <c r="Q25" s="30">
        <f t="shared" si="12"/>
        <v>0</v>
      </c>
      <c r="R25" s="29">
        <f t="shared" si="13"/>
        <v>103166.7</v>
      </c>
      <c r="S25" s="29">
        <f t="shared" si="14"/>
        <v>2476000.7999999998</v>
      </c>
      <c r="T25" s="30">
        <f t="shared" si="15"/>
        <v>0</v>
      </c>
      <c r="U25" s="55" t="s">
        <v>43</v>
      </c>
      <c r="V25" s="56"/>
      <c r="W25" s="56"/>
    </row>
    <row r="26" spans="1:23" ht="72" customHeight="1">
      <c r="A26" s="49">
        <v>19</v>
      </c>
      <c r="B26" s="50" t="s">
        <v>97</v>
      </c>
      <c r="C26" s="50" t="s">
        <v>98</v>
      </c>
      <c r="D26" s="57">
        <v>4</v>
      </c>
      <c r="E26" s="51" t="s">
        <v>71</v>
      </c>
      <c r="F26" s="52">
        <v>4</v>
      </c>
      <c r="G26" s="52" t="s">
        <v>72</v>
      </c>
      <c r="H26" s="53">
        <f>3095001/30</f>
        <v>103166.7</v>
      </c>
      <c r="I26" s="53">
        <f t="shared" si="8"/>
        <v>1650667.2</v>
      </c>
      <c r="J26" s="54"/>
      <c r="K26" s="54"/>
      <c r="L26" s="54"/>
      <c r="M26" s="54"/>
      <c r="N26" s="29">
        <f t="shared" si="9"/>
        <v>103166.7</v>
      </c>
      <c r="O26" s="29">
        <f t="shared" si="10"/>
        <v>1650667.2</v>
      </c>
      <c r="P26" s="29">
        <f t="shared" si="11"/>
        <v>0</v>
      </c>
      <c r="Q26" s="30">
        <f t="shared" si="12"/>
        <v>0</v>
      </c>
      <c r="R26" s="29">
        <f t="shared" si="13"/>
        <v>103166.7</v>
      </c>
      <c r="S26" s="29">
        <f t="shared" si="14"/>
        <v>1650667.2</v>
      </c>
      <c r="T26" s="30">
        <f t="shared" si="15"/>
        <v>0</v>
      </c>
      <c r="U26" s="55" t="s">
        <v>43</v>
      </c>
      <c r="V26" s="56"/>
      <c r="W26" s="56"/>
    </row>
    <row r="27" spans="1:23" ht="57.75" customHeight="1">
      <c r="A27" s="49">
        <v>20</v>
      </c>
      <c r="B27" s="50" t="s">
        <v>99</v>
      </c>
      <c r="C27" s="50" t="s">
        <v>100</v>
      </c>
      <c r="D27" s="50">
        <v>2</v>
      </c>
      <c r="E27" s="51" t="s">
        <v>71</v>
      </c>
      <c r="F27" s="52">
        <v>4</v>
      </c>
      <c r="G27" s="52" t="s">
        <v>72</v>
      </c>
      <c r="H27" s="58">
        <f>3640001/30</f>
        <v>121333.36666666667</v>
      </c>
      <c r="I27" s="53">
        <f t="shared" si="8"/>
        <v>970666.93333333335</v>
      </c>
      <c r="J27" s="54"/>
      <c r="K27" s="54"/>
      <c r="L27" s="59"/>
      <c r="M27" s="54"/>
      <c r="N27" s="29">
        <f t="shared" si="9"/>
        <v>121333.36666666667</v>
      </c>
      <c r="O27" s="29">
        <f t="shared" si="10"/>
        <v>970666.93333333335</v>
      </c>
      <c r="P27" s="29">
        <f t="shared" si="11"/>
        <v>0</v>
      </c>
      <c r="Q27" s="30">
        <f t="shared" si="12"/>
        <v>0</v>
      </c>
      <c r="R27" s="29">
        <f t="shared" si="13"/>
        <v>121333.36666666667</v>
      </c>
      <c r="S27" s="29">
        <f t="shared" si="14"/>
        <v>970666.93333333335</v>
      </c>
      <c r="T27" s="30">
        <f t="shared" si="15"/>
        <v>0</v>
      </c>
      <c r="U27" s="55" t="s">
        <v>43</v>
      </c>
      <c r="V27" s="56"/>
      <c r="W27" s="56"/>
    </row>
    <row r="28" spans="1:23" ht="29.25" customHeight="1">
      <c r="A28" s="60"/>
      <c r="B28" s="60"/>
      <c r="C28" s="60" t="s">
        <v>101</v>
      </c>
      <c r="D28" s="60"/>
      <c r="E28" s="60"/>
      <c r="F28" s="60"/>
      <c r="G28" s="60"/>
      <c r="H28" s="60"/>
      <c r="I28" s="60"/>
      <c r="J28" s="60"/>
      <c r="K28" s="60"/>
      <c r="L28" s="60"/>
      <c r="M28" s="60"/>
      <c r="N28" s="60"/>
      <c r="O28" s="60"/>
      <c r="P28" s="60"/>
      <c r="Q28" s="60"/>
      <c r="R28" s="60"/>
      <c r="S28" s="60"/>
      <c r="T28" s="60"/>
      <c r="U28" s="60"/>
      <c r="V28" s="60"/>
      <c r="W28" s="60"/>
    </row>
    <row r="29" spans="1:23" ht="162" customHeight="1">
      <c r="A29" s="49">
        <v>22</v>
      </c>
      <c r="B29" s="61" t="s">
        <v>102</v>
      </c>
      <c r="C29" s="62" t="s">
        <v>103</v>
      </c>
      <c r="D29" s="62">
        <v>1</v>
      </c>
      <c r="E29" s="56" t="s">
        <v>41</v>
      </c>
      <c r="F29" s="56">
        <v>4</v>
      </c>
      <c r="G29" s="56" t="s">
        <v>104</v>
      </c>
      <c r="H29" s="63">
        <v>2180000</v>
      </c>
      <c r="I29" s="63">
        <f t="shared" ref="I29:I48" si="16">+H29*F29*D29</f>
        <v>8720000</v>
      </c>
      <c r="J29" s="63">
        <v>3000000</v>
      </c>
      <c r="K29" s="63">
        <f t="shared" ref="K29:K48" si="17">+J29*F29*D29</f>
        <v>12000000</v>
      </c>
      <c r="L29" s="64">
        <v>2640000</v>
      </c>
      <c r="M29" s="63">
        <f t="shared" ref="M29:M48" si="18">+L29*F29*D29</f>
        <v>10560000</v>
      </c>
      <c r="N29" s="29">
        <f t="shared" ref="N29:N50" si="19">+AVERAGE(H29,J29,L29)</f>
        <v>2606666.6666666665</v>
      </c>
      <c r="O29" s="29">
        <f t="shared" ref="O29:O50" si="20">+N29*D29*F29</f>
        <v>10426666.666666666</v>
      </c>
      <c r="P29" s="29">
        <f t="shared" ref="P29:P50" si="21">+_xlfn.STDEV.P(H29,J29,L29)</f>
        <v>335592.34529741918</v>
      </c>
      <c r="Q29" s="30">
        <f t="shared" ref="Q29:Q50" si="22">+P29/N29</f>
        <v>0.12874386648238589</v>
      </c>
      <c r="R29" s="29">
        <f t="shared" ref="R29:R50" si="23">+MEDIAN(H29,J29,L29)</f>
        <v>2640000</v>
      </c>
      <c r="S29" s="29">
        <f t="shared" ref="S29:S50" si="24">+R29*D29*F29</f>
        <v>10560000</v>
      </c>
      <c r="T29" s="30">
        <f t="shared" ref="T29:T50" si="25">+P29/R29</f>
        <v>0.12711831261265877</v>
      </c>
      <c r="U29" s="65" t="s">
        <v>105</v>
      </c>
      <c r="V29" s="65" t="s">
        <v>106</v>
      </c>
      <c r="W29" s="65" t="s">
        <v>107</v>
      </c>
    </row>
    <row r="30" spans="1:23" ht="347.25" customHeight="1">
      <c r="A30" s="49">
        <v>23</v>
      </c>
      <c r="B30" s="61" t="s">
        <v>108</v>
      </c>
      <c r="C30" s="62" t="s">
        <v>109</v>
      </c>
      <c r="D30" s="57">
        <v>17</v>
      </c>
      <c r="E30" s="56" t="s">
        <v>71</v>
      </c>
      <c r="F30" s="56">
        <v>4</v>
      </c>
      <c r="G30" s="56" t="s">
        <v>104</v>
      </c>
      <c r="H30" s="54">
        <v>4432883</v>
      </c>
      <c r="I30" s="54">
        <f t="shared" si="16"/>
        <v>301436044</v>
      </c>
      <c r="J30" s="54">
        <v>4517571</v>
      </c>
      <c r="K30" s="54">
        <f t="shared" si="17"/>
        <v>307194828</v>
      </c>
      <c r="L30" s="54">
        <v>4432883</v>
      </c>
      <c r="M30" s="54">
        <f t="shared" si="18"/>
        <v>301436044</v>
      </c>
      <c r="N30" s="29">
        <f t="shared" si="19"/>
        <v>4461112.333333333</v>
      </c>
      <c r="O30" s="29">
        <f t="shared" si="20"/>
        <v>303355638.66666663</v>
      </c>
      <c r="P30" s="29">
        <f t="shared" si="21"/>
        <v>39922.306056750895</v>
      </c>
      <c r="Q30" s="30">
        <f t="shared" si="22"/>
        <v>8.9489578100179872E-3</v>
      </c>
      <c r="R30" s="29">
        <f t="shared" si="23"/>
        <v>4432883</v>
      </c>
      <c r="S30" s="29">
        <f t="shared" si="24"/>
        <v>301436044</v>
      </c>
      <c r="T30" s="30">
        <f t="shared" si="25"/>
        <v>9.0059462559131144E-3</v>
      </c>
      <c r="U30" s="54" t="s">
        <v>110</v>
      </c>
      <c r="V30" s="54" t="s">
        <v>110</v>
      </c>
      <c r="W30" s="54" t="s">
        <v>110</v>
      </c>
    </row>
    <row r="31" spans="1:23" ht="231.75" customHeight="1">
      <c r="A31" s="49">
        <v>24</v>
      </c>
      <c r="B31" s="61" t="s">
        <v>111</v>
      </c>
      <c r="C31" s="62" t="s">
        <v>112</v>
      </c>
      <c r="D31" s="62">
        <v>1</v>
      </c>
      <c r="E31" s="56" t="s">
        <v>41</v>
      </c>
      <c r="F31" s="56">
        <v>4</v>
      </c>
      <c r="G31" s="56" t="s">
        <v>104</v>
      </c>
      <c r="H31" s="54">
        <v>4432883</v>
      </c>
      <c r="I31" s="54">
        <f t="shared" si="16"/>
        <v>17731532</v>
      </c>
      <c r="J31" s="54">
        <v>4517571</v>
      </c>
      <c r="K31" s="54">
        <f t="shared" si="17"/>
        <v>18070284</v>
      </c>
      <c r="L31" s="54">
        <v>4432883</v>
      </c>
      <c r="M31" s="54">
        <f t="shared" si="18"/>
        <v>17731532</v>
      </c>
      <c r="N31" s="29">
        <f t="shared" si="19"/>
        <v>4461112.333333333</v>
      </c>
      <c r="O31" s="29">
        <f t="shared" si="20"/>
        <v>17844449.333333332</v>
      </c>
      <c r="P31" s="29">
        <f t="shared" si="21"/>
        <v>39922.306056750895</v>
      </c>
      <c r="Q31" s="30">
        <f t="shared" si="22"/>
        <v>8.9489578100179872E-3</v>
      </c>
      <c r="R31" s="29">
        <f t="shared" si="23"/>
        <v>4432883</v>
      </c>
      <c r="S31" s="29">
        <f t="shared" si="24"/>
        <v>17731532</v>
      </c>
      <c r="T31" s="30">
        <f t="shared" si="25"/>
        <v>9.0059462559131144E-3</v>
      </c>
      <c r="U31" s="54" t="s">
        <v>110</v>
      </c>
      <c r="V31" s="54" t="s">
        <v>110</v>
      </c>
      <c r="W31" s="54" t="s">
        <v>110</v>
      </c>
    </row>
    <row r="32" spans="1:23" ht="132.75" customHeight="1">
      <c r="A32" s="49">
        <v>25</v>
      </c>
      <c r="B32" s="66" t="s">
        <v>113</v>
      </c>
      <c r="C32" s="67" t="s">
        <v>114</v>
      </c>
      <c r="D32" s="57">
        <v>0</v>
      </c>
      <c r="E32" s="56" t="s">
        <v>41</v>
      </c>
      <c r="F32" s="56">
        <v>4</v>
      </c>
      <c r="G32" s="56" t="s">
        <v>104</v>
      </c>
      <c r="H32" s="54">
        <f>+(3325000*5.35%)+3325000</f>
        <v>3502887.5</v>
      </c>
      <c r="I32" s="54">
        <f t="shared" si="16"/>
        <v>0</v>
      </c>
      <c r="J32" s="54">
        <f>+(3395000*5.35%)+3395000</f>
        <v>3576632.5</v>
      </c>
      <c r="K32" s="54">
        <f t="shared" si="17"/>
        <v>0</v>
      </c>
      <c r="L32" s="54">
        <f>+(3780000*5.35%)+3780000</f>
        <v>3982230</v>
      </c>
      <c r="M32" s="54">
        <f t="shared" si="18"/>
        <v>0</v>
      </c>
      <c r="N32" s="29">
        <f t="shared" si="19"/>
        <v>3687250</v>
      </c>
      <c r="O32" s="29">
        <f t="shared" si="20"/>
        <v>0</v>
      </c>
      <c r="P32" s="29">
        <f t="shared" si="21"/>
        <v>210743.89126180304</v>
      </c>
      <c r="Q32" s="30">
        <f t="shared" si="22"/>
        <v>5.7154760664940824E-2</v>
      </c>
      <c r="R32" s="29">
        <f t="shared" si="23"/>
        <v>3576632.5</v>
      </c>
      <c r="S32" s="29">
        <f t="shared" si="24"/>
        <v>0</v>
      </c>
      <c r="T32" s="30">
        <f t="shared" si="25"/>
        <v>5.8922433675196721E-2</v>
      </c>
      <c r="U32" s="68" t="s">
        <v>115</v>
      </c>
      <c r="V32" s="69" t="s">
        <v>116</v>
      </c>
      <c r="W32" s="69" t="s">
        <v>117</v>
      </c>
    </row>
    <row r="33" spans="1:25" ht="62.25" customHeight="1">
      <c r="A33" s="49">
        <v>26</v>
      </c>
      <c r="B33" s="61" t="s">
        <v>118</v>
      </c>
      <c r="C33" s="62" t="s">
        <v>119</v>
      </c>
      <c r="D33" s="57">
        <v>650</v>
      </c>
      <c r="E33" s="56" t="s">
        <v>41</v>
      </c>
      <c r="F33" s="56">
        <v>4</v>
      </c>
      <c r="G33" s="56" t="s">
        <v>104</v>
      </c>
      <c r="H33" s="54">
        <v>230</v>
      </c>
      <c r="I33" s="54">
        <f t="shared" si="16"/>
        <v>598000</v>
      </c>
      <c r="J33" s="54">
        <v>289</v>
      </c>
      <c r="K33" s="54">
        <f t="shared" si="17"/>
        <v>751400</v>
      </c>
      <c r="L33" s="54">
        <v>236</v>
      </c>
      <c r="M33" s="54">
        <f t="shared" si="18"/>
        <v>613600</v>
      </c>
      <c r="N33" s="29">
        <f t="shared" si="19"/>
        <v>251.66666666666666</v>
      </c>
      <c r="O33" s="29">
        <f t="shared" si="20"/>
        <v>654333.33333333326</v>
      </c>
      <c r="P33" s="29">
        <f t="shared" si="21"/>
        <v>26.512051766864232</v>
      </c>
      <c r="Q33" s="30">
        <f t="shared" si="22"/>
        <v>0.10534590106038769</v>
      </c>
      <c r="R33" s="29">
        <f t="shared" si="23"/>
        <v>236</v>
      </c>
      <c r="S33" s="29">
        <f t="shared" si="24"/>
        <v>613600</v>
      </c>
      <c r="T33" s="30">
        <f t="shared" si="25"/>
        <v>0.11233920240196708</v>
      </c>
      <c r="U33" s="56" t="s">
        <v>120</v>
      </c>
      <c r="V33" s="56" t="s">
        <v>121</v>
      </c>
      <c r="W33" s="56" t="s">
        <v>122</v>
      </c>
    </row>
    <row r="34" spans="1:25" ht="29.25" customHeight="1">
      <c r="A34" s="49">
        <v>27</v>
      </c>
      <c r="B34" s="61" t="s">
        <v>123</v>
      </c>
      <c r="C34" s="62" t="s">
        <v>124</v>
      </c>
      <c r="D34" s="62">
        <v>50</v>
      </c>
      <c r="E34" s="56" t="s">
        <v>41</v>
      </c>
      <c r="F34" s="56">
        <v>4</v>
      </c>
      <c r="G34" s="56" t="s">
        <v>104</v>
      </c>
      <c r="H34" s="54">
        <v>230</v>
      </c>
      <c r="I34" s="54">
        <f t="shared" si="16"/>
        <v>46000</v>
      </c>
      <c r="J34" s="54">
        <v>289</v>
      </c>
      <c r="K34" s="54">
        <f t="shared" si="17"/>
        <v>57800</v>
      </c>
      <c r="L34" s="54">
        <v>236</v>
      </c>
      <c r="M34" s="54">
        <f t="shared" si="18"/>
        <v>47200</v>
      </c>
      <c r="N34" s="29">
        <f t="shared" si="19"/>
        <v>251.66666666666666</v>
      </c>
      <c r="O34" s="29">
        <f t="shared" si="20"/>
        <v>50333.333333333328</v>
      </c>
      <c r="P34" s="29">
        <f t="shared" si="21"/>
        <v>26.512051766864232</v>
      </c>
      <c r="Q34" s="30">
        <f t="shared" si="22"/>
        <v>0.10534590106038769</v>
      </c>
      <c r="R34" s="29">
        <f t="shared" si="23"/>
        <v>236</v>
      </c>
      <c r="S34" s="29">
        <f t="shared" si="24"/>
        <v>47200</v>
      </c>
      <c r="T34" s="30">
        <f t="shared" si="25"/>
        <v>0.11233920240196708</v>
      </c>
      <c r="U34" s="56" t="s">
        <v>120</v>
      </c>
      <c r="V34" s="56" t="s">
        <v>121</v>
      </c>
      <c r="W34" s="56" t="s">
        <v>125</v>
      </c>
    </row>
    <row r="35" spans="1:25" ht="31.5" customHeight="1">
      <c r="A35" s="49">
        <v>29</v>
      </c>
      <c r="B35" s="61" t="s">
        <v>126</v>
      </c>
      <c r="C35" s="62" t="s">
        <v>127</v>
      </c>
      <c r="D35" s="57">
        <v>650</v>
      </c>
      <c r="E35" s="56" t="s">
        <v>41</v>
      </c>
      <c r="F35" s="56">
        <v>4</v>
      </c>
      <c r="G35" s="56" t="s">
        <v>104</v>
      </c>
      <c r="H35" s="54">
        <v>1345</v>
      </c>
      <c r="I35" s="54">
        <f t="shared" si="16"/>
        <v>3497000</v>
      </c>
      <c r="J35" s="54">
        <v>1933</v>
      </c>
      <c r="K35" s="54">
        <f t="shared" si="17"/>
        <v>5025800</v>
      </c>
      <c r="L35" s="54">
        <v>1765</v>
      </c>
      <c r="M35" s="54">
        <f t="shared" si="18"/>
        <v>4589000</v>
      </c>
      <c r="N35" s="29">
        <f t="shared" si="19"/>
        <v>1681</v>
      </c>
      <c r="O35" s="29">
        <f t="shared" si="20"/>
        <v>4370600</v>
      </c>
      <c r="P35" s="29">
        <f t="shared" si="21"/>
        <v>247.28930425717971</v>
      </c>
      <c r="Q35" s="30">
        <f t="shared" si="22"/>
        <v>0.14710844988529428</v>
      </c>
      <c r="R35" s="29">
        <f t="shared" si="23"/>
        <v>1765</v>
      </c>
      <c r="S35" s="29">
        <f t="shared" si="24"/>
        <v>4589000</v>
      </c>
      <c r="T35" s="30">
        <f t="shared" si="25"/>
        <v>0.14010725453664571</v>
      </c>
      <c r="U35" s="68" t="s">
        <v>128</v>
      </c>
      <c r="V35" s="69" t="s">
        <v>129</v>
      </c>
      <c r="W35" s="69" t="s">
        <v>130</v>
      </c>
    </row>
    <row r="36" spans="1:25" ht="87.75" customHeight="1">
      <c r="A36" s="49">
        <v>30</v>
      </c>
      <c r="B36" s="61" t="s">
        <v>131</v>
      </c>
      <c r="C36" s="70" t="s">
        <v>132</v>
      </c>
      <c r="D36" s="62">
        <v>1</v>
      </c>
      <c r="E36" s="56" t="s">
        <v>41</v>
      </c>
      <c r="F36" s="56">
        <v>4</v>
      </c>
      <c r="G36" s="56" t="s">
        <v>104</v>
      </c>
      <c r="H36" s="71">
        <v>5300000</v>
      </c>
      <c r="I36" s="54">
        <f t="shared" si="16"/>
        <v>21200000</v>
      </c>
      <c r="J36" s="72">
        <v>5000000</v>
      </c>
      <c r="K36" s="54">
        <f t="shared" si="17"/>
        <v>20000000</v>
      </c>
      <c r="L36" s="71">
        <v>5000000</v>
      </c>
      <c r="M36" s="54">
        <f t="shared" si="18"/>
        <v>20000000</v>
      </c>
      <c r="N36" s="29">
        <f t="shared" si="19"/>
        <v>5100000</v>
      </c>
      <c r="O36" s="29">
        <f t="shared" si="20"/>
        <v>20400000</v>
      </c>
      <c r="P36" s="29">
        <f t="shared" si="21"/>
        <v>141421.35623730952</v>
      </c>
      <c r="Q36" s="30">
        <f t="shared" si="22"/>
        <v>2.7729677693590103E-2</v>
      </c>
      <c r="R36" s="29">
        <f t="shared" si="23"/>
        <v>5000000</v>
      </c>
      <c r="S36" s="29">
        <f t="shared" si="24"/>
        <v>20000000</v>
      </c>
      <c r="T36" s="30">
        <f t="shared" si="25"/>
        <v>2.8284271247461905E-2</v>
      </c>
      <c r="U36" s="68" t="s">
        <v>133</v>
      </c>
      <c r="V36" s="73" t="s">
        <v>134</v>
      </c>
      <c r="W36" s="74" t="s">
        <v>135</v>
      </c>
    </row>
    <row r="37" spans="1:25" ht="79.5" customHeight="1">
      <c r="A37" s="49">
        <v>31</v>
      </c>
      <c r="B37" s="75" t="s">
        <v>136</v>
      </c>
      <c r="C37" s="62" t="s">
        <v>137</v>
      </c>
      <c r="D37" s="62">
        <v>1</v>
      </c>
      <c r="E37" s="56" t="s">
        <v>41</v>
      </c>
      <c r="F37" s="56">
        <v>4</v>
      </c>
      <c r="G37" s="56" t="s">
        <v>104</v>
      </c>
      <c r="H37" s="54">
        <v>2500000</v>
      </c>
      <c r="I37" s="54">
        <f t="shared" si="16"/>
        <v>10000000</v>
      </c>
      <c r="J37" s="54">
        <v>3000000</v>
      </c>
      <c r="K37" s="54">
        <f t="shared" si="17"/>
        <v>12000000</v>
      </c>
      <c r="L37" s="76">
        <v>3710000</v>
      </c>
      <c r="M37" s="54">
        <f t="shared" si="18"/>
        <v>14840000</v>
      </c>
      <c r="N37" s="29">
        <f t="shared" si="19"/>
        <v>3070000</v>
      </c>
      <c r="O37" s="29">
        <f t="shared" si="20"/>
        <v>12280000</v>
      </c>
      <c r="P37" s="29">
        <f t="shared" si="21"/>
        <v>496454.09321171546</v>
      </c>
      <c r="Q37" s="30">
        <f t="shared" si="22"/>
        <v>0.16171143101358809</v>
      </c>
      <c r="R37" s="29">
        <f t="shared" si="23"/>
        <v>3000000</v>
      </c>
      <c r="S37" s="29">
        <f t="shared" si="24"/>
        <v>12000000</v>
      </c>
      <c r="T37" s="30">
        <f t="shared" si="25"/>
        <v>0.16548469773723848</v>
      </c>
      <c r="U37" s="77" t="s">
        <v>105</v>
      </c>
      <c r="V37" s="78" t="s">
        <v>106</v>
      </c>
      <c r="W37" s="79" t="s">
        <v>134</v>
      </c>
    </row>
    <row r="38" spans="1:25" ht="329.25" customHeight="1">
      <c r="A38" s="49">
        <v>32</v>
      </c>
      <c r="B38" s="61" t="s">
        <v>138</v>
      </c>
      <c r="C38" s="80" t="s">
        <v>139</v>
      </c>
      <c r="D38" s="57">
        <v>650</v>
      </c>
      <c r="E38" s="56" t="s">
        <v>41</v>
      </c>
      <c r="F38" s="56">
        <v>4</v>
      </c>
      <c r="G38" s="56" t="s">
        <v>104</v>
      </c>
      <c r="H38" s="54">
        <v>70000</v>
      </c>
      <c r="I38" s="54">
        <f t="shared" si="16"/>
        <v>182000000</v>
      </c>
      <c r="J38" s="54">
        <v>70000</v>
      </c>
      <c r="K38" s="54">
        <f t="shared" si="17"/>
        <v>182000000</v>
      </c>
      <c r="L38" s="54">
        <v>70000</v>
      </c>
      <c r="M38" s="54">
        <f t="shared" si="18"/>
        <v>182000000</v>
      </c>
      <c r="N38" s="29">
        <f t="shared" si="19"/>
        <v>70000</v>
      </c>
      <c r="O38" s="29">
        <f t="shared" si="20"/>
        <v>182000000</v>
      </c>
      <c r="P38" s="29">
        <f t="shared" si="21"/>
        <v>0</v>
      </c>
      <c r="Q38" s="30">
        <f t="shared" si="22"/>
        <v>0</v>
      </c>
      <c r="R38" s="29">
        <f t="shared" si="23"/>
        <v>70000</v>
      </c>
      <c r="S38" s="29">
        <f t="shared" si="24"/>
        <v>182000000</v>
      </c>
      <c r="T38" s="30">
        <f t="shared" si="25"/>
        <v>0</v>
      </c>
      <c r="U38" s="56" t="s">
        <v>140</v>
      </c>
      <c r="V38" s="81" t="s">
        <v>141</v>
      </c>
      <c r="W38" s="81" t="s">
        <v>142</v>
      </c>
    </row>
    <row r="39" spans="1:25" ht="222" customHeight="1">
      <c r="A39" s="49">
        <v>33</v>
      </c>
      <c r="B39" s="82" t="s">
        <v>143</v>
      </c>
      <c r="C39" s="68" t="s">
        <v>144</v>
      </c>
      <c r="D39" s="57">
        <v>650</v>
      </c>
      <c r="E39" s="83" t="s">
        <v>145</v>
      </c>
      <c r="F39" s="84">
        <v>4</v>
      </c>
      <c r="G39" s="83" t="s">
        <v>146</v>
      </c>
      <c r="H39" s="54">
        <f>+(10756*100)/119</f>
        <v>9038.6554621848736</v>
      </c>
      <c r="I39" s="54">
        <f t="shared" si="16"/>
        <v>23500504.201680671</v>
      </c>
      <c r="J39" s="54">
        <f>+(12017*100)/119</f>
        <v>10098.319327731093</v>
      </c>
      <c r="K39" s="54">
        <f t="shared" si="17"/>
        <v>26255630.25210084</v>
      </c>
      <c r="L39" s="54">
        <f>+(10900*100)/119</f>
        <v>9159.6638655462193</v>
      </c>
      <c r="M39" s="54">
        <f t="shared" si="18"/>
        <v>23815126.050420169</v>
      </c>
      <c r="N39" s="29">
        <f t="shared" si="19"/>
        <v>9432.212885154062</v>
      </c>
      <c r="O39" s="29">
        <f t="shared" si="20"/>
        <v>24523753.50140056</v>
      </c>
      <c r="P39" s="29">
        <f t="shared" si="21"/>
        <v>473.59202066264169</v>
      </c>
      <c r="Q39" s="30">
        <f t="shared" si="22"/>
        <v>5.0210064852125764E-2</v>
      </c>
      <c r="R39" s="29">
        <f t="shared" si="23"/>
        <v>9159.6638655462193</v>
      </c>
      <c r="S39" s="29">
        <f t="shared" si="24"/>
        <v>23815126.050420169</v>
      </c>
      <c r="T39" s="30">
        <f t="shared" si="25"/>
        <v>5.1704082989774636E-2</v>
      </c>
      <c r="U39" s="85" t="s">
        <v>147</v>
      </c>
      <c r="V39" s="86" t="s">
        <v>148</v>
      </c>
      <c r="W39" s="86" t="s">
        <v>149</v>
      </c>
    </row>
    <row r="40" spans="1:25" ht="83.25" customHeight="1">
      <c r="A40" s="49">
        <v>34</v>
      </c>
      <c r="B40" s="87" t="s">
        <v>150</v>
      </c>
      <c r="C40" s="88" t="s">
        <v>151</v>
      </c>
      <c r="D40" s="57">
        <v>650</v>
      </c>
      <c r="E40" s="55" t="s">
        <v>41</v>
      </c>
      <c r="F40" s="84">
        <v>4</v>
      </c>
      <c r="G40" s="83" t="s">
        <v>146</v>
      </c>
      <c r="H40" s="54">
        <f>+(9900*100)/119</f>
        <v>8319.3277310924368</v>
      </c>
      <c r="I40" s="54">
        <f t="shared" si="16"/>
        <v>21630252.100840334</v>
      </c>
      <c r="J40" s="76">
        <f>+(9520*100)/119</f>
        <v>8000</v>
      </c>
      <c r="K40" s="54">
        <f t="shared" si="17"/>
        <v>20800000</v>
      </c>
      <c r="L40" s="54">
        <f>+(8600*100)/119</f>
        <v>7226.8907563025214</v>
      </c>
      <c r="M40" s="54">
        <f t="shared" si="18"/>
        <v>18789915.966386557</v>
      </c>
      <c r="N40" s="29">
        <f t="shared" si="19"/>
        <v>7848.7394957983197</v>
      </c>
      <c r="O40" s="29">
        <f t="shared" si="20"/>
        <v>20406722.68907563</v>
      </c>
      <c r="P40" s="29">
        <f t="shared" si="21"/>
        <v>458.63161765593208</v>
      </c>
      <c r="Q40" s="30">
        <f t="shared" si="22"/>
        <v>5.843379282768299E-2</v>
      </c>
      <c r="R40" s="29">
        <f t="shared" si="23"/>
        <v>8000</v>
      </c>
      <c r="S40" s="29">
        <f t="shared" si="24"/>
        <v>20800000</v>
      </c>
      <c r="T40" s="30">
        <f t="shared" si="25"/>
        <v>5.732895220699151E-2</v>
      </c>
      <c r="U40" s="89" t="s">
        <v>107</v>
      </c>
      <c r="V40" s="90" t="s">
        <v>152</v>
      </c>
      <c r="W40" s="90" t="s">
        <v>153</v>
      </c>
    </row>
    <row r="41" spans="1:25" ht="89.25" customHeight="1">
      <c r="A41" s="49">
        <v>35</v>
      </c>
      <c r="B41" s="82" t="s">
        <v>154</v>
      </c>
      <c r="C41" s="91" t="s">
        <v>155</v>
      </c>
      <c r="D41" s="57">
        <v>650</v>
      </c>
      <c r="E41" s="83" t="s">
        <v>145</v>
      </c>
      <c r="F41" s="84">
        <v>4</v>
      </c>
      <c r="G41" s="83" t="s">
        <v>146</v>
      </c>
      <c r="H41" s="54">
        <f>+(21008*100)/119</f>
        <v>17653.781512605041</v>
      </c>
      <c r="I41" s="54">
        <f t="shared" si="16"/>
        <v>45899831.932773106</v>
      </c>
      <c r="J41" s="54">
        <f>+(22269*100)/119</f>
        <v>18713.44537815126</v>
      </c>
      <c r="K41" s="54">
        <f t="shared" si="17"/>
        <v>48654957.983193278</v>
      </c>
      <c r="L41" s="54">
        <f>+(21008*100)/119</f>
        <v>17653.781512605041</v>
      </c>
      <c r="M41" s="54">
        <f t="shared" si="18"/>
        <v>45899831.932773106</v>
      </c>
      <c r="N41" s="29">
        <f t="shared" si="19"/>
        <v>18007.002801120445</v>
      </c>
      <c r="O41" s="29">
        <f t="shared" si="20"/>
        <v>46818207.282913156</v>
      </c>
      <c r="P41" s="29">
        <f t="shared" si="21"/>
        <v>499.53033673738776</v>
      </c>
      <c r="Q41" s="30">
        <f t="shared" si="22"/>
        <v>2.7740892932293298E-2</v>
      </c>
      <c r="R41" s="29">
        <f t="shared" si="23"/>
        <v>17653.781512605041</v>
      </c>
      <c r="S41" s="29">
        <f t="shared" si="24"/>
        <v>45899831.932773106</v>
      </c>
      <c r="T41" s="30">
        <f t="shared" si="25"/>
        <v>2.8295939676194377E-2</v>
      </c>
      <c r="U41" s="92" t="s">
        <v>147</v>
      </c>
      <c r="V41" s="93" t="s">
        <v>148</v>
      </c>
      <c r="W41" s="93" t="s">
        <v>149</v>
      </c>
    </row>
    <row r="42" spans="1:25" ht="108.75" customHeight="1">
      <c r="A42" s="49">
        <v>37</v>
      </c>
      <c r="B42" s="94" t="s">
        <v>156</v>
      </c>
      <c r="C42" s="95" t="s">
        <v>157</v>
      </c>
      <c r="D42" s="57">
        <v>650</v>
      </c>
      <c r="E42" s="95" t="s">
        <v>145</v>
      </c>
      <c r="F42" s="96">
        <v>4</v>
      </c>
      <c r="G42" s="95" t="s">
        <v>146</v>
      </c>
      <c r="H42" s="54">
        <f>+(10756*100)/119</f>
        <v>9038.6554621848736</v>
      </c>
      <c r="I42" s="54">
        <f t="shared" si="16"/>
        <v>23500504.201680671</v>
      </c>
      <c r="J42" s="54">
        <f>+(12017*100)/119</f>
        <v>10098.319327731093</v>
      </c>
      <c r="K42" s="54">
        <f t="shared" si="17"/>
        <v>26255630.25210084</v>
      </c>
      <c r="L42" s="54">
        <f>+(10900*100)/119</f>
        <v>9159.6638655462193</v>
      </c>
      <c r="M42" s="54">
        <f t="shared" si="18"/>
        <v>23815126.050420169</v>
      </c>
      <c r="N42" s="29">
        <f t="shared" si="19"/>
        <v>9432.212885154062</v>
      </c>
      <c r="O42" s="29">
        <f t="shared" si="20"/>
        <v>24523753.50140056</v>
      </c>
      <c r="P42" s="29">
        <f t="shared" si="21"/>
        <v>473.59202066264169</v>
      </c>
      <c r="Q42" s="30">
        <f t="shared" si="22"/>
        <v>5.0210064852125764E-2</v>
      </c>
      <c r="R42" s="29">
        <f t="shared" si="23"/>
        <v>9159.6638655462193</v>
      </c>
      <c r="S42" s="29">
        <f t="shared" si="24"/>
        <v>23815126.050420169</v>
      </c>
      <c r="T42" s="30">
        <f t="shared" si="25"/>
        <v>5.1704082989774636E-2</v>
      </c>
      <c r="U42" s="92" t="s">
        <v>147</v>
      </c>
      <c r="V42" s="93" t="s">
        <v>148</v>
      </c>
      <c r="W42" s="93" t="s">
        <v>149</v>
      </c>
      <c r="X42" t="s">
        <v>60</v>
      </c>
      <c r="Y42" s="19" t="s">
        <v>61</v>
      </c>
    </row>
    <row r="43" spans="1:25" ht="102" customHeight="1">
      <c r="A43" s="97">
        <v>38</v>
      </c>
      <c r="B43" s="98" t="s">
        <v>158</v>
      </c>
      <c r="C43" s="99" t="s">
        <v>159</v>
      </c>
      <c r="D43" s="100">
        <v>2600</v>
      </c>
      <c r="E43" s="62" t="s">
        <v>41</v>
      </c>
      <c r="F43" s="101">
        <v>1</v>
      </c>
      <c r="G43" s="62" t="s">
        <v>160</v>
      </c>
      <c r="H43" s="54">
        <v>20230</v>
      </c>
      <c r="I43" s="54">
        <f t="shared" si="16"/>
        <v>52598000</v>
      </c>
      <c r="J43" s="54">
        <v>23562</v>
      </c>
      <c r="K43" s="54">
        <f t="shared" si="17"/>
        <v>61261200</v>
      </c>
      <c r="L43" s="54">
        <v>19754</v>
      </c>
      <c r="M43" s="54">
        <f t="shared" si="18"/>
        <v>51360400</v>
      </c>
      <c r="N43" s="29">
        <f t="shared" si="19"/>
        <v>21182</v>
      </c>
      <c r="O43" s="29">
        <f t="shared" si="20"/>
        <v>55073200</v>
      </c>
      <c r="P43" s="29">
        <f t="shared" si="21"/>
        <v>1694.0964159889679</v>
      </c>
      <c r="Q43" s="30">
        <f t="shared" si="22"/>
        <v>7.9978114247425541E-2</v>
      </c>
      <c r="R43" s="29">
        <f t="shared" si="23"/>
        <v>20230</v>
      </c>
      <c r="S43" s="29">
        <f t="shared" si="24"/>
        <v>52598000</v>
      </c>
      <c r="T43" s="30">
        <f t="shared" si="25"/>
        <v>8.3741790212010281E-2</v>
      </c>
      <c r="U43" s="92" t="s">
        <v>161</v>
      </c>
      <c r="V43" s="93" t="s">
        <v>162</v>
      </c>
      <c r="W43" s="93" t="s">
        <v>163</v>
      </c>
      <c r="Y43" s="19"/>
    </row>
    <row r="44" spans="1:25" ht="108.75" customHeight="1">
      <c r="A44" s="49">
        <v>39</v>
      </c>
      <c r="B44" s="87" t="s">
        <v>164</v>
      </c>
      <c r="C44" s="50" t="s">
        <v>165</v>
      </c>
      <c r="D44" s="100">
        <v>2600</v>
      </c>
      <c r="E44" s="62" t="s">
        <v>41</v>
      </c>
      <c r="F44" s="101">
        <v>1</v>
      </c>
      <c r="G44" s="62" t="s">
        <v>72</v>
      </c>
      <c r="H44" s="102">
        <f>+(10700*100)/119</f>
        <v>8991.5966386554628</v>
      </c>
      <c r="I44" s="54">
        <f t="shared" si="16"/>
        <v>23378151.260504205</v>
      </c>
      <c r="J44" s="102">
        <f>+(18195*100)/119</f>
        <v>15289.915966386554</v>
      </c>
      <c r="K44" s="54">
        <f t="shared" si="17"/>
        <v>39753781.512605041</v>
      </c>
      <c r="L44" s="54">
        <f>+(14280*100)/119</f>
        <v>12000</v>
      </c>
      <c r="M44" s="54">
        <f t="shared" si="18"/>
        <v>31200000</v>
      </c>
      <c r="N44" s="29">
        <f t="shared" si="19"/>
        <v>12093.837535014005</v>
      </c>
      <c r="O44" s="29">
        <f t="shared" si="20"/>
        <v>31443977.591036413</v>
      </c>
      <c r="P44" s="29">
        <f t="shared" si="21"/>
        <v>2572.134094579942</v>
      </c>
      <c r="Q44" s="30">
        <f t="shared" si="22"/>
        <v>0.21268138315345439</v>
      </c>
      <c r="R44" s="29">
        <f t="shared" si="23"/>
        <v>12000</v>
      </c>
      <c r="S44" s="29">
        <f t="shared" si="24"/>
        <v>31200000</v>
      </c>
      <c r="T44" s="30">
        <f t="shared" si="25"/>
        <v>0.21434450788166184</v>
      </c>
      <c r="U44" s="92" t="s">
        <v>166</v>
      </c>
      <c r="V44" s="93" t="s">
        <v>167</v>
      </c>
      <c r="W44" s="93" t="s">
        <v>168</v>
      </c>
      <c r="Y44" s="19"/>
    </row>
    <row r="45" spans="1:25" ht="108.75" customHeight="1">
      <c r="A45" s="97">
        <v>40</v>
      </c>
      <c r="B45" s="98" t="s">
        <v>169</v>
      </c>
      <c r="C45" s="50" t="s">
        <v>170</v>
      </c>
      <c r="D45" s="100">
        <v>2600</v>
      </c>
      <c r="E45" s="62" t="s">
        <v>41</v>
      </c>
      <c r="F45" s="101">
        <v>1</v>
      </c>
      <c r="G45" s="62" t="s">
        <v>72</v>
      </c>
      <c r="H45" s="54">
        <v>22050</v>
      </c>
      <c r="I45" s="54">
        <f t="shared" si="16"/>
        <v>57330000</v>
      </c>
      <c r="J45" s="54">
        <v>22050</v>
      </c>
      <c r="K45" s="54">
        <f t="shared" si="17"/>
        <v>57330000</v>
      </c>
      <c r="L45" s="54">
        <f>+(26180*100)/119</f>
        <v>22000</v>
      </c>
      <c r="M45" s="54">
        <f t="shared" si="18"/>
        <v>57200000</v>
      </c>
      <c r="N45" s="29">
        <f t="shared" si="19"/>
        <v>22033.333333333332</v>
      </c>
      <c r="O45" s="29">
        <f t="shared" si="20"/>
        <v>57286666.666666664</v>
      </c>
      <c r="P45" s="29">
        <f t="shared" si="21"/>
        <v>23.570226039551585</v>
      </c>
      <c r="Q45" s="30">
        <f t="shared" si="22"/>
        <v>1.069753072899467E-3</v>
      </c>
      <c r="R45" s="29">
        <f t="shared" si="23"/>
        <v>22050</v>
      </c>
      <c r="S45" s="29">
        <f t="shared" si="24"/>
        <v>57330000</v>
      </c>
      <c r="T45" s="30">
        <f t="shared" si="25"/>
        <v>1.068944491589641E-3</v>
      </c>
      <c r="U45" s="92" t="s">
        <v>55</v>
      </c>
      <c r="V45" s="93" t="s">
        <v>54</v>
      </c>
      <c r="W45" s="93" t="s">
        <v>56</v>
      </c>
      <c r="Y45" s="19"/>
    </row>
    <row r="46" spans="1:25" ht="108.75" customHeight="1">
      <c r="A46" s="49">
        <v>41</v>
      </c>
      <c r="B46" s="87" t="s">
        <v>171</v>
      </c>
      <c r="C46" s="50" t="s">
        <v>172</v>
      </c>
      <c r="D46" s="100">
        <v>2600</v>
      </c>
      <c r="E46" s="62" t="s">
        <v>41</v>
      </c>
      <c r="F46" s="101">
        <v>1</v>
      </c>
      <c r="G46" s="62" t="s">
        <v>72</v>
      </c>
      <c r="H46" s="102">
        <f>+(67830*5.35%)+67830</f>
        <v>71458.904999999999</v>
      </c>
      <c r="I46" s="54">
        <f t="shared" si="16"/>
        <v>185793153</v>
      </c>
      <c r="J46" s="54">
        <f>+(49385*5.35%)+49385</f>
        <v>52027.097500000003</v>
      </c>
      <c r="K46" s="54">
        <f t="shared" si="17"/>
        <v>135270453.5</v>
      </c>
      <c r="L46" s="54">
        <f>+(39385*5.35%)+39385</f>
        <v>41492.097500000003</v>
      </c>
      <c r="M46" s="54">
        <f t="shared" si="18"/>
        <v>107879453.50000001</v>
      </c>
      <c r="N46" s="29">
        <f t="shared" si="19"/>
        <v>54992.700000000004</v>
      </c>
      <c r="O46" s="29">
        <f t="shared" si="20"/>
        <v>142981020</v>
      </c>
      <c r="P46" s="29">
        <f t="shared" si="21"/>
        <v>12412.318788916071</v>
      </c>
      <c r="Q46" s="30">
        <f t="shared" si="22"/>
        <v>0.22570848110596625</v>
      </c>
      <c r="R46" s="29">
        <f t="shared" si="23"/>
        <v>52027.097500000003</v>
      </c>
      <c r="S46" s="29">
        <f t="shared" si="24"/>
        <v>135270453.5</v>
      </c>
      <c r="T46" s="30">
        <f t="shared" si="25"/>
        <v>0.23857411590020125</v>
      </c>
      <c r="U46" s="92" t="s">
        <v>173</v>
      </c>
      <c r="V46" s="93" t="s">
        <v>174</v>
      </c>
      <c r="W46" s="93" t="s">
        <v>175</v>
      </c>
      <c r="Y46" s="19"/>
    </row>
    <row r="47" spans="1:25" ht="108.75" customHeight="1">
      <c r="A47" s="97">
        <v>42</v>
      </c>
      <c r="B47" s="87" t="s">
        <v>176</v>
      </c>
      <c r="C47" s="50" t="s">
        <v>177</v>
      </c>
      <c r="D47" s="100">
        <v>2600</v>
      </c>
      <c r="E47" s="62" t="s">
        <v>41</v>
      </c>
      <c r="F47" s="101">
        <v>1</v>
      </c>
      <c r="G47" s="62" t="s">
        <v>72</v>
      </c>
      <c r="H47" s="54">
        <v>3000</v>
      </c>
      <c r="I47" s="54">
        <f t="shared" si="16"/>
        <v>7800000</v>
      </c>
      <c r="J47" s="54">
        <v>3540</v>
      </c>
      <c r="K47" s="54">
        <f t="shared" si="17"/>
        <v>9204000</v>
      </c>
      <c r="L47" s="103">
        <v>3200</v>
      </c>
      <c r="M47" s="54">
        <f t="shared" si="18"/>
        <v>8320000</v>
      </c>
      <c r="N47" s="29">
        <f t="shared" si="19"/>
        <v>3246.6666666666665</v>
      </c>
      <c r="O47" s="29">
        <f t="shared" si="20"/>
        <v>8441333.3333333321</v>
      </c>
      <c r="P47" s="29">
        <f t="shared" si="21"/>
        <v>222.91004663067315</v>
      </c>
      <c r="Q47" s="30">
        <f t="shared" si="22"/>
        <v>6.8658125245587218E-2</v>
      </c>
      <c r="R47" s="29">
        <f t="shared" si="23"/>
        <v>3200</v>
      </c>
      <c r="S47" s="29">
        <f t="shared" si="24"/>
        <v>8320000</v>
      </c>
      <c r="T47" s="30">
        <f t="shared" si="25"/>
        <v>6.9659389572085353E-2</v>
      </c>
      <c r="U47" s="92" t="s">
        <v>178</v>
      </c>
      <c r="V47" s="93" t="s">
        <v>179</v>
      </c>
      <c r="W47" s="93" t="s">
        <v>180</v>
      </c>
      <c r="Y47" s="19"/>
    </row>
    <row r="48" spans="1:25" ht="108.75" customHeight="1">
      <c r="A48" s="49">
        <v>43</v>
      </c>
      <c r="B48" s="104" t="s">
        <v>181</v>
      </c>
      <c r="C48" s="104" t="s">
        <v>182</v>
      </c>
      <c r="D48" s="100">
        <v>2600</v>
      </c>
      <c r="E48" s="62" t="s">
        <v>41</v>
      </c>
      <c r="F48" s="101">
        <v>1</v>
      </c>
      <c r="G48" s="62" t="s">
        <v>72</v>
      </c>
      <c r="H48" s="54">
        <v>19328</v>
      </c>
      <c r="I48" s="54">
        <f t="shared" si="16"/>
        <v>50252800</v>
      </c>
      <c r="J48" s="54">
        <v>23529</v>
      </c>
      <c r="K48" s="54">
        <f t="shared" si="17"/>
        <v>61175400</v>
      </c>
      <c r="L48" s="54">
        <v>20336</v>
      </c>
      <c r="M48" s="54">
        <f t="shared" si="18"/>
        <v>52873600</v>
      </c>
      <c r="N48" s="29">
        <f t="shared" si="19"/>
        <v>21064.333333333332</v>
      </c>
      <c r="O48" s="29">
        <f t="shared" si="20"/>
        <v>54767266.666666664</v>
      </c>
      <c r="P48" s="29">
        <f t="shared" si="21"/>
        <v>1790.7079295320298</v>
      </c>
      <c r="Q48" s="30">
        <f t="shared" si="22"/>
        <v>8.5011374497113434E-2</v>
      </c>
      <c r="R48" s="29">
        <f t="shared" si="23"/>
        <v>20336</v>
      </c>
      <c r="S48" s="29">
        <f t="shared" si="24"/>
        <v>52873600</v>
      </c>
      <c r="T48" s="30">
        <f t="shared" si="25"/>
        <v>8.8056054756689109E-2</v>
      </c>
      <c r="U48" s="56" t="s">
        <v>183</v>
      </c>
      <c r="V48" s="56" t="s">
        <v>106</v>
      </c>
      <c r="W48" s="56" t="s">
        <v>107</v>
      </c>
      <c r="Y48" s="19"/>
    </row>
    <row r="49" spans="1:26" ht="108.75" customHeight="1">
      <c r="A49" s="97">
        <v>44</v>
      </c>
      <c r="B49" s="104" t="s">
        <v>184</v>
      </c>
      <c r="C49" s="104" t="s">
        <v>185</v>
      </c>
      <c r="D49" s="100">
        <v>2600</v>
      </c>
      <c r="E49" s="62" t="s">
        <v>59</v>
      </c>
      <c r="F49" s="101">
        <v>1</v>
      </c>
      <c r="G49" s="62" t="s">
        <v>72</v>
      </c>
      <c r="H49" s="105">
        <v>100000</v>
      </c>
      <c r="I49" s="54">
        <f>+H49*D49</f>
        <v>260000000</v>
      </c>
      <c r="J49" s="105">
        <v>105000</v>
      </c>
      <c r="K49" s="54">
        <f>+J49*D49</f>
        <v>273000000</v>
      </c>
      <c r="L49" s="105">
        <v>100000</v>
      </c>
      <c r="M49" s="54">
        <f>+L49*D49</f>
        <v>260000000</v>
      </c>
      <c r="N49" s="29">
        <f t="shared" si="19"/>
        <v>101666.66666666667</v>
      </c>
      <c r="O49" s="29">
        <f t="shared" si="20"/>
        <v>264333333.33333334</v>
      </c>
      <c r="P49" s="29">
        <f t="shared" si="21"/>
        <v>2357.0226039551585</v>
      </c>
      <c r="Q49" s="30">
        <f t="shared" si="22"/>
        <v>2.3183828891362213E-2</v>
      </c>
      <c r="R49" s="29">
        <f t="shared" si="23"/>
        <v>100000</v>
      </c>
      <c r="S49" s="29">
        <f t="shared" si="24"/>
        <v>260000000</v>
      </c>
      <c r="T49" s="30">
        <f t="shared" si="25"/>
        <v>2.3570226039551584E-2</v>
      </c>
      <c r="U49" s="106" t="s">
        <v>186</v>
      </c>
      <c r="V49" s="106" t="s">
        <v>187</v>
      </c>
      <c r="W49" s="106" t="s">
        <v>188</v>
      </c>
      <c r="Y49" s="19"/>
    </row>
    <row r="50" spans="1:26" ht="165.75" customHeight="1">
      <c r="A50" s="49">
        <v>45</v>
      </c>
      <c r="B50" s="61" t="s">
        <v>189</v>
      </c>
      <c r="C50" s="80" t="s">
        <v>190</v>
      </c>
      <c r="D50" s="62">
        <v>10</v>
      </c>
      <c r="E50" s="56" t="s">
        <v>41</v>
      </c>
      <c r="F50" s="56">
        <v>4</v>
      </c>
      <c r="G50" s="56" t="s">
        <v>104</v>
      </c>
      <c r="H50" s="54">
        <f>+(173550*100)/119</f>
        <v>145840.33613445377</v>
      </c>
      <c r="I50" s="54">
        <f>+H50*F50*D50</f>
        <v>5833613.4453781508</v>
      </c>
      <c r="J50" s="54">
        <f>+(156300*100)/119</f>
        <v>131344.53781512604</v>
      </c>
      <c r="K50" s="54">
        <f>+J50*F50*D50</f>
        <v>5253781.5126050413</v>
      </c>
      <c r="L50" s="54">
        <f>+(155707*100)/119</f>
        <v>130846.21848739496</v>
      </c>
      <c r="M50" s="54">
        <f>+L50*F50*D50</f>
        <v>5233848.739495798</v>
      </c>
      <c r="N50" s="29">
        <f t="shared" si="19"/>
        <v>136010.36414565824</v>
      </c>
      <c r="O50" s="29">
        <f t="shared" si="20"/>
        <v>5440414.5658263294</v>
      </c>
      <c r="P50" s="29">
        <f t="shared" si="21"/>
        <v>6953.8163389358087</v>
      </c>
      <c r="Q50" s="30">
        <f t="shared" si="22"/>
        <v>5.1127106251173067E-2</v>
      </c>
      <c r="R50" s="29">
        <f t="shared" si="23"/>
        <v>131344.53781512604</v>
      </c>
      <c r="S50" s="29">
        <f t="shared" si="24"/>
        <v>5253781.5126050413</v>
      </c>
      <c r="T50" s="30">
        <f t="shared" si="25"/>
        <v>5.2943323373855489E-2</v>
      </c>
      <c r="U50" s="56" t="s">
        <v>191</v>
      </c>
      <c r="V50" s="56" t="s">
        <v>192</v>
      </c>
      <c r="W50" s="56" t="s">
        <v>193</v>
      </c>
      <c r="X50" s="40">
        <f>SUM(O13:O50)</f>
        <v>1337169017.8983192</v>
      </c>
      <c r="Y50" s="40">
        <f>SUM(S13:S50)</f>
        <v>1315900642.4795518</v>
      </c>
      <c r="Z50" t="s">
        <v>194</v>
      </c>
    </row>
    <row r="51" spans="1:26" ht="21.75" customHeight="1">
      <c r="A51" s="307" t="s">
        <v>195</v>
      </c>
      <c r="B51" s="307"/>
      <c r="C51" s="307"/>
      <c r="D51" s="307"/>
      <c r="E51" s="307"/>
      <c r="F51" s="307"/>
      <c r="G51" s="307"/>
      <c r="H51" s="307"/>
      <c r="I51" s="307"/>
      <c r="J51" s="307"/>
      <c r="K51" s="307"/>
      <c r="L51" s="307"/>
      <c r="M51" s="307"/>
      <c r="N51" s="307"/>
      <c r="O51" s="307"/>
      <c r="P51" s="307"/>
      <c r="Q51" s="307"/>
      <c r="R51" s="307"/>
      <c r="S51" s="307"/>
      <c r="T51" s="307"/>
      <c r="U51" s="307"/>
      <c r="V51" s="307"/>
      <c r="W51" s="307"/>
      <c r="X51" s="40"/>
      <c r="Y51" s="40"/>
    </row>
    <row r="52" spans="1:26" ht="408.75" customHeight="1">
      <c r="A52" s="107">
        <v>46</v>
      </c>
      <c r="B52" s="108" t="s">
        <v>196</v>
      </c>
      <c r="C52" s="109" t="s">
        <v>994</v>
      </c>
      <c r="D52" s="110">
        <v>1</v>
      </c>
      <c r="E52" s="110" t="s">
        <v>197</v>
      </c>
      <c r="F52" s="111">
        <v>1</v>
      </c>
      <c r="G52" s="111" t="s">
        <v>198</v>
      </c>
      <c r="H52" s="112">
        <v>350000000</v>
      </c>
      <c r="I52" s="113">
        <f>+H52*F52*D52</f>
        <v>350000000</v>
      </c>
      <c r="J52" s="113"/>
      <c r="K52" s="113"/>
      <c r="L52" s="113"/>
      <c r="M52" s="113"/>
      <c r="N52" s="29">
        <f>+AVERAGE(H52,J52,L52)</f>
        <v>350000000</v>
      </c>
      <c r="O52" s="29">
        <f>+N52*D52*F52</f>
        <v>350000000</v>
      </c>
      <c r="P52" s="29">
        <f>+_xlfn.STDEV.P(H52,J52,L52)</f>
        <v>0</v>
      </c>
      <c r="Q52" s="30">
        <f>+P52/N52</f>
        <v>0</v>
      </c>
      <c r="R52" s="29">
        <f>+MEDIAN(H52,J52,L52)</f>
        <v>350000000</v>
      </c>
      <c r="S52" s="29">
        <f>+R52*D52*F52</f>
        <v>350000000</v>
      </c>
      <c r="T52" s="30">
        <f>+P52/R52</f>
        <v>0</v>
      </c>
      <c r="U52" s="56"/>
      <c r="V52" s="56"/>
      <c r="W52" s="56"/>
      <c r="X52" s="40"/>
      <c r="Y52" s="40"/>
    </row>
    <row r="53" spans="1:26" ht="42.75" customHeight="1">
      <c r="A53" s="307" t="s">
        <v>199</v>
      </c>
      <c r="B53" s="307"/>
      <c r="C53" s="307"/>
      <c r="D53" s="307"/>
      <c r="E53" s="307"/>
      <c r="F53" s="307"/>
      <c r="G53" s="307"/>
      <c r="H53" s="307"/>
      <c r="I53" s="307"/>
      <c r="J53" s="307"/>
      <c r="K53" s="307"/>
      <c r="L53" s="307"/>
      <c r="M53" s="307"/>
      <c r="N53" s="307"/>
      <c r="O53" s="307"/>
      <c r="P53" s="307"/>
      <c r="Q53" s="307"/>
      <c r="R53" s="307"/>
      <c r="S53" s="307"/>
      <c r="T53" s="307"/>
      <c r="U53" s="307"/>
      <c r="V53" s="307"/>
      <c r="W53" s="307"/>
    </row>
    <row r="54" spans="1:26" ht="18.75" customHeight="1">
      <c r="A54" s="296" t="s">
        <v>68</v>
      </c>
      <c r="B54" s="296"/>
      <c r="C54" s="296"/>
      <c r="D54" s="296"/>
      <c r="E54" s="296"/>
      <c r="F54" s="296"/>
      <c r="G54" s="296"/>
      <c r="H54" s="296"/>
      <c r="I54" s="296"/>
      <c r="J54" s="296"/>
      <c r="K54" s="296"/>
      <c r="L54" s="296"/>
      <c r="M54" s="296"/>
      <c r="N54" s="296"/>
      <c r="O54" s="296"/>
      <c r="P54" s="296"/>
      <c r="Q54" s="296"/>
      <c r="R54" s="296"/>
      <c r="S54" s="296"/>
      <c r="T54" s="296"/>
      <c r="U54" s="296"/>
      <c r="V54" s="296"/>
      <c r="W54" s="296"/>
    </row>
    <row r="55" spans="1:26" ht="57.75" customHeight="1">
      <c r="A55" s="49">
        <v>47</v>
      </c>
      <c r="B55" s="50" t="s">
        <v>200</v>
      </c>
      <c r="C55" s="50" t="s">
        <v>201</v>
      </c>
      <c r="D55" s="114">
        <v>1</v>
      </c>
      <c r="E55" s="52" t="s">
        <v>71</v>
      </c>
      <c r="F55" s="52">
        <v>1</v>
      </c>
      <c r="G55" s="52" t="s">
        <v>72</v>
      </c>
      <c r="H55" s="53">
        <f>7996001</f>
        <v>7996001</v>
      </c>
      <c r="I55" s="53">
        <f t="shared" ref="I55:I73" si="26">+H55*F55*D55</f>
        <v>7996001</v>
      </c>
      <c r="J55" s="54"/>
      <c r="K55" s="54"/>
      <c r="L55" s="54"/>
      <c r="M55" s="54"/>
      <c r="N55" s="29">
        <f t="shared" ref="N55:N73" si="27">+AVERAGE(H55,J55,L55)</f>
        <v>7996001</v>
      </c>
      <c r="O55" s="29">
        <f t="shared" ref="O55:O73" si="28">+N55*D55*F55</f>
        <v>7996001</v>
      </c>
      <c r="P55" s="29">
        <f t="shared" ref="P55:P73" si="29">+_xlfn.STDEV.P(H55,J55,L55)</f>
        <v>0</v>
      </c>
      <c r="Q55" s="30">
        <f t="shared" ref="Q55:Q73" si="30">+P55/N55</f>
        <v>0</v>
      </c>
      <c r="R55" s="29">
        <f t="shared" ref="R55:R73" si="31">+MEDIAN(H55,J55,L55)</f>
        <v>7996001</v>
      </c>
      <c r="S55" s="29">
        <f t="shared" ref="S55:S73" si="32">+R55*D55*F55</f>
        <v>7996001</v>
      </c>
      <c r="T55" s="30">
        <f t="shared" ref="T55:T73" si="33">+P55/R55</f>
        <v>0</v>
      </c>
      <c r="U55" s="55" t="s">
        <v>43</v>
      </c>
      <c r="V55" s="56"/>
      <c r="W55" s="56"/>
    </row>
    <row r="56" spans="1:26" ht="57.75" customHeight="1">
      <c r="A56" s="49">
        <v>48</v>
      </c>
      <c r="B56" s="50" t="s">
        <v>202</v>
      </c>
      <c r="C56" s="50" t="s">
        <v>203</v>
      </c>
      <c r="D56" s="114">
        <v>2</v>
      </c>
      <c r="E56" s="52" t="s">
        <v>71</v>
      </c>
      <c r="F56" s="52">
        <v>1</v>
      </c>
      <c r="G56" s="52" t="s">
        <v>72</v>
      </c>
      <c r="H56" s="53">
        <f>3224001</f>
        <v>3224001</v>
      </c>
      <c r="I56" s="53">
        <f t="shared" si="26"/>
        <v>6448002</v>
      </c>
      <c r="J56" s="54"/>
      <c r="K56" s="54"/>
      <c r="L56" s="54"/>
      <c r="M56" s="54"/>
      <c r="N56" s="29">
        <f t="shared" si="27"/>
        <v>3224001</v>
      </c>
      <c r="O56" s="29">
        <f t="shared" si="28"/>
        <v>6448002</v>
      </c>
      <c r="P56" s="29">
        <f t="shared" si="29"/>
        <v>0</v>
      </c>
      <c r="Q56" s="30">
        <f t="shared" si="30"/>
        <v>0</v>
      </c>
      <c r="R56" s="29">
        <f t="shared" si="31"/>
        <v>3224001</v>
      </c>
      <c r="S56" s="29">
        <f t="shared" si="32"/>
        <v>6448002</v>
      </c>
      <c r="T56" s="30">
        <f t="shared" si="33"/>
        <v>0</v>
      </c>
      <c r="U56" s="55" t="s">
        <v>43</v>
      </c>
      <c r="V56" s="56"/>
      <c r="W56" s="56"/>
    </row>
    <row r="57" spans="1:26" ht="57.75" customHeight="1">
      <c r="A57" s="49">
        <v>49</v>
      </c>
      <c r="B57" s="50" t="s">
        <v>204</v>
      </c>
      <c r="C57" s="50" t="s">
        <v>205</v>
      </c>
      <c r="D57" s="114">
        <v>1</v>
      </c>
      <c r="E57" s="52" t="s">
        <v>71</v>
      </c>
      <c r="F57" s="52">
        <v>1</v>
      </c>
      <c r="G57" s="52" t="s">
        <v>72</v>
      </c>
      <c r="H57" s="53">
        <f>5114001</f>
        <v>5114001</v>
      </c>
      <c r="I57" s="53">
        <f t="shared" si="26"/>
        <v>5114001</v>
      </c>
      <c r="J57" s="54"/>
      <c r="K57" s="54"/>
      <c r="L57" s="54"/>
      <c r="M57" s="54"/>
      <c r="N57" s="29">
        <f t="shared" si="27"/>
        <v>5114001</v>
      </c>
      <c r="O57" s="29">
        <f t="shared" si="28"/>
        <v>5114001</v>
      </c>
      <c r="P57" s="29">
        <f t="shared" si="29"/>
        <v>0</v>
      </c>
      <c r="Q57" s="30">
        <f t="shared" si="30"/>
        <v>0</v>
      </c>
      <c r="R57" s="29">
        <f t="shared" si="31"/>
        <v>5114001</v>
      </c>
      <c r="S57" s="29">
        <f t="shared" si="32"/>
        <v>5114001</v>
      </c>
      <c r="T57" s="30">
        <f t="shared" si="33"/>
        <v>0</v>
      </c>
      <c r="U57" s="55" t="s">
        <v>43</v>
      </c>
      <c r="V57" s="56"/>
      <c r="W57" s="56"/>
    </row>
    <row r="58" spans="1:26" ht="57.75" customHeight="1">
      <c r="A58" s="49">
        <v>50</v>
      </c>
      <c r="B58" s="50" t="s">
        <v>206</v>
      </c>
      <c r="C58" s="50" t="s">
        <v>207</v>
      </c>
      <c r="D58" s="115">
        <v>6</v>
      </c>
      <c r="E58" s="52" t="s">
        <v>71</v>
      </c>
      <c r="F58" s="52">
        <v>1</v>
      </c>
      <c r="G58" s="52" t="s">
        <v>104</v>
      </c>
      <c r="H58" s="53">
        <f>3640001/30</f>
        <v>121333.36666666667</v>
      </c>
      <c r="I58" s="53">
        <f t="shared" si="26"/>
        <v>728000.2</v>
      </c>
      <c r="J58" s="54"/>
      <c r="K58" s="54"/>
      <c r="L58" s="54"/>
      <c r="M58" s="54"/>
      <c r="N58" s="29">
        <f t="shared" si="27"/>
        <v>121333.36666666667</v>
      </c>
      <c r="O58" s="29">
        <f t="shared" si="28"/>
        <v>728000.2</v>
      </c>
      <c r="P58" s="29">
        <f t="shared" si="29"/>
        <v>0</v>
      </c>
      <c r="Q58" s="30">
        <f t="shared" si="30"/>
        <v>0</v>
      </c>
      <c r="R58" s="29">
        <f t="shared" si="31"/>
        <v>121333.36666666667</v>
      </c>
      <c r="S58" s="29">
        <f t="shared" si="32"/>
        <v>728000.2</v>
      </c>
      <c r="T58" s="30">
        <f t="shared" si="33"/>
        <v>0</v>
      </c>
      <c r="U58" s="55" t="s">
        <v>43</v>
      </c>
      <c r="V58" s="56"/>
      <c r="W58" s="89"/>
    </row>
    <row r="59" spans="1:26" s="19" customFormat="1" ht="57.75" customHeight="1">
      <c r="A59" s="49">
        <v>51</v>
      </c>
      <c r="B59" s="50" t="s">
        <v>208</v>
      </c>
      <c r="C59" s="50" t="s">
        <v>209</v>
      </c>
      <c r="D59" s="115">
        <v>4</v>
      </c>
      <c r="E59" s="52" t="s">
        <v>71</v>
      </c>
      <c r="F59" s="52">
        <v>1</v>
      </c>
      <c r="G59" s="52" t="s">
        <v>104</v>
      </c>
      <c r="H59" s="53">
        <f>3095001/30</f>
        <v>103166.7</v>
      </c>
      <c r="I59" s="53">
        <f t="shared" si="26"/>
        <v>412666.8</v>
      </c>
      <c r="J59" s="54"/>
      <c r="K59" s="54"/>
      <c r="L59" s="54"/>
      <c r="M59" s="54"/>
      <c r="N59" s="29">
        <f t="shared" si="27"/>
        <v>103166.7</v>
      </c>
      <c r="O59" s="29">
        <f t="shared" si="28"/>
        <v>412666.8</v>
      </c>
      <c r="P59" s="29">
        <f t="shared" si="29"/>
        <v>0</v>
      </c>
      <c r="Q59" s="30">
        <f t="shared" si="30"/>
        <v>0</v>
      </c>
      <c r="R59" s="29">
        <f t="shared" si="31"/>
        <v>103166.7</v>
      </c>
      <c r="S59" s="29">
        <f t="shared" si="32"/>
        <v>412666.8</v>
      </c>
      <c r="T59" s="30">
        <f t="shared" si="33"/>
        <v>0</v>
      </c>
      <c r="U59" s="55" t="s">
        <v>43</v>
      </c>
      <c r="V59" s="56"/>
      <c r="W59" s="56"/>
    </row>
    <row r="60" spans="1:26" ht="78" customHeight="1">
      <c r="A60" s="49">
        <v>52</v>
      </c>
      <c r="B60" s="50" t="s">
        <v>210</v>
      </c>
      <c r="C60" s="50" t="s">
        <v>211</v>
      </c>
      <c r="D60" s="115">
        <v>4</v>
      </c>
      <c r="E60" s="52" t="s">
        <v>71</v>
      </c>
      <c r="F60" s="52">
        <v>1</v>
      </c>
      <c r="G60" s="52" t="s">
        <v>104</v>
      </c>
      <c r="H60" s="53">
        <f>3095001/30</f>
        <v>103166.7</v>
      </c>
      <c r="I60" s="53">
        <f t="shared" si="26"/>
        <v>412666.8</v>
      </c>
      <c r="J60" s="54"/>
      <c r="K60" s="54"/>
      <c r="L60" s="54"/>
      <c r="M60" s="54"/>
      <c r="N60" s="29">
        <f t="shared" si="27"/>
        <v>103166.7</v>
      </c>
      <c r="O60" s="29">
        <f t="shared" si="28"/>
        <v>412666.8</v>
      </c>
      <c r="P60" s="29">
        <f t="shared" si="29"/>
        <v>0</v>
      </c>
      <c r="Q60" s="30">
        <f t="shared" si="30"/>
        <v>0</v>
      </c>
      <c r="R60" s="29">
        <f t="shared" si="31"/>
        <v>103166.7</v>
      </c>
      <c r="S60" s="29">
        <f t="shared" si="32"/>
        <v>412666.8</v>
      </c>
      <c r="T60" s="30">
        <f t="shared" si="33"/>
        <v>0</v>
      </c>
      <c r="U60" s="55" t="s">
        <v>43</v>
      </c>
      <c r="V60" s="56"/>
      <c r="W60" s="56"/>
    </row>
    <row r="61" spans="1:26" ht="57.75" customHeight="1">
      <c r="A61" s="49">
        <v>53</v>
      </c>
      <c r="B61" s="50" t="s">
        <v>212</v>
      </c>
      <c r="C61" s="50" t="s">
        <v>213</v>
      </c>
      <c r="D61" s="115">
        <v>4</v>
      </c>
      <c r="E61" s="52" t="s">
        <v>71</v>
      </c>
      <c r="F61" s="52">
        <v>1</v>
      </c>
      <c r="G61" s="52" t="s">
        <v>104</v>
      </c>
      <c r="H61" s="53">
        <f>3095001/30</f>
        <v>103166.7</v>
      </c>
      <c r="I61" s="53">
        <f t="shared" si="26"/>
        <v>412666.8</v>
      </c>
      <c r="J61" s="54"/>
      <c r="K61" s="54"/>
      <c r="L61" s="54"/>
      <c r="M61" s="54"/>
      <c r="N61" s="29">
        <f t="shared" si="27"/>
        <v>103166.7</v>
      </c>
      <c r="O61" s="29">
        <f t="shared" si="28"/>
        <v>412666.8</v>
      </c>
      <c r="P61" s="29">
        <f t="shared" si="29"/>
        <v>0</v>
      </c>
      <c r="Q61" s="30">
        <f t="shared" si="30"/>
        <v>0</v>
      </c>
      <c r="R61" s="29">
        <f t="shared" si="31"/>
        <v>103166.7</v>
      </c>
      <c r="S61" s="29">
        <f t="shared" si="32"/>
        <v>412666.8</v>
      </c>
      <c r="T61" s="30">
        <f t="shared" si="33"/>
        <v>0</v>
      </c>
      <c r="U61" s="55" t="s">
        <v>43</v>
      </c>
      <c r="V61" s="56"/>
      <c r="W61" s="56"/>
    </row>
    <row r="62" spans="1:26" ht="72" customHeight="1">
      <c r="A62" s="49">
        <v>54</v>
      </c>
      <c r="B62" s="50" t="s">
        <v>214</v>
      </c>
      <c r="C62" s="50" t="s">
        <v>215</v>
      </c>
      <c r="D62" s="114">
        <v>2</v>
      </c>
      <c r="E62" s="52" t="s">
        <v>71</v>
      </c>
      <c r="F62" s="52">
        <v>1</v>
      </c>
      <c r="G62" s="52" t="s">
        <v>104</v>
      </c>
      <c r="H62" s="53">
        <f>5860001/30</f>
        <v>195333.36666666667</v>
      </c>
      <c r="I62" s="53">
        <f t="shared" si="26"/>
        <v>390666.73333333334</v>
      </c>
      <c r="J62" s="54"/>
      <c r="K62" s="54"/>
      <c r="L62" s="54"/>
      <c r="M62" s="54"/>
      <c r="N62" s="29">
        <f t="shared" si="27"/>
        <v>195333.36666666667</v>
      </c>
      <c r="O62" s="29">
        <f t="shared" si="28"/>
        <v>390666.73333333334</v>
      </c>
      <c r="P62" s="29">
        <f t="shared" si="29"/>
        <v>0</v>
      </c>
      <c r="Q62" s="30">
        <f t="shared" si="30"/>
        <v>0</v>
      </c>
      <c r="R62" s="29">
        <f t="shared" si="31"/>
        <v>195333.36666666667</v>
      </c>
      <c r="S62" s="29">
        <f t="shared" si="32"/>
        <v>390666.73333333334</v>
      </c>
      <c r="T62" s="30">
        <f t="shared" si="33"/>
        <v>0</v>
      </c>
      <c r="U62" s="55" t="s">
        <v>43</v>
      </c>
      <c r="V62" s="56"/>
      <c r="W62" s="56"/>
    </row>
    <row r="63" spans="1:26" ht="63.75" customHeight="1">
      <c r="A63" s="49">
        <v>55</v>
      </c>
      <c r="B63" s="50" t="s">
        <v>216</v>
      </c>
      <c r="C63" s="50" t="s">
        <v>217</v>
      </c>
      <c r="D63" s="114">
        <v>1</v>
      </c>
      <c r="E63" s="52" t="s">
        <v>71</v>
      </c>
      <c r="F63" s="52">
        <v>1</v>
      </c>
      <c r="G63" s="52" t="s">
        <v>104</v>
      </c>
      <c r="H63" s="53">
        <f>3095001/30</f>
        <v>103166.7</v>
      </c>
      <c r="I63" s="53">
        <f t="shared" si="26"/>
        <v>103166.7</v>
      </c>
      <c r="J63" s="54"/>
      <c r="K63" s="54"/>
      <c r="L63" s="54"/>
      <c r="M63" s="54"/>
      <c r="N63" s="29">
        <f t="shared" si="27"/>
        <v>103166.7</v>
      </c>
      <c r="O63" s="29">
        <f t="shared" si="28"/>
        <v>103166.7</v>
      </c>
      <c r="P63" s="29">
        <f t="shared" si="29"/>
        <v>0</v>
      </c>
      <c r="Q63" s="30">
        <f t="shared" si="30"/>
        <v>0</v>
      </c>
      <c r="R63" s="29">
        <f t="shared" si="31"/>
        <v>103166.7</v>
      </c>
      <c r="S63" s="29">
        <f t="shared" si="32"/>
        <v>103166.7</v>
      </c>
      <c r="T63" s="30">
        <f t="shared" si="33"/>
        <v>0</v>
      </c>
      <c r="U63" s="55" t="s">
        <v>43</v>
      </c>
      <c r="V63" s="56"/>
      <c r="W63" s="56"/>
    </row>
    <row r="64" spans="1:26" ht="55.5" customHeight="1">
      <c r="A64" s="49">
        <v>56</v>
      </c>
      <c r="B64" s="50" t="s">
        <v>218</v>
      </c>
      <c r="C64" s="50" t="s">
        <v>219</v>
      </c>
      <c r="D64" s="115">
        <v>1</v>
      </c>
      <c r="E64" s="52" t="s">
        <v>71</v>
      </c>
      <c r="F64" s="52">
        <v>1</v>
      </c>
      <c r="G64" s="52" t="s">
        <v>104</v>
      </c>
      <c r="H64" s="53">
        <f>3640001/30</f>
        <v>121333.36666666667</v>
      </c>
      <c r="I64" s="53">
        <f t="shared" si="26"/>
        <v>121333.36666666667</v>
      </c>
      <c r="J64" s="54"/>
      <c r="K64" s="54"/>
      <c r="L64" s="54"/>
      <c r="M64" s="54"/>
      <c r="N64" s="29">
        <f t="shared" si="27"/>
        <v>121333.36666666667</v>
      </c>
      <c r="O64" s="29">
        <f t="shared" si="28"/>
        <v>121333.36666666667</v>
      </c>
      <c r="P64" s="29">
        <f t="shared" si="29"/>
        <v>0</v>
      </c>
      <c r="Q64" s="30">
        <f t="shared" si="30"/>
        <v>0</v>
      </c>
      <c r="R64" s="29">
        <f t="shared" si="31"/>
        <v>121333.36666666667</v>
      </c>
      <c r="S64" s="29">
        <f t="shared" si="32"/>
        <v>121333.36666666667</v>
      </c>
      <c r="T64" s="30">
        <f t="shared" si="33"/>
        <v>0</v>
      </c>
      <c r="U64" s="55" t="s">
        <v>43</v>
      </c>
      <c r="V64" s="56"/>
      <c r="W64" s="56"/>
    </row>
    <row r="65" spans="1:24" ht="57.75" customHeight="1">
      <c r="A65" s="49">
        <v>57</v>
      </c>
      <c r="B65" s="50" t="s">
        <v>220</v>
      </c>
      <c r="C65" s="50" t="s">
        <v>221</v>
      </c>
      <c r="D65" s="115">
        <v>0</v>
      </c>
      <c r="E65" s="52" t="s">
        <v>71</v>
      </c>
      <c r="F65" s="52">
        <v>1</v>
      </c>
      <c r="G65" s="52" t="s">
        <v>104</v>
      </c>
      <c r="H65" s="53">
        <f>3640001/30</f>
        <v>121333.36666666667</v>
      </c>
      <c r="I65" s="53">
        <f t="shared" si="26"/>
        <v>0</v>
      </c>
      <c r="J65" s="54"/>
      <c r="K65" s="54"/>
      <c r="L65" s="54"/>
      <c r="M65" s="54"/>
      <c r="N65" s="29">
        <f t="shared" si="27"/>
        <v>121333.36666666667</v>
      </c>
      <c r="O65" s="29">
        <f t="shared" si="28"/>
        <v>0</v>
      </c>
      <c r="P65" s="29">
        <f t="shared" si="29"/>
        <v>0</v>
      </c>
      <c r="Q65" s="30">
        <f t="shared" si="30"/>
        <v>0</v>
      </c>
      <c r="R65" s="29">
        <f t="shared" si="31"/>
        <v>121333.36666666667</v>
      </c>
      <c r="S65" s="29">
        <f t="shared" si="32"/>
        <v>0</v>
      </c>
      <c r="T65" s="30">
        <f t="shared" si="33"/>
        <v>0</v>
      </c>
      <c r="U65" s="55" t="s">
        <v>43</v>
      </c>
      <c r="V65" s="56"/>
      <c r="W65" s="56"/>
    </row>
    <row r="66" spans="1:24" ht="30" customHeight="1">
      <c r="A66" s="49">
        <v>58</v>
      </c>
      <c r="B66" s="50" t="s">
        <v>222</v>
      </c>
      <c r="C66" s="50" t="s">
        <v>223</v>
      </c>
      <c r="D66" s="115">
        <v>1</v>
      </c>
      <c r="E66" s="52" t="s">
        <v>71</v>
      </c>
      <c r="F66" s="52">
        <v>1</v>
      </c>
      <c r="G66" s="52" t="s">
        <v>104</v>
      </c>
      <c r="H66" s="58">
        <f>5860001/30</f>
        <v>195333.36666666667</v>
      </c>
      <c r="I66" s="53">
        <f t="shared" si="26"/>
        <v>195333.36666666667</v>
      </c>
      <c r="J66" s="54"/>
      <c r="K66" s="54"/>
      <c r="L66" s="59"/>
      <c r="M66" s="54"/>
      <c r="N66" s="29">
        <f t="shared" si="27"/>
        <v>195333.36666666667</v>
      </c>
      <c r="O66" s="29">
        <f t="shared" si="28"/>
        <v>195333.36666666667</v>
      </c>
      <c r="P66" s="29">
        <f t="shared" si="29"/>
        <v>0</v>
      </c>
      <c r="Q66" s="30">
        <f t="shared" si="30"/>
        <v>0</v>
      </c>
      <c r="R66" s="29">
        <f t="shared" si="31"/>
        <v>195333.36666666667</v>
      </c>
      <c r="S66" s="29">
        <f t="shared" si="32"/>
        <v>195333.36666666667</v>
      </c>
      <c r="T66" s="30">
        <f t="shared" si="33"/>
        <v>0</v>
      </c>
      <c r="U66" s="55" t="s">
        <v>43</v>
      </c>
      <c r="V66" s="56"/>
      <c r="W66" s="56"/>
    </row>
    <row r="67" spans="1:24" ht="57.75" customHeight="1">
      <c r="A67" s="49">
        <v>59</v>
      </c>
      <c r="B67" s="50" t="s">
        <v>224</v>
      </c>
      <c r="C67" s="50" t="s">
        <v>225</v>
      </c>
      <c r="D67" s="115">
        <v>1</v>
      </c>
      <c r="E67" s="52" t="s">
        <v>71</v>
      </c>
      <c r="F67" s="52">
        <v>1</v>
      </c>
      <c r="G67" s="52" t="s">
        <v>104</v>
      </c>
      <c r="H67" s="53">
        <f>3640001/30</f>
        <v>121333.36666666667</v>
      </c>
      <c r="I67" s="53">
        <f t="shared" si="26"/>
        <v>121333.36666666667</v>
      </c>
      <c r="J67" s="54"/>
      <c r="K67" s="54"/>
      <c r="L67" s="54"/>
      <c r="M67" s="54"/>
      <c r="N67" s="29">
        <f t="shared" si="27"/>
        <v>121333.36666666667</v>
      </c>
      <c r="O67" s="29">
        <f t="shared" si="28"/>
        <v>121333.36666666667</v>
      </c>
      <c r="P67" s="29">
        <f t="shared" si="29"/>
        <v>0</v>
      </c>
      <c r="Q67" s="30">
        <f t="shared" si="30"/>
        <v>0</v>
      </c>
      <c r="R67" s="29">
        <f t="shared" si="31"/>
        <v>121333.36666666667</v>
      </c>
      <c r="S67" s="29">
        <f t="shared" si="32"/>
        <v>121333.36666666667</v>
      </c>
      <c r="T67" s="30">
        <f t="shared" si="33"/>
        <v>0</v>
      </c>
      <c r="U67" s="55" t="s">
        <v>43</v>
      </c>
      <c r="V67" s="56"/>
      <c r="W67" s="56"/>
    </row>
    <row r="68" spans="1:24" ht="57.75" customHeight="1">
      <c r="A68" s="49">
        <v>60</v>
      </c>
      <c r="B68" s="50" t="s">
        <v>226</v>
      </c>
      <c r="C68" s="50" t="s">
        <v>227</v>
      </c>
      <c r="D68" s="115">
        <v>3</v>
      </c>
      <c r="E68" s="52" t="s">
        <v>71</v>
      </c>
      <c r="F68" s="52">
        <v>1</v>
      </c>
      <c r="G68" s="52" t="s">
        <v>104</v>
      </c>
      <c r="H68" s="53">
        <f>3224001/30</f>
        <v>107466.7</v>
      </c>
      <c r="I68" s="53">
        <f t="shared" si="26"/>
        <v>322400.09999999998</v>
      </c>
      <c r="J68" s="54"/>
      <c r="K68" s="54"/>
      <c r="L68" s="59"/>
      <c r="M68" s="54"/>
      <c r="N68" s="29">
        <f t="shared" si="27"/>
        <v>107466.7</v>
      </c>
      <c r="O68" s="29">
        <f t="shared" si="28"/>
        <v>322400.09999999998</v>
      </c>
      <c r="P68" s="29">
        <f t="shared" si="29"/>
        <v>0</v>
      </c>
      <c r="Q68" s="30">
        <f t="shared" si="30"/>
        <v>0</v>
      </c>
      <c r="R68" s="29">
        <f t="shared" si="31"/>
        <v>107466.7</v>
      </c>
      <c r="S68" s="29">
        <f t="shared" si="32"/>
        <v>322400.09999999998</v>
      </c>
      <c r="T68" s="30">
        <f t="shared" si="33"/>
        <v>0</v>
      </c>
      <c r="U68" s="55" t="s">
        <v>43</v>
      </c>
      <c r="V68" s="56"/>
      <c r="W68" s="56"/>
    </row>
    <row r="69" spans="1:24" ht="31.5" customHeight="1">
      <c r="A69" s="49">
        <v>61</v>
      </c>
      <c r="B69" s="50" t="s">
        <v>228</v>
      </c>
      <c r="C69" s="50" t="s">
        <v>229</v>
      </c>
      <c r="D69" s="114">
        <v>1</v>
      </c>
      <c r="E69" s="52" t="s">
        <v>71</v>
      </c>
      <c r="F69" s="52">
        <v>1</v>
      </c>
      <c r="G69" s="52" t="s">
        <v>104</v>
      </c>
      <c r="H69" s="116">
        <f>5860001/30</f>
        <v>195333.36666666667</v>
      </c>
      <c r="I69" s="53">
        <f t="shared" si="26"/>
        <v>195333.36666666667</v>
      </c>
      <c r="J69" s="117"/>
      <c r="K69" s="54"/>
      <c r="L69" s="117"/>
      <c r="M69" s="54"/>
      <c r="N69" s="29">
        <f t="shared" si="27"/>
        <v>195333.36666666667</v>
      </c>
      <c r="O69" s="29">
        <f t="shared" si="28"/>
        <v>195333.36666666667</v>
      </c>
      <c r="P69" s="29">
        <f t="shared" si="29"/>
        <v>0</v>
      </c>
      <c r="Q69" s="30">
        <f t="shared" si="30"/>
        <v>0</v>
      </c>
      <c r="R69" s="29">
        <f t="shared" si="31"/>
        <v>195333.36666666667</v>
      </c>
      <c r="S69" s="29">
        <f t="shared" si="32"/>
        <v>195333.36666666667</v>
      </c>
      <c r="T69" s="30">
        <f t="shared" si="33"/>
        <v>0</v>
      </c>
      <c r="U69" s="55" t="s">
        <v>43</v>
      </c>
      <c r="V69" s="118"/>
      <c r="W69" s="119"/>
    </row>
    <row r="70" spans="1:24" ht="57.75" customHeight="1">
      <c r="A70" s="49">
        <v>62</v>
      </c>
      <c r="B70" s="50" t="s">
        <v>230</v>
      </c>
      <c r="C70" s="50" t="s">
        <v>231</v>
      </c>
      <c r="D70" s="115">
        <v>20</v>
      </c>
      <c r="E70" s="52" t="s">
        <v>71</v>
      </c>
      <c r="F70" s="52">
        <v>1</v>
      </c>
      <c r="G70" s="52" t="s">
        <v>104</v>
      </c>
      <c r="H70" s="58">
        <f>2146001/30</f>
        <v>71533.366666666669</v>
      </c>
      <c r="I70" s="53">
        <f t="shared" si="26"/>
        <v>1430667.3333333335</v>
      </c>
      <c r="J70" s="59"/>
      <c r="K70" s="54"/>
      <c r="L70" s="59"/>
      <c r="M70" s="54"/>
      <c r="N70" s="29">
        <f t="shared" si="27"/>
        <v>71533.366666666669</v>
      </c>
      <c r="O70" s="29">
        <f t="shared" si="28"/>
        <v>1430667.3333333335</v>
      </c>
      <c r="P70" s="29">
        <f t="shared" si="29"/>
        <v>0</v>
      </c>
      <c r="Q70" s="30">
        <f t="shared" si="30"/>
        <v>0</v>
      </c>
      <c r="R70" s="29">
        <f t="shared" si="31"/>
        <v>71533.366666666669</v>
      </c>
      <c r="S70" s="29">
        <f t="shared" si="32"/>
        <v>1430667.3333333335</v>
      </c>
      <c r="T70" s="30">
        <f t="shared" si="33"/>
        <v>0</v>
      </c>
      <c r="U70" s="55" t="s">
        <v>43</v>
      </c>
      <c r="V70" s="56"/>
      <c r="W70" s="56"/>
    </row>
    <row r="71" spans="1:24" ht="57.75" customHeight="1">
      <c r="A71" s="49">
        <v>63</v>
      </c>
      <c r="B71" s="50" t="s">
        <v>232</v>
      </c>
      <c r="C71" s="50" t="s">
        <v>233</v>
      </c>
      <c r="D71" s="115">
        <v>2</v>
      </c>
      <c r="E71" s="52" t="s">
        <v>71</v>
      </c>
      <c r="F71" s="52">
        <v>1</v>
      </c>
      <c r="G71" s="52" t="s">
        <v>104</v>
      </c>
      <c r="H71" s="58">
        <f>2146001/30</f>
        <v>71533.366666666669</v>
      </c>
      <c r="I71" s="53">
        <f t="shared" si="26"/>
        <v>143066.73333333334</v>
      </c>
      <c r="J71" s="59"/>
      <c r="K71" s="54"/>
      <c r="L71" s="59"/>
      <c r="M71" s="54"/>
      <c r="N71" s="29">
        <f t="shared" si="27"/>
        <v>71533.366666666669</v>
      </c>
      <c r="O71" s="29">
        <f t="shared" si="28"/>
        <v>143066.73333333334</v>
      </c>
      <c r="P71" s="29">
        <f t="shared" si="29"/>
        <v>0</v>
      </c>
      <c r="Q71" s="30">
        <f t="shared" si="30"/>
        <v>0</v>
      </c>
      <c r="R71" s="29">
        <f t="shared" si="31"/>
        <v>71533.366666666669</v>
      </c>
      <c r="S71" s="29">
        <f t="shared" si="32"/>
        <v>143066.73333333334</v>
      </c>
      <c r="T71" s="30">
        <f t="shared" si="33"/>
        <v>0</v>
      </c>
      <c r="U71" s="55" t="s">
        <v>43</v>
      </c>
      <c r="V71" s="56"/>
      <c r="W71" s="56"/>
    </row>
    <row r="72" spans="1:24" ht="57.75" customHeight="1">
      <c r="A72" s="49">
        <v>64</v>
      </c>
      <c r="B72" s="50" t="s">
        <v>234</v>
      </c>
      <c r="C72" s="50" t="s">
        <v>235</v>
      </c>
      <c r="D72" s="115">
        <v>6</v>
      </c>
      <c r="E72" s="52" t="s">
        <v>71</v>
      </c>
      <c r="F72" s="52">
        <v>1</v>
      </c>
      <c r="G72" s="52" t="s">
        <v>104</v>
      </c>
      <c r="H72" s="58">
        <f>3095001/30</f>
        <v>103166.7</v>
      </c>
      <c r="I72" s="53">
        <f t="shared" si="26"/>
        <v>619000.19999999995</v>
      </c>
      <c r="J72" s="59"/>
      <c r="K72" s="54"/>
      <c r="L72" s="59"/>
      <c r="M72" s="54"/>
      <c r="N72" s="29">
        <f t="shared" si="27"/>
        <v>103166.7</v>
      </c>
      <c r="O72" s="29">
        <f t="shared" si="28"/>
        <v>619000.19999999995</v>
      </c>
      <c r="P72" s="29">
        <f t="shared" si="29"/>
        <v>0</v>
      </c>
      <c r="Q72" s="30">
        <f t="shared" si="30"/>
        <v>0</v>
      </c>
      <c r="R72" s="29">
        <f t="shared" si="31"/>
        <v>103166.7</v>
      </c>
      <c r="S72" s="29">
        <f t="shared" si="32"/>
        <v>619000.19999999995</v>
      </c>
      <c r="T72" s="30">
        <f t="shared" si="33"/>
        <v>0</v>
      </c>
      <c r="U72" s="55" t="s">
        <v>43</v>
      </c>
      <c r="V72" s="56"/>
      <c r="W72" s="56"/>
    </row>
    <row r="73" spans="1:24" ht="57.75" customHeight="1">
      <c r="A73" s="49">
        <v>65</v>
      </c>
      <c r="B73" s="50" t="s">
        <v>236</v>
      </c>
      <c r="C73" s="50" t="s">
        <v>237</v>
      </c>
      <c r="D73" s="114">
        <v>1</v>
      </c>
      <c r="E73" s="52" t="s">
        <v>71</v>
      </c>
      <c r="F73" s="52">
        <v>1</v>
      </c>
      <c r="G73" s="52" t="s">
        <v>104</v>
      </c>
      <c r="H73" s="58">
        <f>3095001/30</f>
        <v>103166.7</v>
      </c>
      <c r="I73" s="53">
        <f t="shared" si="26"/>
        <v>103166.7</v>
      </c>
      <c r="J73" s="59"/>
      <c r="K73" s="54"/>
      <c r="L73" s="59"/>
      <c r="M73" s="54"/>
      <c r="N73" s="29">
        <f t="shared" si="27"/>
        <v>103166.7</v>
      </c>
      <c r="O73" s="29">
        <f t="shared" si="28"/>
        <v>103166.7</v>
      </c>
      <c r="P73" s="29">
        <f t="shared" si="29"/>
        <v>0</v>
      </c>
      <c r="Q73" s="30">
        <f t="shared" si="30"/>
        <v>0</v>
      </c>
      <c r="R73" s="29">
        <f t="shared" si="31"/>
        <v>103166.7</v>
      </c>
      <c r="S73" s="29">
        <f t="shared" si="32"/>
        <v>103166.7</v>
      </c>
      <c r="T73" s="30">
        <f t="shared" si="33"/>
        <v>0</v>
      </c>
      <c r="U73" s="55" t="s">
        <v>43</v>
      </c>
      <c r="V73" s="56"/>
      <c r="W73" s="56"/>
    </row>
    <row r="74" spans="1:24" s="121" customFormat="1" ht="15.75" customHeight="1">
      <c r="A74" s="296" t="s">
        <v>238</v>
      </c>
      <c r="B74" s="296"/>
      <c r="C74" s="296"/>
      <c r="D74" s="296"/>
      <c r="E74" s="296"/>
      <c r="F74" s="296"/>
      <c r="G74" s="296"/>
      <c r="H74" s="296"/>
      <c r="I74" s="296"/>
      <c r="J74" s="296"/>
      <c r="K74" s="296"/>
      <c r="L74" s="296"/>
      <c r="M74" s="296"/>
      <c r="N74" s="296"/>
      <c r="O74" s="296"/>
      <c r="P74" s="296"/>
      <c r="Q74" s="296"/>
      <c r="R74" s="296"/>
      <c r="S74" s="296"/>
      <c r="T74" s="296"/>
      <c r="U74" s="296"/>
      <c r="V74" s="296"/>
      <c r="W74" s="296"/>
      <c r="X74" s="120"/>
    </row>
    <row r="75" spans="1:24" ht="165.75" customHeight="1">
      <c r="A75" s="49">
        <v>66</v>
      </c>
      <c r="B75" s="122" t="s">
        <v>239</v>
      </c>
      <c r="C75" s="123" t="s">
        <v>240</v>
      </c>
      <c r="D75" s="124">
        <v>1</v>
      </c>
      <c r="E75" s="56" t="s">
        <v>41</v>
      </c>
      <c r="F75" s="56">
        <v>1</v>
      </c>
      <c r="G75" s="56" t="s">
        <v>104</v>
      </c>
      <c r="H75" s="102">
        <v>350000</v>
      </c>
      <c r="I75" s="54">
        <f t="shared" ref="I75:I84" si="34">+H75*F75*D75</f>
        <v>350000</v>
      </c>
      <c r="J75" s="54">
        <v>200000</v>
      </c>
      <c r="K75" s="54">
        <f>+J75*D75*F75</f>
        <v>200000</v>
      </c>
      <c r="L75" s="54">
        <v>215000</v>
      </c>
      <c r="M75" s="54">
        <f t="shared" ref="M75:M84" si="35">+L75*F75*D75</f>
        <v>215000</v>
      </c>
      <c r="N75" s="29">
        <f t="shared" ref="N75:N84" si="36">+AVERAGE(H75,J75,L75)</f>
        <v>255000</v>
      </c>
      <c r="O75" s="29">
        <f t="shared" ref="O75:O84" si="37">+N75*D75*F75</f>
        <v>255000</v>
      </c>
      <c r="P75" s="29">
        <f t="shared" ref="P75:P84" si="38">+_xlfn.STDEV.P(H75,J75,L75)</f>
        <v>67453.687816160207</v>
      </c>
      <c r="Q75" s="30">
        <f t="shared" ref="Q75:Q84" si="39">+P75/N75</f>
        <v>0.26452426594572631</v>
      </c>
      <c r="R75" s="29">
        <f t="shared" ref="R75:R84" si="40">+MEDIAN(H75,J75,L75)</f>
        <v>215000</v>
      </c>
      <c r="S75" s="29">
        <f t="shared" ref="S75:S84" si="41">+R75*D75*F75</f>
        <v>215000</v>
      </c>
      <c r="T75" s="30">
        <f t="shared" ref="T75:T84" si="42">+P75/R75</f>
        <v>0.31373808286586141</v>
      </c>
      <c r="U75" s="125" t="s">
        <v>105</v>
      </c>
      <c r="V75" s="74" t="s">
        <v>106</v>
      </c>
      <c r="W75" s="74" t="s">
        <v>107</v>
      </c>
    </row>
    <row r="76" spans="1:24" ht="33.75" customHeight="1">
      <c r="A76" s="49">
        <v>67</v>
      </c>
      <c r="B76" s="126" t="s">
        <v>241</v>
      </c>
      <c r="C76" s="127" t="s">
        <v>242</v>
      </c>
      <c r="D76" s="101">
        <v>5</v>
      </c>
      <c r="E76" s="56" t="s">
        <v>243</v>
      </c>
      <c r="F76" s="33">
        <v>1</v>
      </c>
      <c r="G76" s="56" t="s">
        <v>104</v>
      </c>
      <c r="H76" s="54">
        <v>247500</v>
      </c>
      <c r="I76" s="128">
        <f t="shared" si="34"/>
        <v>1237500</v>
      </c>
      <c r="J76" s="54">
        <v>220000</v>
      </c>
      <c r="K76" s="54">
        <f t="shared" ref="K76:K84" si="43">+J76*F76*D76</f>
        <v>1100000</v>
      </c>
      <c r="L76" s="54">
        <v>228000</v>
      </c>
      <c r="M76" s="54">
        <f t="shared" si="35"/>
        <v>1140000</v>
      </c>
      <c r="N76" s="29">
        <f t="shared" si="36"/>
        <v>231833.33333333334</v>
      </c>
      <c r="O76" s="29">
        <f t="shared" si="37"/>
        <v>1159166.6666666667</v>
      </c>
      <c r="P76" s="29">
        <f t="shared" si="38"/>
        <v>11549.410759380276</v>
      </c>
      <c r="Q76" s="30">
        <f t="shared" si="39"/>
        <v>4.9817731528599321E-2</v>
      </c>
      <c r="R76" s="29">
        <f t="shared" si="40"/>
        <v>228000</v>
      </c>
      <c r="S76" s="29">
        <f t="shared" si="41"/>
        <v>1140000</v>
      </c>
      <c r="T76" s="30">
        <f t="shared" si="42"/>
        <v>5.0655310348159108E-2</v>
      </c>
      <c r="U76" s="129" t="s">
        <v>244</v>
      </c>
      <c r="V76" s="129" t="s">
        <v>245</v>
      </c>
      <c r="W76" s="129" t="s">
        <v>246</v>
      </c>
    </row>
    <row r="77" spans="1:24" ht="33.75" customHeight="1">
      <c r="A77" s="49">
        <v>68</v>
      </c>
      <c r="B77" s="61" t="s">
        <v>102</v>
      </c>
      <c r="C77" s="62" t="s">
        <v>247</v>
      </c>
      <c r="D77" s="62">
        <v>1</v>
      </c>
      <c r="E77" s="56" t="s">
        <v>41</v>
      </c>
      <c r="F77" s="33">
        <v>1</v>
      </c>
      <c r="G77" s="56" t="s">
        <v>104</v>
      </c>
      <c r="H77" s="63">
        <v>2180000</v>
      </c>
      <c r="I77" s="63">
        <f t="shared" si="34"/>
        <v>2180000</v>
      </c>
      <c r="J77" s="63">
        <v>3000000</v>
      </c>
      <c r="K77" s="63">
        <f t="shared" si="43"/>
        <v>3000000</v>
      </c>
      <c r="L77" s="64">
        <v>2640000</v>
      </c>
      <c r="M77" s="63">
        <f t="shared" si="35"/>
        <v>2640000</v>
      </c>
      <c r="N77" s="29">
        <f t="shared" si="36"/>
        <v>2606666.6666666665</v>
      </c>
      <c r="O77" s="29">
        <f t="shared" si="37"/>
        <v>2606666.6666666665</v>
      </c>
      <c r="P77" s="29">
        <f t="shared" si="38"/>
        <v>335592.34529741918</v>
      </c>
      <c r="Q77" s="30">
        <f t="shared" si="39"/>
        <v>0.12874386648238589</v>
      </c>
      <c r="R77" s="29">
        <f t="shared" si="40"/>
        <v>2640000</v>
      </c>
      <c r="S77" s="29">
        <f t="shared" si="41"/>
        <v>2640000</v>
      </c>
      <c r="T77" s="30">
        <f t="shared" si="42"/>
        <v>0.12711831261265877</v>
      </c>
      <c r="U77" s="65" t="s">
        <v>105</v>
      </c>
      <c r="V77" s="65" t="s">
        <v>106</v>
      </c>
      <c r="W77" s="65" t="s">
        <v>107</v>
      </c>
    </row>
    <row r="78" spans="1:24" ht="57.75" customHeight="1">
      <c r="A78" s="49">
        <v>69</v>
      </c>
      <c r="B78" s="122" t="s">
        <v>248</v>
      </c>
      <c r="C78" s="130" t="s">
        <v>249</v>
      </c>
      <c r="D78" s="124">
        <v>1</v>
      </c>
      <c r="E78" s="56" t="s">
        <v>41</v>
      </c>
      <c r="F78" s="56">
        <v>1</v>
      </c>
      <c r="G78" s="56" t="s">
        <v>104</v>
      </c>
      <c r="H78" s="102">
        <v>504202</v>
      </c>
      <c r="I78" s="63">
        <f t="shared" si="34"/>
        <v>504202</v>
      </c>
      <c r="J78" s="102">
        <v>180000</v>
      </c>
      <c r="K78" s="63">
        <f t="shared" si="43"/>
        <v>180000</v>
      </c>
      <c r="L78" s="63">
        <v>369560</v>
      </c>
      <c r="M78" s="54">
        <f t="shared" si="35"/>
        <v>369560</v>
      </c>
      <c r="N78" s="29">
        <f t="shared" si="36"/>
        <v>351254</v>
      </c>
      <c r="O78" s="29">
        <f t="shared" si="37"/>
        <v>351254</v>
      </c>
      <c r="P78" s="29">
        <f t="shared" si="38"/>
        <v>132986.38132781367</v>
      </c>
      <c r="Q78" s="30">
        <f t="shared" si="39"/>
        <v>0.37860460330078421</v>
      </c>
      <c r="R78" s="29">
        <f t="shared" si="40"/>
        <v>369560</v>
      </c>
      <c r="S78" s="29">
        <f t="shared" si="41"/>
        <v>369560</v>
      </c>
      <c r="T78" s="30">
        <f t="shared" si="42"/>
        <v>0.3598505826599569</v>
      </c>
      <c r="U78" s="56" t="s">
        <v>183</v>
      </c>
      <c r="V78" s="56" t="s">
        <v>250</v>
      </c>
      <c r="W78" s="56" t="s">
        <v>107</v>
      </c>
    </row>
    <row r="79" spans="1:24" ht="60.75" customHeight="1">
      <c r="A79" s="49">
        <v>70</v>
      </c>
      <c r="B79" s="131" t="s">
        <v>251</v>
      </c>
      <c r="C79" s="132" t="s">
        <v>252</v>
      </c>
      <c r="D79" s="124">
        <v>1</v>
      </c>
      <c r="E79" s="56" t="s">
        <v>41</v>
      </c>
      <c r="F79" s="56">
        <v>1</v>
      </c>
      <c r="G79" s="56" t="s">
        <v>104</v>
      </c>
      <c r="H79" s="54">
        <v>5300000</v>
      </c>
      <c r="I79" s="54">
        <f t="shared" si="34"/>
        <v>5300000</v>
      </c>
      <c r="J79" s="54">
        <v>4200000</v>
      </c>
      <c r="K79" s="54">
        <f t="shared" si="43"/>
        <v>4200000</v>
      </c>
      <c r="L79" s="54">
        <v>5000000</v>
      </c>
      <c r="M79" s="54">
        <f t="shared" si="35"/>
        <v>5000000</v>
      </c>
      <c r="N79" s="29">
        <f t="shared" si="36"/>
        <v>4833333.333333333</v>
      </c>
      <c r="O79" s="29">
        <f t="shared" si="37"/>
        <v>4833333.333333333</v>
      </c>
      <c r="P79" s="29">
        <f t="shared" si="38"/>
        <v>464279.60923947062</v>
      </c>
      <c r="Q79" s="30">
        <f t="shared" si="39"/>
        <v>9.6057850187476687E-2</v>
      </c>
      <c r="R79" s="29">
        <f t="shared" si="40"/>
        <v>5000000</v>
      </c>
      <c r="S79" s="29">
        <f t="shared" si="41"/>
        <v>5000000</v>
      </c>
      <c r="T79" s="30">
        <f t="shared" si="42"/>
        <v>9.2855921847894124E-2</v>
      </c>
      <c r="U79" s="68" t="s">
        <v>133</v>
      </c>
      <c r="V79" s="69" t="s">
        <v>253</v>
      </c>
      <c r="W79" s="74" t="s">
        <v>135</v>
      </c>
    </row>
    <row r="80" spans="1:24" ht="43.5" customHeight="1">
      <c r="A80" s="49">
        <v>71</v>
      </c>
      <c r="B80" s="131" t="s">
        <v>254</v>
      </c>
      <c r="C80" s="123" t="s">
        <v>255</v>
      </c>
      <c r="D80" s="124">
        <v>10</v>
      </c>
      <c r="E80" s="56" t="s">
        <v>41</v>
      </c>
      <c r="F80" s="56">
        <v>1</v>
      </c>
      <c r="G80" s="56" t="s">
        <v>104</v>
      </c>
      <c r="H80" s="54">
        <v>350000</v>
      </c>
      <c r="I80" s="54">
        <f t="shared" si="34"/>
        <v>3500000</v>
      </c>
      <c r="J80" s="54">
        <v>380000</v>
      </c>
      <c r="K80" s="54">
        <f t="shared" si="43"/>
        <v>3800000</v>
      </c>
      <c r="L80" s="54">
        <v>308000</v>
      </c>
      <c r="M80" s="54">
        <f t="shared" si="35"/>
        <v>3080000</v>
      </c>
      <c r="N80" s="29">
        <f t="shared" si="36"/>
        <v>346000</v>
      </c>
      <c r="O80" s="29">
        <f t="shared" si="37"/>
        <v>3460000</v>
      </c>
      <c r="P80" s="29">
        <f t="shared" si="38"/>
        <v>29529.646120466801</v>
      </c>
      <c r="Q80" s="30">
        <f t="shared" si="39"/>
        <v>8.534579803603122E-2</v>
      </c>
      <c r="R80" s="29">
        <f t="shared" si="40"/>
        <v>350000</v>
      </c>
      <c r="S80" s="29">
        <f t="shared" si="41"/>
        <v>3500000</v>
      </c>
      <c r="T80" s="30">
        <f t="shared" si="42"/>
        <v>8.4370417487048002E-2</v>
      </c>
      <c r="U80" s="125" t="s">
        <v>105</v>
      </c>
      <c r="V80" s="69" t="s">
        <v>253</v>
      </c>
      <c r="W80" s="74" t="s">
        <v>107</v>
      </c>
    </row>
    <row r="81" spans="1:25" ht="57.75" customHeight="1">
      <c r="A81" s="49">
        <v>72</v>
      </c>
      <c r="B81" s="122" t="s">
        <v>256</v>
      </c>
      <c r="C81" s="123" t="s">
        <v>257</v>
      </c>
      <c r="D81" s="124">
        <v>20</v>
      </c>
      <c r="E81" s="56" t="s">
        <v>41</v>
      </c>
      <c r="F81" s="56">
        <v>1</v>
      </c>
      <c r="G81" s="56" t="s">
        <v>104</v>
      </c>
      <c r="H81" s="102">
        <v>1800</v>
      </c>
      <c r="I81" s="54">
        <f t="shared" si="34"/>
        <v>36000</v>
      </c>
      <c r="J81" s="54">
        <v>1505</v>
      </c>
      <c r="K81" s="54">
        <f t="shared" si="43"/>
        <v>30100</v>
      </c>
      <c r="L81" s="54">
        <v>1328</v>
      </c>
      <c r="M81" s="54">
        <f t="shared" si="35"/>
        <v>26560</v>
      </c>
      <c r="N81" s="29">
        <f t="shared" si="36"/>
        <v>1544.3333333333333</v>
      </c>
      <c r="O81" s="29">
        <f t="shared" si="37"/>
        <v>30886.666666666664</v>
      </c>
      <c r="P81" s="29">
        <f t="shared" si="38"/>
        <v>194.69006708669608</v>
      </c>
      <c r="Q81" s="30">
        <f t="shared" si="39"/>
        <v>0.12606738641486903</v>
      </c>
      <c r="R81" s="29">
        <f t="shared" si="40"/>
        <v>1505</v>
      </c>
      <c r="S81" s="29">
        <f t="shared" si="41"/>
        <v>30100</v>
      </c>
      <c r="T81" s="30">
        <f t="shared" si="42"/>
        <v>0.12936217082172496</v>
      </c>
      <c r="U81" s="68" t="s">
        <v>258</v>
      </c>
      <c r="V81" s="69" t="s">
        <v>259</v>
      </c>
      <c r="W81" s="69" t="s">
        <v>260</v>
      </c>
    </row>
    <row r="82" spans="1:25" ht="72" customHeight="1">
      <c r="A82" s="49">
        <v>73</v>
      </c>
      <c r="B82" s="310" t="s">
        <v>261</v>
      </c>
      <c r="C82" s="130" t="s">
        <v>262</v>
      </c>
      <c r="D82" s="124">
        <v>10</v>
      </c>
      <c r="E82" s="56" t="s">
        <v>41</v>
      </c>
      <c r="F82" s="56">
        <v>1</v>
      </c>
      <c r="G82" s="56" t="s">
        <v>104</v>
      </c>
      <c r="H82" s="54">
        <f>+(78992*5.35%)+78992</f>
        <v>83218.072</v>
      </c>
      <c r="I82" s="54">
        <f t="shared" si="34"/>
        <v>832180.72</v>
      </c>
      <c r="J82" s="54">
        <f>+(65630*5.35%)+65630</f>
        <v>69141.205000000002</v>
      </c>
      <c r="K82" s="54">
        <f t="shared" si="43"/>
        <v>691412.05</v>
      </c>
      <c r="L82" s="54">
        <v>80000</v>
      </c>
      <c r="M82" s="54">
        <f t="shared" si="35"/>
        <v>800000</v>
      </c>
      <c r="N82" s="29">
        <f t="shared" si="36"/>
        <v>77453.092333333334</v>
      </c>
      <c r="O82" s="29">
        <f t="shared" si="37"/>
        <v>774530.92333333334</v>
      </c>
      <c r="P82" s="29">
        <f t="shared" si="38"/>
        <v>6022.4358378104962</v>
      </c>
      <c r="Q82" s="30">
        <f t="shared" si="39"/>
        <v>7.7755912080202799E-2</v>
      </c>
      <c r="R82" s="29">
        <f t="shared" si="40"/>
        <v>80000</v>
      </c>
      <c r="S82" s="29">
        <f t="shared" si="41"/>
        <v>800000</v>
      </c>
      <c r="T82" s="30">
        <f t="shared" si="42"/>
        <v>7.5280447972631198E-2</v>
      </c>
      <c r="U82" s="68" t="s">
        <v>263</v>
      </c>
      <c r="V82" s="69" t="s">
        <v>264</v>
      </c>
      <c r="W82" s="69" t="s">
        <v>265</v>
      </c>
    </row>
    <row r="83" spans="1:25" ht="72" customHeight="1">
      <c r="A83" s="49">
        <v>74</v>
      </c>
      <c r="B83" s="310"/>
      <c r="C83" s="123" t="s">
        <v>266</v>
      </c>
      <c r="D83" s="124">
        <v>3</v>
      </c>
      <c r="E83" s="56" t="s">
        <v>41</v>
      </c>
      <c r="F83" s="56">
        <v>1</v>
      </c>
      <c r="G83" s="56" t="s">
        <v>104</v>
      </c>
      <c r="H83" s="54">
        <f>+(12605*5.35%)+12605</f>
        <v>13279.3675</v>
      </c>
      <c r="I83" s="54">
        <f t="shared" si="34"/>
        <v>39838.102500000001</v>
      </c>
      <c r="J83" s="54">
        <f>+(11092*5.35%)+11092</f>
        <v>11685.422</v>
      </c>
      <c r="K83" s="54">
        <f t="shared" si="43"/>
        <v>35056.266000000003</v>
      </c>
      <c r="L83" s="54">
        <v>11261</v>
      </c>
      <c r="M83" s="54">
        <f t="shared" si="35"/>
        <v>33783</v>
      </c>
      <c r="N83" s="29">
        <f t="shared" si="36"/>
        <v>12075.263166666666</v>
      </c>
      <c r="O83" s="29">
        <f t="shared" si="37"/>
        <v>36225.789499999999</v>
      </c>
      <c r="P83" s="29">
        <f t="shared" si="38"/>
        <v>868.88201833738947</v>
      </c>
      <c r="Q83" s="30">
        <f t="shared" si="39"/>
        <v>7.1955534744444105E-2</v>
      </c>
      <c r="R83" s="29">
        <f t="shared" si="40"/>
        <v>11685.422</v>
      </c>
      <c r="S83" s="29">
        <f t="shared" si="41"/>
        <v>35056.266000000003</v>
      </c>
      <c r="T83" s="30">
        <f t="shared" si="42"/>
        <v>7.43560667588547E-2</v>
      </c>
      <c r="U83" s="92" t="s">
        <v>263</v>
      </c>
      <c r="V83" s="93" t="s">
        <v>264</v>
      </c>
      <c r="W83" s="93" t="s">
        <v>267</v>
      </c>
    </row>
    <row r="84" spans="1:25" ht="162.75" customHeight="1">
      <c r="A84" s="49">
        <v>75</v>
      </c>
      <c r="B84" s="133" t="s">
        <v>268</v>
      </c>
      <c r="C84" s="123" t="s">
        <v>269</v>
      </c>
      <c r="D84" s="124">
        <v>5</v>
      </c>
      <c r="E84" s="56" t="s">
        <v>41</v>
      </c>
      <c r="F84" s="56">
        <v>1</v>
      </c>
      <c r="G84" s="56" t="s">
        <v>104</v>
      </c>
      <c r="H84" s="134">
        <f>+(183118*5.35%)+183118</f>
        <v>192914.81299999999</v>
      </c>
      <c r="I84" s="54">
        <f t="shared" si="34"/>
        <v>964574.06499999994</v>
      </c>
      <c r="J84" s="134">
        <f>+(198141*5.35%)+198141</f>
        <v>208741.5435</v>
      </c>
      <c r="K84" s="54">
        <f t="shared" si="43"/>
        <v>1043707.7175</v>
      </c>
      <c r="L84" s="134">
        <f>+(193990*5.35%)+193990</f>
        <v>204368.465</v>
      </c>
      <c r="M84" s="54">
        <f t="shared" si="35"/>
        <v>1021842.325</v>
      </c>
      <c r="N84" s="29">
        <f t="shared" si="36"/>
        <v>202008.27383333331</v>
      </c>
      <c r="O84" s="29">
        <f t="shared" si="37"/>
        <v>1010041.3691666665</v>
      </c>
      <c r="P84" s="29">
        <f t="shared" si="38"/>
        <v>6673.2913587082903</v>
      </c>
      <c r="Q84" s="30">
        <f t="shared" si="39"/>
        <v>3.3034742746299993E-2</v>
      </c>
      <c r="R84" s="29">
        <f t="shared" si="40"/>
        <v>204368.465</v>
      </c>
      <c r="S84" s="29">
        <f t="shared" si="41"/>
        <v>1021842.325</v>
      </c>
      <c r="T84" s="30">
        <f t="shared" si="42"/>
        <v>3.2653234238992253E-2</v>
      </c>
      <c r="U84" s="68" t="s">
        <v>270</v>
      </c>
      <c r="V84" s="69" t="s">
        <v>271</v>
      </c>
      <c r="W84" s="69" t="s">
        <v>272</v>
      </c>
      <c r="X84" t="s">
        <v>194</v>
      </c>
    </row>
    <row r="85" spans="1:25" ht="15.75" customHeight="1">
      <c r="A85" s="309" t="s">
        <v>273</v>
      </c>
      <c r="B85" s="309"/>
      <c r="C85" s="309"/>
      <c r="D85" s="309"/>
      <c r="E85" s="309"/>
      <c r="F85" s="309"/>
      <c r="G85" s="309"/>
      <c r="H85" s="309"/>
      <c r="I85" s="309"/>
      <c r="J85" s="309"/>
      <c r="K85" s="309"/>
      <c r="L85" s="309"/>
      <c r="M85" s="309"/>
      <c r="N85" s="309"/>
      <c r="O85" s="309"/>
      <c r="P85" s="309"/>
      <c r="Q85" s="309"/>
      <c r="R85" s="309"/>
      <c r="S85" s="309"/>
      <c r="T85" s="309"/>
      <c r="U85" s="309"/>
      <c r="V85" s="309"/>
      <c r="W85" s="309"/>
    </row>
    <row r="86" spans="1:25" ht="86.25" customHeight="1">
      <c r="A86" s="49">
        <v>76</v>
      </c>
      <c r="B86" s="135" t="s">
        <v>274</v>
      </c>
      <c r="C86" s="136" t="s">
        <v>275</v>
      </c>
      <c r="D86" s="137">
        <v>90</v>
      </c>
      <c r="E86" s="56" t="s">
        <v>41</v>
      </c>
      <c r="F86" s="56">
        <v>1</v>
      </c>
      <c r="G86" s="56" t="s">
        <v>104</v>
      </c>
      <c r="H86" s="54">
        <v>6500</v>
      </c>
      <c r="I86" s="54">
        <f t="shared" ref="I86:I93" si="44">+H86*F86*D86</f>
        <v>585000</v>
      </c>
      <c r="J86" s="54">
        <f>+(4622*5.35%)+4622</f>
        <v>4869.277</v>
      </c>
      <c r="K86" s="54">
        <f>+J86*F86*D86</f>
        <v>438234.93</v>
      </c>
      <c r="L86" s="54">
        <f>+(4958*5.35%)+4958</f>
        <v>5223.2529999999997</v>
      </c>
      <c r="M86" s="54">
        <f>+L86*F86*D86</f>
        <v>470092.76999999996</v>
      </c>
      <c r="N86" s="29">
        <f t="shared" ref="N86:N93" si="45">+AVERAGE(H86,J86,L86)</f>
        <v>5530.8433333333332</v>
      </c>
      <c r="O86" s="29">
        <f t="shared" ref="O86:O93" si="46">+N86*D86*F86</f>
        <v>497775.89999999997</v>
      </c>
      <c r="P86" s="29">
        <f t="shared" ref="P86:P93" si="47">+_xlfn.STDEV.P(H86,J86,L86)</f>
        <v>700.36811061628191</v>
      </c>
      <c r="Q86" s="30">
        <f t="shared" ref="Q86:Q93" si="48">+P86/N86</f>
        <v>0.1266295334014069</v>
      </c>
      <c r="R86" s="29">
        <f t="shared" ref="R86:R93" si="49">+MEDIAN(H86,J86,L86)</f>
        <v>5223.2529999999997</v>
      </c>
      <c r="S86" s="29">
        <f t="shared" ref="S86:S93" si="50">+R86*D86*F86</f>
        <v>470092.76999999996</v>
      </c>
      <c r="T86" s="30">
        <f t="shared" ref="T86:T93" si="51">+P86/R86</f>
        <v>0.13408657605064928</v>
      </c>
      <c r="U86" s="68" t="s">
        <v>276</v>
      </c>
      <c r="V86" s="69" t="s">
        <v>277</v>
      </c>
      <c r="W86" s="69" t="s">
        <v>278</v>
      </c>
    </row>
    <row r="87" spans="1:25" ht="80.25" customHeight="1">
      <c r="A87" s="49">
        <v>77</v>
      </c>
      <c r="B87" s="138" t="s">
        <v>279</v>
      </c>
      <c r="C87" s="139" t="s">
        <v>280</v>
      </c>
      <c r="D87" s="137">
        <v>90</v>
      </c>
      <c r="E87" s="52" t="s">
        <v>281</v>
      </c>
      <c r="F87" s="52">
        <v>1</v>
      </c>
      <c r="G87" s="52" t="s">
        <v>72</v>
      </c>
      <c r="H87" s="102">
        <v>57000</v>
      </c>
      <c r="I87" s="54">
        <f t="shared" si="44"/>
        <v>5130000</v>
      </c>
      <c r="J87" s="54">
        <v>43720</v>
      </c>
      <c r="K87" s="54">
        <f>+J87*F87*D87</f>
        <v>3934800</v>
      </c>
      <c r="L87" s="54">
        <f>+(41500*5.35%)+41500</f>
        <v>43720.25</v>
      </c>
      <c r="M87" s="54">
        <f>+L87*D87*F87</f>
        <v>3934822.5</v>
      </c>
      <c r="N87" s="29">
        <f t="shared" si="45"/>
        <v>48146.75</v>
      </c>
      <c r="O87" s="29">
        <f t="shared" si="46"/>
        <v>4333207.5</v>
      </c>
      <c r="P87" s="29">
        <f t="shared" si="47"/>
        <v>6260.1931113717783</v>
      </c>
      <c r="Q87" s="30">
        <f t="shared" si="48"/>
        <v>0.13002317106288125</v>
      </c>
      <c r="R87" s="29">
        <f t="shared" si="49"/>
        <v>43720.25</v>
      </c>
      <c r="S87" s="29">
        <f t="shared" si="50"/>
        <v>3934822.5</v>
      </c>
      <c r="T87" s="30">
        <f t="shared" si="51"/>
        <v>0.14318749575704115</v>
      </c>
      <c r="U87" s="56" t="s">
        <v>173</v>
      </c>
      <c r="V87" s="56" t="s">
        <v>282</v>
      </c>
      <c r="W87" s="56" t="s">
        <v>283</v>
      </c>
    </row>
    <row r="88" spans="1:25" ht="138" customHeight="1">
      <c r="A88" s="49">
        <v>78</v>
      </c>
      <c r="B88" s="131" t="s">
        <v>284</v>
      </c>
      <c r="C88" s="136" t="s">
        <v>285</v>
      </c>
      <c r="D88" s="137">
        <v>90</v>
      </c>
      <c r="E88" s="56" t="s">
        <v>41</v>
      </c>
      <c r="F88" s="56">
        <v>1</v>
      </c>
      <c r="G88" s="56" t="s">
        <v>104</v>
      </c>
      <c r="H88" s="140">
        <f>+(60000*100)/119</f>
        <v>50420.168067226892</v>
      </c>
      <c r="I88" s="54">
        <f t="shared" si="44"/>
        <v>4537815.1260504201</v>
      </c>
      <c r="J88" s="140">
        <f>+(60000*100)/119</f>
        <v>50420.168067226892</v>
      </c>
      <c r="K88" s="54">
        <f>+J88*F88*D88</f>
        <v>4537815.1260504201</v>
      </c>
      <c r="L88" s="140">
        <f>+(59400*100)/119</f>
        <v>49915.966386554624</v>
      </c>
      <c r="M88" s="54">
        <f>+L88*F88*D88</f>
        <v>4492436.9747899165</v>
      </c>
      <c r="N88" s="29">
        <f t="shared" si="45"/>
        <v>50252.100840336141</v>
      </c>
      <c r="O88" s="29">
        <f t="shared" si="46"/>
        <v>4522689.0756302522</v>
      </c>
      <c r="P88" s="29">
        <f t="shared" si="47"/>
        <v>237.68295165934313</v>
      </c>
      <c r="Q88" s="30">
        <f t="shared" si="48"/>
        <v>4.7298112453949548E-3</v>
      </c>
      <c r="R88" s="29">
        <f t="shared" si="49"/>
        <v>50420.168067226892</v>
      </c>
      <c r="S88" s="29">
        <f t="shared" si="50"/>
        <v>4537815.1260504201</v>
      </c>
      <c r="T88" s="30">
        <f t="shared" si="51"/>
        <v>4.7140452079103053E-3</v>
      </c>
      <c r="U88" s="56" t="s">
        <v>286</v>
      </c>
      <c r="V88" s="56" t="s">
        <v>287</v>
      </c>
      <c r="W88" s="56" t="s">
        <v>288</v>
      </c>
      <c r="X88" s="141"/>
    </row>
    <row r="89" spans="1:25" ht="43.5" customHeight="1">
      <c r="A89" s="49">
        <v>79</v>
      </c>
      <c r="B89" s="135" t="s">
        <v>289</v>
      </c>
      <c r="C89" s="142" t="s">
        <v>290</v>
      </c>
      <c r="D89" s="137">
        <v>90</v>
      </c>
      <c r="E89" s="55" t="s">
        <v>41</v>
      </c>
      <c r="F89" s="55">
        <v>1</v>
      </c>
      <c r="G89" s="55" t="s">
        <v>104</v>
      </c>
      <c r="H89" s="63">
        <v>25775</v>
      </c>
      <c r="I89" s="63">
        <f t="shared" si="44"/>
        <v>2319750</v>
      </c>
      <c r="J89" s="63">
        <v>23379</v>
      </c>
      <c r="K89" s="63">
        <f>+J89*F89*D89</f>
        <v>2104110</v>
      </c>
      <c r="L89" s="63">
        <v>23379</v>
      </c>
      <c r="M89" s="63">
        <f>+L89*F89*D89</f>
        <v>2104110</v>
      </c>
      <c r="N89" s="29">
        <f t="shared" si="45"/>
        <v>24177.666666666668</v>
      </c>
      <c r="O89" s="29">
        <f t="shared" si="46"/>
        <v>2175990</v>
      </c>
      <c r="P89" s="29">
        <f t="shared" si="47"/>
        <v>1129.4852318153119</v>
      </c>
      <c r="Q89" s="30">
        <f t="shared" si="48"/>
        <v>4.671605607717777E-2</v>
      </c>
      <c r="R89" s="29">
        <f t="shared" si="49"/>
        <v>23379</v>
      </c>
      <c r="S89" s="29">
        <f t="shared" si="50"/>
        <v>2104110</v>
      </c>
      <c r="T89" s="30">
        <f t="shared" si="51"/>
        <v>4.8311956534296242E-2</v>
      </c>
      <c r="U89" s="56" t="s">
        <v>287</v>
      </c>
      <c r="V89" s="56" t="s">
        <v>291</v>
      </c>
      <c r="W89" s="56" t="s">
        <v>292</v>
      </c>
    </row>
    <row r="90" spans="1:25" ht="86.25" customHeight="1">
      <c r="A90" s="49">
        <v>80</v>
      </c>
      <c r="B90" s="135" t="s">
        <v>293</v>
      </c>
      <c r="C90" s="136" t="s">
        <v>294</v>
      </c>
      <c r="D90" s="137">
        <v>90</v>
      </c>
      <c r="E90" s="56" t="s">
        <v>41</v>
      </c>
      <c r="F90" s="56">
        <v>1</v>
      </c>
      <c r="G90" s="56" t="s">
        <v>104</v>
      </c>
      <c r="H90" s="54">
        <v>100000</v>
      </c>
      <c r="I90" s="54">
        <f t="shared" si="44"/>
        <v>9000000</v>
      </c>
      <c r="J90" s="54"/>
      <c r="K90" s="54"/>
      <c r="L90" s="54"/>
      <c r="M90" s="54"/>
      <c r="N90" s="29">
        <f t="shared" si="45"/>
        <v>100000</v>
      </c>
      <c r="O90" s="29">
        <f t="shared" si="46"/>
        <v>9000000</v>
      </c>
      <c r="P90" s="29">
        <f t="shared" si="47"/>
        <v>0</v>
      </c>
      <c r="Q90" s="30">
        <f t="shared" si="48"/>
        <v>0</v>
      </c>
      <c r="R90" s="29">
        <f t="shared" si="49"/>
        <v>100000</v>
      </c>
      <c r="S90" s="29">
        <f t="shared" si="50"/>
        <v>9000000</v>
      </c>
      <c r="T90" s="30">
        <f t="shared" si="51"/>
        <v>0</v>
      </c>
      <c r="U90" s="56" t="s">
        <v>65</v>
      </c>
      <c r="V90" s="56"/>
      <c r="W90" s="56"/>
    </row>
    <row r="91" spans="1:25" ht="72" customHeight="1">
      <c r="A91" s="49">
        <v>81</v>
      </c>
      <c r="B91" s="135" t="s">
        <v>295</v>
      </c>
      <c r="C91" s="136" t="s">
        <v>296</v>
      </c>
      <c r="D91" s="137">
        <v>90</v>
      </c>
      <c r="E91" s="56" t="s">
        <v>41</v>
      </c>
      <c r="F91" s="56">
        <v>1</v>
      </c>
      <c r="G91" s="56" t="s">
        <v>104</v>
      </c>
      <c r="H91" s="63">
        <f>+(35700*100)/119</f>
        <v>30000</v>
      </c>
      <c r="I91" s="63">
        <f t="shared" si="44"/>
        <v>2700000</v>
      </c>
      <c r="J91" s="63">
        <f>+(41650*100)/119</f>
        <v>35000</v>
      </c>
      <c r="K91" s="63">
        <f>+J91*F91*D91</f>
        <v>3150000</v>
      </c>
      <c r="L91" s="63">
        <f>+(28650*100)/119</f>
        <v>24075.63025210084</v>
      </c>
      <c r="M91" s="63">
        <f>+L91*F91*D91</f>
        <v>2166806.7226890754</v>
      </c>
      <c r="N91" s="29">
        <f t="shared" si="45"/>
        <v>29691.876750700281</v>
      </c>
      <c r="O91" s="29">
        <f t="shared" si="46"/>
        <v>2672268.9075630251</v>
      </c>
      <c r="P91" s="29">
        <f t="shared" si="47"/>
        <v>4465.1740204813777</v>
      </c>
      <c r="Q91" s="30">
        <f t="shared" si="48"/>
        <v>0.15038369106715582</v>
      </c>
      <c r="R91" s="29">
        <f t="shared" si="49"/>
        <v>30000</v>
      </c>
      <c r="S91" s="29">
        <f t="shared" si="50"/>
        <v>2700000</v>
      </c>
      <c r="T91" s="30">
        <f t="shared" si="51"/>
        <v>0.14883913401604593</v>
      </c>
      <c r="U91" s="56" t="s">
        <v>287</v>
      </c>
      <c r="V91" s="56" t="s">
        <v>297</v>
      </c>
      <c r="W91" s="56" t="s">
        <v>298</v>
      </c>
    </row>
    <row r="92" spans="1:25" ht="86.25" customHeight="1">
      <c r="A92" s="49">
        <v>82</v>
      </c>
      <c r="B92" s="138" t="s">
        <v>299</v>
      </c>
      <c r="C92" s="136" t="s">
        <v>300</v>
      </c>
      <c r="D92" s="137">
        <v>90</v>
      </c>
      <c r="E92" s="56" t="s">
        <v>41</v>
      </c>
      <c r="F92" s="56">
        <v>1</v>
      </c>
      <c r="G92" s="56" t="s">
        <v>104</v>
      </c>
      <c r="H92" s="103">
        <f>+(90000*100)/119</f>
        <v>75630.252100840342</v>
      </c>
      <c r="I92" s="54">
        <f t="shared" si="44"/>
        <v>6806722.6890756311</v>
      </c>
      <c r="J92" s="54">
        <f>+(99000*100)/119</f>
        <v>83193.277310924372</v>
      </c>
      <c r="K92" s="54">
        <f>+J92*F92*D92</f>
        <v>7487394.9579831939</v>
      </c>
      <c r="L92" s="54">
        <f>+(99000*100)/119</f>
        <v>83193.277310924372</v>
      </c>
      <c r="M92" s="54">
        <f>+L92*F92*D92</f>
        <v>7487394.9579831939</v>
      </c>
      <c r="N92" s="29">
        <f t="shared" si="45"/>
        <v>80672.268907563019</v>
      </c>
      <c r="O92" s="29">
        <f t="shared" si="46"/>
        <v>7260504.2016806714</v>
      </c>
      <c r="P92" s="29">
        <f t="shared" si="47"/>
        <v>3565.2442748901535</v>
      </c>
      <c r="Q92" s="30">
        <f t="shared" si="48"/>
        <v>4.4194173824159196E-2</v>
      </c>
      <c r="R92" s="29">
        <f t="shared" si="49"/>
        <v>83193.277310924372</v>
      </c>
      <c r="S92" s="29">
        <f t="shared" si="50"/>
        <v>7487394.9579831939</v>
      </c>
      <c r="T92" s="30">
        <f t="shared" si="51"/>
        <v>4.2854956435548312E-2</v>
      </c>
      <c r="U92" s="56" t="s">
        <v>301</v>
      </c>
      <c r="V92" s="56" t="s">
        <v>302</v>
      </c>
      <c r="W92" s="56" t="s">
        <v>303</v>
      </c>
      <c r="X92" t="s">
        <v>60</v>
      </c>
      <c r="Y92" s="143" t="s">
        <v>61</v>
      </c>
    </row>
    <row r="93" spans="1:25" ht="57.75" customHeight="1">
      <c r="A93" s="49">
        <v>83</v>
      </c>
      <c r="B93" s="131" t="s">
        <v>304</v>
      </c>
      <c r="C93" s="62" t="s">
        <v>305</v>
      </c>
      <c r="D93" s="137">
        <v>90</v>
      </c>
      <c r="E93" s="56" t="s">
        <v>41</v>
      </c>
      <c r="F93" s="56">
        <v>1</v>
      </c>
      <c r="G93" s="56" t="s">
        <v>104</v>
      </c>
      <c r="H93" s="140">
        <v>14279</v>
      </c>
      <c r="I93" s="54">
        <f t="shared" si="44"/>
        <v>1285110</v>
      </c>
      <c r="J93" s="54">
        <v>17392</v>
      </c>
      <c r="K93" s="54">
        <f>+J93*F93*D93</f>
        <v>1565280</v>
      </c>
      <c r="L93" s="54">
        <f>+(17000*100)/119</f>
        <v>14285.714285714286</v>
      </c>
      <c r="M93" s="54">
        <f>+L93*F93*D93</f>
        <v>1285714.2857142857</v>
      </c>
      <c r="N93" s="29">
        <f t="shared" si="45"/>
        <v>15318.904761904763</v>
      </c>
      <c r="O93" s="29">
        <f t="shared" si="46"/>
        <v>1378701.4285714286</v>
      </c>
      <c r="P93" s="29">
        <f t="shared" si="47"/>
        <v>1465.9022636970099</v>
      </c>
      <c r="Q93" s="30">
        <f t="shared" si="48"/>
        <v>9.569236746888285E-2</v>
      </c>
      <c r="R93" s="29">
        <f t="shared" si="49"/>
        <v>14285.714285714286</v>
      </c>
      <c r="S93" s="29">
        <f t="shared" si="50"/>
        <v>1285714.2857142857</v>
      </c>
      <c r="T93" s="30">
        <f t="shared" si="51"/>
        <v>0.10261315845879068</v>
      </c>
      <c r="U93" s="56" t="s">
        <v>306</v>
      </c>
      <c r="V93" s="56" t="s">
        <v>307</v>
      </c>
      <c r="W93" s="56" t="s">
        <v>308</v>
      </c>
      <c r="X93" s="40">
        <f>SUM(O55:O93)</f>
        <v>71627714.995445386</v>
      </c>
      <c r="Y93" s="40">
        <f>SUM(S55:S93)</f>
        <v>71540980.797414571</v>
      </c>
    </row>
    <row r="94" spans="1:25" ht="45" customHeight="1">
      <c r="A94" s="307" t="s">
        <v>309</v>
      </c>
      <c r="B94" s="307"/>
      <c r="C94" s="307"/>
      <c r="D94" s="307"/>
      <c r="E94" s="307"/>
      <c r="F94" s="307"/>
      <c r="G94" s="307"/>
      <c r="H94" s="307"/>
      <c r="I94" s="307"/>
      <c r="J94" s="307"/>
      <c r="K94" s="307"/>
      <c r="L94" s="307"/>
      <c r="M94" s="307"/>
      <c r="N94" s="307"/>
      <c r="O94" s="307"/>
      <c r="P94" s="307"/>
      <c r="Q94" s="307"/>
      <c r="R94" s="307"/>
      <c r="S94" s="307"/>
      <c r="T94" s="307"/>
      <c r="U94" s="307"/>
      <c r="V94" s="307"/>
      <c r="W94" s="307"/>
    </row>
    <row r="95" spans="1:25" ht="15" customHeight="1">
      <c r="A95" s="296" t="s">
        <v>310</v>
      </c>
      <c r="B95" s="296"/>
      <c r="C95" s="296"/>
      <c r="D95" s="296"/>
      <c r="E95" s="296"/>
      <c r="F95" s="296"/>
      <c r="G95" s="296"/>
      <c r="H95" s="296"/>
      <c r="I95" s="296"/>
      <c r="J95" s="296"/>
      <c r="K95" s="296"/>
      <c r="L95" s="296"/>
      <c r="M95" s="296"/>
      <c r="N95" s="296"/>
      <c r="O95" s="296"/>
      <c r="P95" s="296"/>
      <c r="Q95" s="296"/>
      <c r="R95" s="296"/>
      <c r="S95" s="296"/>
      <c r="T95" s="296"/>
      <c r="U95" s="296"/>
      <c r="V95" s="296"/>
      <c r="W95" s="296"/>
    </row>
    <row r="96" spans="1:25" ht="52.5" customHeight="1">
      <c r="A96" s="49">
        <v>84</v>
      </c>
      <c r="B96" s="144" t="s">
        <v>311</v>
      </c>
      <c r="C96" s="145" t="s">
        <v>312</v>
      </c>
      <c r="D96" s="146">
        <v>300</v>
      </c>
      <c r="E96" s="56" t="s">
        <v>41</v>
      </c>
      <c r="F96" s="56">
        <v>1</v>
      </c>
      <c r="G96" s="56" t="s">
        <v>104</v>
      </c>
      <c r="H96" s="54">
        <f>+(10756*100)/119</f>
        <v>9038.6554621848736</v>
      </c>
      <c r="I96" s="54">
        <f t="shared" ref="I96:I107" si="52">+H96*F96*D96</f>
        <v>2711596.6386554623</v>
      </c>
      <c r="J96" s="54">
        <f>+(12017*100)/119</f>
        <v>10098.319327731093</v>
      </c>
      <c r="K96" s="54">
        <f t="shared" ref="K96:K106" si="53">+J96*F96*D96</f>
        <v>3029495.7983193276</v>
      </c>
      <c r="L96" s="54">
        <f>+(10900*100)/119</f>
        <v>9159.6638655462193</v>
      </c>
      <c r="M96" s="54">
        <f t="shared" ref="M96:M106" si="54">+L96*F96*D96</f>
        <v>2747899.1596638658</v>
      </c>
      <c r="N96" s="29">
        <f t="shared" ref="N96:N107" si="55">+AVERAGE(H96,J96,L96)</f>
        <v>9432.212885154062</v>
      </c>
      <c r="O96" s="29">
        <f t="shared" ref="O96:O107" si="56">+N96*D96*F96</f>
        <v>2829663.8655462186</v>
      </c>
      <c r="P96" s="29">
        <f t="shared" ref="P96:P107" si="57">+_xlfn.STDEV.P(H96,J96,L96)</f>
        <v>473.59202066264169</v>
      </c>
      <c r="Q96" s="30">
        <f t="shared" ref="Q96:Q107" si="58">+P96/N96</f>
        <v>5.0210064852125764E-2</v>
      </c>
      <c r="R96" s="29">
        <f t="shared" ref="R96:R107" si="59">+MEDIAN(H96,J96,L96)</f>
        <v>9159.6638655462193</v>
      </c>
      <c r="S96" s="29">
        <f t="shared" ref="S96:S107" si="60">+R96*D96*F96</f>
        <v>2747899.1596638658</v>
      </c>
      <c r="T96" s="30">
        <f t="shared" ref="T96:T107" si="61">+P96/R96</f>
        <v>5.1704082989774636E-2</v>
      </c>
      <c r="U96" s="68" t="s">
        <v>147</v>
      </c>
      <c r="V96" s="69" t="s">
        <v>313</v>
      </c>
      <c r="W96" s="69" t="s">
        <v>149</v>
      </c>
    </row>
    <row r="97" spans="1:23" ht="57.75" customHeight="1">
      <c r="A97" s="49">
        <v>85</v>
      </c>
      <c r="B97" s="144" t="s">
        <v>314</v>
      </c>
      <c r="C97" s="62" t="s">
        <v>315</v>
      </c>
      <c r="D97" s="146">
        <v>300</v>
      </c>
      <c r="E97" s="56" t="s">
        <v>41</v>
      </c>
      <c r="F97" s="56">
        <v>1</v>
      </c>
      <c r="G97" s="56" t="s">
        <v>104</v>
      </c>
      <c r="H97" s="54">
        <v>6500</v>
      </c>
      <c r="I97" s="54">
        <f t="shared" si="52"/>
        <v>1950000</v>
      </c>
      <c r="J97" s="54">
        <f>+(4622*5.35%)+4622</f>
        <v>4869.277</v>
      </c>
      <c r="K97" s="54">
        <f t="shared" si="53"/>
        <v>1460783.1</v>
      </c>
      <c r="L97" s="54">
        <f>+(4958*5.35%)+4958</f>
        <v>5223.2529999999997</v>
      </c>
      <c r="M97" s="54">
        <f t="shared" si="54"/>
        <v>1566975.9</v>
      </c>
      <c r="N97" s="29">
        <f t="shared" si="55"/>
        <v>5530.8433333333332</v>
      </c>
      <c r="O97" s="29">
        <f t="shared" si="56"/>
        <v>1659253</v>
      </c>
      <c r="P97" s="29">
        <f t="shared" si="57"/>
        <v>700.36811061628191</v>
      </c>
      <c r="Q97" s="30">
        <f t="shared" si="58"/>
        <v>0.1266295334014069</v>
      </c>
      <c r="R97" s="29">
        <f t="shared" si="59"/>
        <v>5223.2529999999997</v>
      </c>
      <c r="S97" s="29">
        <f t="shared" si="60"/>
        <v>1566975.9</v>
      </c>
      <c r="T97" s="30">
        <f t="shared" si="61"/>
        <v>0.13408657605064928</v>
      </c>
      <c r="U97" s="68" t="s">
        <v>276</v>
      </c>
      <c r="V97" s="69" t="s">
        <v>277</v>
      </c>
      <c r="W97" s="69" t="s">
        <v>278</v>
      </c>
    </row>
    <row r="98" spans="1:23" ht="33.75" customHeight="1">
      <c r="A98" s="49">
        <v>86</v>
      </c>
      <c r="B98" s="126" t="s">
        <v>241</v>
      </c>
      <c r="C98" s="127" t="s">
        <v>242</v>
      </c>
      <c r="D98" s="101">
        <v>4</v>
      </c>
      <c r="E98" s="56" t="s">
        <v>243</v>
      </c>
      <c r="F98" s="33">
        <v>1</v>
      </c>
      <c r="G98" s="56" t="s">
        <v>104</v>
      </c>
      <c r="H98" s="54">
        <v>247500</v>
      </c>
      <c r="I98" s="128">
        <f t="shared" si="52"/>
        <v>990000</v>
      </c>
      <c r="J98" s="54">
        <v>220000</v>
      </c>
      <c r="K98" s="54">
        <f t="shared" si="53"/>
        <v>880000</v>
      </c>
      <c r="L98" s="54">
        <v>228000</v>
      </c>
      <c r="M98" s="54">
        <f t="shared" si="54"/>
        <v>912000</v>
      </c>
      <c r="N98" s="29">
        <f t="shared" si="55"/>
        <v>231833.33333333334</v>
      </c>
      <c r="O98" s="29">
        <f t="shared" si="56"/>
        <v>927333.33333333337</v>
      </c>
      <c r="P98" s="29">
        <f t="shared" si="57"/>
        <v>11549.410759380276</v>
      </c>
      <c r="Q98" s="30">
        <f t="shared" si="58"/>
        <v>4.9817731528599321E-2</v>
      </c>
      <c r="R98" s="29">
        <f t="shared" si="59"/>
        <v>228000</v>
      </c>
      <c r="S98" s="29">
        <f t="shared" si="60"/>
        <v>912000</v>
      </c>
      <c r="T98" s="30">
        <f t="shared" si="61"/>
        <v>5.0655310348159108E-2</v>
      </c>
      <c r="U98" s="129" t="s">
        <v>244</v>
      </c>
      <c r="V98" s="129" t="s">
        <v>245</v>
      </c>
      <c r="W98" s="129" t="s">
        <v>246</v>
      </c>
    </row>
    <row r="99" spans="1:23" ht="86.25" customHeight="1">
      <c r="A99" s="49">
        <v>87</v>
      </c>
      <c r="B99" s="144" t="s">
        <v>279</v>
      </c>
      <c r="C99" s="136" t="s">
        <v>316</v>
      </c>
      <c r="D99" s="146">
        <v>300</v>
      </c>
      <c r="E99" s="56" t="s">
        <v>41</v>
      </c>
      <c r="F99" s="56">
        <v>1</v>
      </c>
      <c r="G99" s="56" t="s">
        <v>104</v>
      </c>
      <c r="H99" s="54">
        <v>42017</v>
      </c>
      <c r="I99" s="54">
        <f t="shared" si="52"/>
        <v>12605100</v>
      </c>
      <c r="J99" s="54">
        <v>50420</v>
      </c>
      <c r="K99" s="54">
        <f t="shared" si="53"/>
        <v>15126000</v>
      </c>
      <c r="L99" s="54">
        <v>43445</v>
      </c>
      <c r="M99" s="54">
        <f t="shared" si="54"/>
        <v>13033500</v>
      </c>
      <c r="N99" s="29">
        <f t="shared" si="55"/>
        <v>45294</v>
      </c>
      <c r="O99" s="29">
        <f t="shared" si="56"/>
        <v>13588200</v>
      </c>
      <c r="P99" s="29">
        <f t="shared" si="57"/>
        <v>3671.2126062106508</v>
      </c>
      <c r="Q99" s="30">
        <f t="shared" si="58"/>
        <v>8.1052956378563398E-2</v>
      </c>
      <c r="R99" s="29">
        <f t="shared" si="59"/>
        <v>43445</v>
      </c>
      <c r="S99" s="29">
        <f t="shared" si="60"/>
        <v>13033500</v>
      </c>
      <c r="T99" s="30">
        <f t="shared" si="61"/>
        <v>8.4502534381646927E-2</v>
      </c>
      <c r="U99" s="68" t="s">
        <v>183</v>
      </c>
      <c r="V99" s="69" t="s">
        <v>317</v>
      </c>
      <c r="W99" s="69" t="s">
        <v>107</v>
      </c>
    </row>
    <row r="100" spans="1:23" ht="86.25" customHeight="1">
      <c r="A100" s="49">
        <v>88</v>
      </c>
      <c r="B100" s="61" t="s">
        <v>102</v>
      </c>
      <c r="C100" s="62" t="s">
        <v>318</v>
      </c>
      <c r="D100" s="62">
        <v>1</v>
      </c>
      <c r="E100" s="56" t="s">
        <v>41</v>
      </c>
      <c r="F100" s="33">
        <v>1</v>
      </c>
      <c r="G100" s="56" t="s">
        <v>104</v>
      </c>
      <c r="H100" s="63">
        <v>2180000</v>
      </c>
      <c r="I100" s="63">
        <f t="shared" si="52"/>
        <v>2180000</v>
      </c>
      <c r="J100" s="63">
        <v>3000000</v>
      </c>
      <c r="K100" s="63">
        <f t="shared" si="53"/>
        <v>3000000</v>
      </c>
      <c r="L100" s="64">
        <v>2640000</v>
      </c>
      <c r="M100" s="63">
        <f t="shared" si="54"/>
        <v>2640000</v>
      </c>
      <c r="N100" s="29">
        <f t="shared" si="55"/>
        <v>2606666.6666666665</v>
      </c>
      <c r="O100" s="29">
        <f t="shared" si="56"/>
        <v>2606666.6666666665</v>
      </c>
      <c r="P100" s="29">
        <f t="shared" si="57"/>
        <v>335592.34529741918</v>
      </c>
      <c r="Q100" s="30">
        <f t="shared" si="58"/>
        <v>0.12874386648238589</v>
      </c>
      <c r="R100" s="29">
        <f t="shared" si="59"/>
        <v>2640000</v>
      </c>
      <c r="S100" s="29">
        <f t="shared" si="60"/>
        <v>2640000</v>
      </c>
      <c r="T100" s="30">
        <f t="shared" si="61"/>
        <v>0.12711831261265877</v>
      </c>
      <c r="U100" s="65" t="s">
        <v>105</v>
      </c>
      <c r="V100" s="65" t="s">
        <v>106</v>
      </c>
      <c r="W100" s="65" t="s">
        <v>107</v>
      </c>
    </row>
    <row r="101" spans="1:23" ht="72.75" customHeight="1">
      <c r="A101" s="49">
        <v>89</v>
      </c>
      <c r="B101" s="147" t="s">
        <v>319</v>
      </c>
      <c r="C101" s="62" t="s">
        <v>320</v>
      </c>
      <c r="D101" s="146">
        <v>300</v>
      </c>
      <c r="E101" s="56" t="s">
        <v>41</v>
      </c>
      <c r="F101" s="56">
        <v>1</v>
      </c>
      <c r="G101" s="56" t="s">
        <v>104</v>
      </c>
      <c r="H101" s="54">
        <f>+(32353*5.35%)+32353</f>
        <v>34083.885499999997</v>
      </c>
      <c r="I101" s="54">
        <f t="shared" si="52"/>
        <v>10225165.649999999</v>
      </c>
      <c r="J101" s="54">
        <f>+(32353*5.35%)+32353</f>
        <v>34083.885499999997</v>
      </c>
      <c r="K101" s="54">
        <f t="shared" si="53"/>
        <v>10225165.649999999</v>
      </c>
      <c r="L101" s="102">
        <f>+(28350*100)/119</f>
        <v>23823.529411764706</v>
      </c>
      <c r="M101" s="54">
        <f t="shared" si="54"/>
        <v>7147058.823529412</v>
      </c>
      <c r="N101" s="29">
        <f t="shared" si="55"/>
        <v>30663.766803921568</v>
      </c>
      <c r="O101" s="29">
        <f t="shared" si="56"/>
        <v>9199130.04117647</v>
      </c>
      <c r="P101" s="29">
        <f t="shared" si="57"/>
        <v>4836.7782449198767</v>
      </c>
      <c r="Q101" s="30">
        <f t="shared" si="58"/>
        <v>0.15773594535363164</v>
      </c>
      <c r="R101" s="29">
        <f t="shared" si="59"/>
        <v>34083.885499999997</v>
      </c>
      <c r="S101" s="29">
        <f t="shared" si="60"/>
        <v>10225165.649999999</v>
      </c>
      <c r="T101" s="30">
        <f t="shared" si="61"/>
        <v>0.14190806517407992</v>
      </c>
      <c r="U101" s="68" t="s">
        <v>107</v>
      </c>
      <c r="V101" s="69" t="s">
        <v>105</v>
      </c>
      <c r="W101" s="69" t="s">
        <v>321</v>
      </c>
    </row>
    <row r="102" spans="1:23" ht="29.25" customHeight="1">
      <c r="A102" s="49">
        <v>90</v>
      </c>
      <c r="B102" s="148" t="s">
        <v>322</v>
      </c>
      <c r="C102" s="62" t="s">
        <v>323</v>
      </c>
      <c r="D102" s="146">
        <v>8</v>
      </c>
      <c r="E102" s="56" t="s">
        <v>41</v>
      </c>
      <c r="F102" s="56">
        <v>1</v>
      </c>
      <c r="G102" s="56" t="s">
        <v>104</v>
      </c>
      <c r="H102" s="54">
        <f>+(23109*5.35%)+23109</f>
        <v>24345.3315</v>
      </c>
      <c r="I102" s="54">
        <f t="shared" si="52"/>
        <v>194762.652</v>
      </c>
      <c r="J102" s="54">
        <f>+(23109*5.35%)+23109</f>
        <v>24345.3315</v>
      </c>
      <c r="K102" s="54">
        <f t="shared" si="53"/>
        <v>194762.652</v>
      </c>
      <c r="L102" s="54">
        <f>+(25210*5.35%)+25210</f>
        <v>26558.735000000001</v>
      </c>
      <c r="M102" s="54">
        <f t="shared" si="54"/>
        <v>212469.88</v>
      </c>
      <c r="N102" s="29">
        <f t="shared" si="55"/>
        <v>25083.132666666668</v>
      </c>
      <c r="O102" s="29">
        <f t="shared" si="56"/>
        <v>200665.06133333335</v>
      </c>
      <c r="P102" s="29">
        <f t="shared" si="57"/>
        <v>1043.4084162346924</v>
      </c>
      <c r="Q102" s="30">
        <f t="shared" si="58"/>
        <v>4.1598010507726282E-2</v>
      </c>
      <c r="R102" s="29">
        <f t="shared" si="59"/>
        <v>24345.3315</v>
      </c>
      <c r="S102" s="29">
        <f t="shared" si="60"/>
        <v>194762.652</v>
      </c>
      <c r="T102" s="30">
        <f t="shared" si="61"/>
        <v>4.2858665376345043E-2</v>
      </c>
      <c r="U102" s="92" t="s">
        <v>107</v>
      </c>
      <c r="V102" s="93" t="s">
        <v>105</v>
      </c>
      <c r="W102" s="93" t="s">
        <v>106</v>
      </c>
    </row>
    <row r="103" spans="1:23" ht="43.5" customHeight="1">
      <c r="A103" s="49">
        <v>91</v>
      </c>
      <c r="B103" s="144" t="s">
        <v>324</v>
      </c>
      <c r="C103" s="62" t="s">
        <v>325</v>
      </c>
      <c r="D103" s="146">
        <v>15</v>
      </c>
      <c r="E103" s="56" t="s">
        <v>326</v>
      </c>
      <c r="F103" s="56">
        <v>1</v>
      </c>
      <c r="G103" s="56" t="s">
        <v>104</v>
      </c>
      <c r="H103" s="149">
        <f>+(60000*5.35%)+60000</f>
        <v>63210</v>
      </c>
      <c r="I103" s="150">
        <f t="shared" si="52"/>
        <v>948150</v>
      </c>
      <c r="J103" s="149">
        <f>+(89250*5.35%)+89250</f>
        <v>94024.875</v>
      </c>
      <c r="K103" s="54">
        <f t="shared" si="53"/>
        <v>1410373.125</v>
      </c>
      <c r="L103" s="149">
        <f>+(99900*5.35%)+99900</f>
        <v>105244.65</v>
      </c>
      <c r="M103" s="54">
        <f t="shared" si="54"/>
        <v>1578669.75</v>
      </c>
      <c r="N103" s="29">
        <f t="shared" si="55"/>
        <v>87493.175000000003</v>
      </c>
      <c r="O103" s="29">
        <f t="shared" si="56"/>
        <v>1312397.625</v>
      </c>
      <c r="P103" s="29">
        <f t="shared" si="57"/>
        <v>17771.236663461226</v>
      </c>
      <c r="Q103" s="30">
        <f t="shared" si="58"/>
        <v>0.20311569060628129</v>
      </c>
      <c r="R103" s="29">
        <f t="shared" si="59"/>
        <v>94024.875</v>
      </c>
      <c r="S103" s="29">
        <f t="shared" si="60"/>
        <v>1410373.125</v>
      </c>
      <c r="T103" s="30">
        <f t="shared" si="61"/>
        <v>0.18900569305155923</v>
      </c>
      <c r="U103" s="56" t="s">
        <v>327</v>
      </c>
      <c r="V103" s="56" t="s">
        <v>328</v>
      </c>
      <c r="W103" s="56" t="s">
        <v>329</v>
      </c>
    </row>
    <row r="104" spans="1:23" ht="57.75" customHeight="1">
      <c r="A104" s="49">
        <v>92</v>
      </c>
      <c r="B104" s="147" t="s">
        <v>330</v>
      </c>
      <c r="C104" s="62" t="s">
        <v>331</v>
      </c>
      <c r="D104" s="146">
        <v>300</v>
      </c>
      <c r="E104" s="56" t="s">
        <v>41</v>
      </c>
      <c r="F104" s="56">
        <v>1</v>
      </c>
      <c r="G104" s="56" t="s">
        <v>104</v>
      </c>
      <c r="H104" s="102">
        <f>+(40000*100)/119</f>
        <v>33613.445378151264</v>
      </c>
      <c r="I104" s="54">
        <f t="shared" si="52"/>
        <v>10084033.613445379</v>
      </c>
      <c r="J104" s="54">
        <f>+(64900*100)/119</f>
        <v>54537.815126050424</v>
      </c>
      <c r="K104" s="54">
        <f t="shared" si="53"/>
        <v>16361344.537815128</v>
      </c>
      <c r="L104" s="54">
        <f>+(64900*100)/119</f>
        <v>54537.815126050424</v>
      </c>
      <c r="M104" s="54">
        <f t="shared" si="54"/>
        <v>16361344.537815128</v>
      </c>
      <c r="N104" s="29">
        <f t="shared" si="55"/>
        <v>47563.025210084044</v>
      </c>
      <c r="O104" s="29">
        <f t="shared" si="56"/>
        <v>14268907.563025214</v>
      </c>
      <c r="P104" s="29">
        <f t="shared" si="57"/>
        <v>9863.842493862725</v>
      </c>
      <c r="Q104" s="30">
        <f t="shared" si="58"/>
        <v>0.20738467434093003</v>
      </c>
      <c r="R104" s="29">
        <f t="shared" si="59"/>
        <v>54537.815126050424</v>
      </c>
      <c r="S104" s="29">
        <f t="shared" si="60"/>
        <v>16361344.537815128</v>
      </c>
      <c r="T104" s="30">
        <f t="shared" si="61"/>
        <v>0.18086244326188972</v>
      </c>
      <c r="U104" s="56" t="s">
        <v>332</v>
      </c>
      <c r="V104" s="56" t="s">
        <v>286</v>
      </c>
      <c r="W104" s="56" t="s">
        <v>333</v>
      </c>
    </row>
    <row r="105" spans="1:23" ht="51.75" customHeight="1">
      <c r="A105" s="49">
        <v>93</v>
      </c>
      <c r="B105" s="151" t="s">
        <v>334</v>
      </c>
      <c r="C105" s="152" t="s">
        <v>335</v>
      </c>
      <c r="D105" s="153">
        <v>1</v>
      </c>
      <c r="E105" s="56" t="s">
        <v>41</v>
      </c>
      <c r="F105" s="56">
        <v>1</v>
      </c>
      <c r="G105" s="56" t="s">
        <v>104</v>
      </c>
      <c r="H105" s="54">
        <f>+(2975000*100)/119</f>
        <v>2500000</v>
      </c>
      <c r="I105" s="54">
        <f t="shared" si="52"/>
        <v>2500000</v>
      </c>
      <c r="J105" s="54">
        <f>+(3332000*100)/119</f>
        <v>2800000</v>
      </c>
      <c r="K105" s="54">
        <f t="shared" si="53"/>
        <v>2800000</v>
      </c>
      <c r="L105" s="54">
        <f>+(1800000*5.35%)+1800000</f>
        <v>1896300</v>
      </c>
      <c r="M105" s="54">
        <f t="shared" si="54"/>
        <v>1896300</v>
      </c>
      <c r="N105" s="29">
        <f t="shared" si="55"/>
        <v>2398766.6666666665</v>
      </c>
      <c r="O105" s="29">
        <f t="shared" si="56"/>
        <v>2398766.6666666665</v>
      </c>
      <c r="P105" s="29">
        <f t="shared" si="57"/>
        <v>375814.28333094995</v>
      </c>
      <c r="Q105" s="30">
        <f t="shared" si="58"/>
        <v>0.15666979558840655</v>
      </c>
      <c r="R105" s="29">
        <f t="shared" si="59"/>
        <v>2500000</v>
      </c>
      <c r="S105" s="29">
        <f t="shared" si="60"/>
        <v>2500000</v>
      </c>
      <c r="T105" s="30">
        <f t="shared" si="61"/>
        <v>0.15032571333237998</v>
      </c>
      <c r="U105" s="68" t="s">
        <v>336</v>
      </c>
      <c r="V105" s="69" t="s">
        <v>337</v>
      </c>
      <c r="W105" s="69" t="s">
        <v>105</v>
      </c>
    </row>
    <row r="106" spans="1:23" ht="57.75" customHeight="1">
      <c r="A106" s="49">
        <v>94</v>
      </c>
      <c r="B106" s="131" t="s">
        <v>304</v>
      </c>
      <c r="C106" s="62" t="s">
        <v>305</v>
      </c>
      <c r="D106" s="137">
        <v>300</v>
      </c>
      <c r="E106" s="56" t="s">
        <v>41</v>
      </c>
      <c r="F106" s="56">
        <v>1</v>
      </c>
      <c r="G106" s="56" t="s">
        <v>104</v>
      </c>
      <c r="H106" s="140">
        <v>14279</v>
      </c>
      <c r="I106" s="54">
        <f t="shared" si="52"/>
        <v>4283700</v>
      </c>
      <c r="J106" s="54">
        <v>17392</v>
      </c>
      <c r="K106" s="54">
        <f t="shared" si="53"/>
        <v>5217600</v>
      </c>
      <c r="L106" s="54">
        <f>+(17000*100)/119</f>
        <v>14285.714285714286</v>
      </c>
      <c r="M106" s="54">
        <f t="shared" si="54"/>
        <v>4285714.2857142854</v>
      </c>
      <c r="N106" s="29">
        <f t="shared" si="55"/>
        <v>15318.904761904763</v>
      </c>
      <c r="O106" s="29">
        <f t="shared" si="56"/>
        <v>4595671.4285714291</v>
      </c>
      <c r="P106" s="29">
        <f t="shared" si="57"/>
        <v>1465.9022636970099</v>
      </c>
      <c r="Q106" s="30">
        <f t="shared" si="58"/>
        <v>9.569236746888285E-2</v>
      </c>
      <c r="R106" s="29">
        <f t="shared" si="59"/>
        <v>14285.714285714286</v>
      </c>
      <c r="S106" s="29">
        <f t="shared" si="60"/>
        <v>4285714.2857142854</v>
      </c>
      <c r="T106" s="30">
        <f t="shared" si="61"/>
        <v>0.10261315845879068</v>
      </c>
      <c r="U106" s="56" t="s">
        <v>306</v>
      </c>
      <c r="V106" s="56" t="s">
        <v>307</v>
      </c>
      <c r="W106" s="56" t="s">
        <v>308</v>
      </c>
    </row>
    <row r="107" spans="1:23" ht="186.75" customHeight="1">
      <c r="A107" s="49">
        <v>95</v>
      </c>
      <c r="B107" s="154" t="s">
        <v>338</v>
      </c>
      <c r="C107" s="154" t="s">
        <v>339</v>
      </c>
      <c r="D107" s="155">
        <v>6</v>
      </c>
      <c r="E107" s="156" t="s">
        <v>71</v>
      </c>
      <c r="F107" s="156">
        <v>1</v>
      </c>
      <c r="G107" s="156" t="s">
        <v>104</v>
      </c>
      <c r="H107" s="157">
        <v>2000000</v>
      </c>
      <c r="I107" s="54">
        <f t="shared" si="52"/>
        <v>12000000</v>
      </c>
      <c r="J107" s="59"/>
      <c r="K107" s="54"/>
      <c r="L107" s="59"/>
      <c r="M107" s="54"/>
      <c r="N107" s="29">
        <f t="shared" si="55"/>
        <v>2000000</v>
      </c>
      <c r="O107" s="29">
        <f t="shared" si="56"/>
        <v>12000000</v>
      </c>
      <c r="P107" s="29">
        <f t="shared" si="57"/>
        <v>0</v>
      </c>
      <c r="Q107" s="30">
        <f t="shared" si="58"/>
        <v>0</v>
      </c>
      <c r="R107" s="29">
        <f t="shared" si="59"/>
        <v>2000000</v>
      </c>
      <c r="S107" s="29">
        <f t="shared" si="60"/>
        <v>12000000</v>
      </c>
      <c r="T107" s="30">
        <f t="shared" si="61"/>
        <v>0</v>
      </c>
      <c r="U107" s="56" t="s">
        <v>340</v>
      </c>
      <c r="V107" s="56"/>
      <c r="W107" s="56"/>
    </row>
    <row r="108" spans="1:23" ht="15" customHeight="1">
      <c r="A108" s="296" t="s">
        <v>341</v>
      </c>
      <c r="B108" s="296"/>
      <c r="C108" s="296"/>
      <c r="D108" s="296"/>
      <c r="E108" s="296"/>
      <c r="F108" s="296"/>
      <c r="G108" s="296"/>
      <c r="H108" s="296"/>
      <c r="I108" s="296"/>
      <c r="J108" s="296"/>
      <c r="K108" s="296"/>
      <c r="L108" s="296"/>
      <c r="M108" s="296"/>
      <c r="N108" s="296"/>
      <c r="O108" s="296"/>
      <c r="P108" s="296"/>
      <c r="Q108" s="296"/>
      <c r="R108" s="296"/>
      <c r="S108" s="296"/>
      <c r="T108" s="296"/>
      <c r="U108" s="296"/>
      <c r="V108" s="296"/>
      <c r="W108" s="296"/>
    </row>
    <row r="109" spans="1:23" ht="57.75" customHeight="1">
      <c r="A109" s="49">
        <v>96</v>
      </c>
      <c r="B109" s="61" t="s">
        <v>200</v>
      </c>
      <c r="C109" s="62" t="s">
        <v>342</v>
      </c>
      <c r="D109" s="101">
        <v>1</v>
      </c>
      <c r="E109" s="56" t="s">
        <v>71</v>
      </c>
      <c r="F109" s="56">
        <v>1</v>
      </c>
      <c r="G109" s="56" t="s">
        <v>104</v>
      </c>
      <c r="H109" s="54">
        <f>5114001/30</f>
        <v>170466.7</v>
      </c>
      <c r="I109" s="54">
        <f t="shared" ref="I109:I121" si="62">+H109*F109*D109</f>
        <v>170466.7</v>
      </c>
      <c r="J109" s="54"/>
      <c r="K109" s="54"/>
      <c r="L109" s="54"/>
      <c r="M109" s="54"/>
      <c r="N109" s="29">
        <f t="shared" ref="N109:N121" si="63">+AVERAGE(H109,J109,L109)</f>
        <v>170466.7</v>
      </c>
      <c r="O109" s="29">
        <f t="shared" ref="O109:O121" si="64">+N109*D109*F109</f>
        <v>170466.7</v>
      </c>
      <c r="P109" s="29">
        <f t="shared" ref="P109:P121" si="65">+_xlfn.STDEV.P(H109,J109,L109)</f>
        <v>0</v>
      </c>
      <c r="Q109" s="30">
        <f t="shared" ref="Q109:Q121" si="66">+P109/N109</f>
        <v>0</v>
      </c>
      <c r="R109" s="29">
        <f t="shared" ref="R109:R121" si="67">+MEDIAN(H109,J109,L109)</f>
        <v>170466.7</v>
      </c>
      <c r="S109" s="29">
        <f t="shared" ref="S109:S121" si="68">+R109*D109*F109</f>
        <v>170466.7</v>
      </c>
      <c r="T109" s="30">
        <f t="shared" ref="T109:T121" si="69">+P109/R109</f>
        <v>0</v>
      </c>
      <c r="U109" s="55" t="s">
        <v>43</v>
      </c>
      <c r="V109" s="158"/>
      <c r="W109" s="158"/>
    </row>
    <row r="110" spans="1:23" ht="57.75" customHeight="1">
      <c r="A110" s="49">
        <v>97</v>
      </c>
      <c r="B110" s="61" t="s">
        <v>343</v>
      </c>
      <c r="C110" s="62" t="s">
        <v>344</v>
      </c>
      <c r="D110" s="101">
        <v>1</v>
      </c>
      <c r="E110" s="56" t="s">
        <v>71</v>
      </c>
      <c r="F110" s="56">
        <v>1</v>
      </c>
      <c r="G110" s="56" t="s">
        <v>104</v>
      </c>
      <c r="H110" s="54">
        <f>5114001/30</f>
        <v>170466.7</v>
      </c>
      <c r="I110" s="54">
        <f t="shared" si="62"/>
        <v>170466.7</v>
      </c>
      <c r="J110" s="59"/>
      <c r="K110" s="54"/>
      <c r="L110" s="59"/>
      <c r="M110" s="54"/>
      <c r="N110" s="29">
        <f t="shared" si="63"/>
        <v>170466.7</v>
      </c>
      <c r="O110" s="29">
        <f t="shared" si="64"/>
        <v>170466.7</v>
      </c>
      <c r="P110" s="29">
        <f t="shared" si="65"/>
        <v>0</v>
      </c>
      <c r="Q110" s="30">
        <f t="shared" si="66"/>
        <v>0</v>
      </c>
      <c r="R110" s="29">
        <f t="shared" si="67"/>
        <v>170466.7</v>
      </c>
      <c r="S110" s="29">
        <f t="shared" si="68"/>
        <v>170466.7</v>
      </c>
      <c r="T110" s="30">
        <f t="shared" si="69"/>
        <v>0</v>
      </c>
      <c r="U110" s="55" t="s">
        <v>43</v>
      </c>
      <c r="V110" s="56"/>
      <c r="W110" s="56"/>
    </row>
    <row r="111" spans="1:23" ht="57.75" customHeight="1">
      <c r="A111" s="49">
        <v>98</v>
      </c>
      <c r="B111" s="61" t="s">
        <v>345</v>
      </c>
      <c r="C111" s="62" t="s">
        <v>346</v>
      </c>
      <c r="D111" s="101">
        <v>1</v>
      </c>
      <c r="E111" s="56" t="s">
        <v>71</v>
      </c>
      <c r="F111" s="56">
        <v>1</v>
      </c>
      <c r="G111" s="56" t="s">
        <v>104</v>
      </c>
      <c r="H111" s="54">
        <f>5114001/30</f>
        <v>170466.7</v>
      </c>
      <c r="I111" s="54">
        <f t="shared" si="62"/>
        <v>170466.7</v>
      </c>
      <c r="J111" s="71"/>
      <c r="K111" s="54"/>
      <c r="L111" s="71"/>
      <c r="M111" s="54"/>
      <c r="N111" s="29">
        <f t="shared" si="63"/>
        <v>170466.7</v>
      </c>
      <c r="O111" s="29">
        <f t="shared" si="64"/>
        <v>170466.7</v>
      </c>
      <c r="P111" s="29">
        <f t="shared" si="65"/>
        <v>0</v>
      </c>
      <c r="Q111" s="30">
        <f t="shared" si="66"/>
        <v>0</v>
      </c>
      <c r="R111" s="29">
        <f t="shared" si="67"/>
        <v>170466.7</v>
      </c>
      <c r="S111" s="29">
        <f t="shared" si="68"/>
        <v>170466.7</v>
      </c>
      <c r="T111" s="30">
        <f t="shared" si="69"/>
        <v>0</v>
      </c>
      <c r="U111" s="55" t="s">
        <v>43</v>
      </c>
      <c r="V111" s="89"/>
      <c r="W111" s="89"/>
    </row>
    <row r="112" spans="1:23" ht="57.75" customHeight="1">
      <c r="A112" s="49">
        <v>99</v>
      </c>
      <c r="B112" s="61" t="s">
        <v>347</v>
      </c>
      <c r="C112" s="62" t="s">
        <v>348</v>
      </c>
      <c r="D112" s="101">
        <v>10</v>
      </c>
      <c r="E112" s="56" t="s">
        <v>71</v>
      </c>
      <c r="F112" s="56">
        <v>1</v>
      </c>
      <c r="G112" s="56" t="s">
        <v>104</v>
      </c>
      <c r="H112" s="54">
        <f>2146001/30</f>
        <v>71533.366666666669</v>
      </c>
      <c r="I112" s="54">
        <f t="shared" si="62"/>
        <v>715333.66666666674</v>
      </c>
      <c r="J112" s="54"/>
      <c r="K112" s="54"/>
      <c r="L112" s="54"/>
      <c r="M112" s="54"/>
      <c r="N112" s="29">
        <f t="shared" si="63"/>
        <v>71533.366666666669</v>
      </c>
      <c r="O112" s="29">
        <f t="shared" si="64"/>
        <v>715333.66666666674</v>
      </c>
      <c r="P112" s="29">
        <f t="shared" si="65"/>
        <v>0</v>
      </c>
      <c r="Q112" s="30">
        <f t="shared" si="66"/>
        <v>0</v>
      </c>
      <c r="R112" s="29">
        <f t="shared" si="67"/>
        <v>71533.366666666669</v>
      </c>
      <c r="S112" s="29">
        <f t="shared" si="68"/>
        <v>715333.66666666674</v>
      </c>
      <c r="T112" s="30">
        <f t="shared" si="69"/>
        <v>0</v>
      </c>
      <c r="U112" s="55" t="s">
        <v>43</v>
      </c>
      <c r="V112" s="56"/>
      <c r="W112" s="56"/>
    </row>
    <row r="113" spans="1:25" ht="57.75" customHeight="1">
      <c r="A113" s="49">
        <v>100</v>
      </c>
      <c r="B113" s="61" t="s">
        <v>349</v>
      </c>
      <c r="C113" s="62" t="s">
        <v>350</v>
      </c>
      <c r="D113" s="101">
        <v>2</v>
      </c>
      <c r="E113" s="56" t="s">
        <v>71</v>
      </c>
      <c r="F113" s="56">
        <v>1</v>
      </c>
      <c r="G113" s="56" t="s">
        <v>104</v>
      </c>
      <c r="H113" s="54">
        <f>2146001/30</f>
        <v>71533.366666666669</v>
      </c>
      <c r="I113" s="54">
        <f t="shared" si="62"/>
        <v>143066.73333333334</v>
      </c>
      <c r="J113" s="54"/>
      <c r="K113" s="54"/>
      <c r="L113" s="54"/>
      <c r="M113" s="54"/>
      <c r="N113" s="29">
        <f t="shared" si="63"/>
        <v>71533.366666666669</v>
      </c>
      <c r="O113" s="29">
        <f t="shared" si="64"/>
        <v>143066.73333333334</v>
      </c>
      <c r="P113" s="29">
        <f t="shared" si="65"/>
        <v>0</v>
      </c>
      <c r="Q113" s="30">
        <f t="shared" si="66"/>
        <v>0</v>
      </c>
      <c r="R113" s="29">
        <f t="shared" si="67"/>
        <v>71533.366666666669</v>
      </c>
      <c r="S113" s="29">
        <f t="shared" si="68"/>
        <v>143066.73333333334</v>
      </c>
      <c r="T113" s="30">
        <f t="shared" si="69"/>
        <v>0</v>
      </c>
      <c r="U113" s="55" t="s">
        <v>43</v>
      </c>
      <c r="V113" s="56"/>
      <c r="W113" s="56"/>
    </row>
    <row r="114" spans="1:25" ht="72" customHeight="1">
      <c r="A114" s="49">
        <v>101</v>
      </c>
      <c r="B114" s="61" t="s">
        <v>351</v>
      </c>
      <c r="C114" s="62" t="s">
        <v>352</v>
      </c>
      <c r="D114" s="115">
        <v>3</v>
      </c>
      <c r="E114" s="56" t="s">
        <v>71</v>
      </c>
      <c r="F114" s="56">
        <v>1</v>
      </c>
      <c r="G114" s="56" t="s">
        <v>104</v>
      </c>
      <c r="H114" s="54">
        <f>2146001/30</f>
        <v>71533.366666666669</v>
      </c>
      <c r="I114" s="54">
        <f t="shared" si="62"/>
        <v>214600.1</v>
      </c>
      <c r="J114" s="54"/>
      <c r="K114" s="54"/>
      <c r="L114" s="54"/>
      <c r="M114" s="54"/>
      <c r="N114" s="29">
        <f t="shared" si="63"/>
        <v>71533.366666666669</v>
      </c>
      <c r="O114" s="29">
        <f t="shared" si="64"/>
        <v>214600.1</v>
      </c>
      <c r="P114" s="29">
        <f t="shared" si="65"/>
        <v>0</v>
      </c>
      <c r="Q114" s="30">
        <f t="shared" si="66"/>
        <v>0</v>
      </c>
      <c r="R114" s="29">
        <f t="shared" si="67"/>
        <v>71533.366666666669</v>
      </c>
      <c r="S114" s="29">
        <f t="shared" si="68"/>
        <v>214600.1</v>
      </c>
      <c r="T114" s="30">
        <f t="shared" si="69"/>
        <v>0</v>
      </c>
      <c r="U114" s="55" t="s">
        <v>43</v>
      </c>
      <c r="V114" s="56"/>
      <c r="W114" s="56"/>
    </row>
    <row r="115" spans="1:25" ht="72" customHeight="1">
      <c r="A115" s="49">
        <v>102</v>
      </c>
      <c r="B115" s="61" t="s">
        <v>353</v>
      </c>
      <c r="C115" s="62" t="s">
        <v>354</v>
      </c>
      <c r="D115" s="101">
        <v>2</v>
      </c>
      <c r="E115" s="56" t="s">
        <v>71</v>
      </c>
      <c r="F115" s="56">
        <v>1</v>
      </c>
      <c r="G115" s="56" t="s">
        <v>104</v>
      </c>
      <c r="H115" s="54">
        <f>3640001/30</f>
        <v>121333.36666666667</v>
      </c>
      <c r="I115" s="54">
        <f t="shared" si="62"/>
        <v>242666.73333333334</v>
      </c>
      <c r="J115" s="54"/>
      <c r="K115" s="54"/>
      <c r="L115" s="54"/>
      <c r="M115" s="54"/>
      <c r="N115" s="29">
        <f t="shared" si="63"/>
        <v>121333.36666666667</v>
      </c>
      <c r="O115" s="29">
        <f t="shared" si="64"/>
        <v>242666.73333333334</v>
      </c>
      <c r="P115" s="29">
        <f t="shared" si="65"/>
        <v>0</v>
      </c>
      <c r="Q115" s="30">
        <f t="shared" si="66"/>
        <v>0</v>
      </c>
      <c r="R115" s="29">
        <f t="shared" si="67"/>
        <v>121333.36666666667</v>
      </c>
      <c r="S115" s="29">
        <f t="shared" si="68"/>
        <v>242666.73333333334</v>
      </c>
      <c r="T115" s="30">
        <f t="shared" si="69"/>
        <v>0</v>
      </c>
      <c r="U115" s="55" t="s">
        <v>43</v>
      </c>
      <c r="V115" s="56"/>
      <c r="W115" s="56"/>
    </row>
    <row r="116" spans="1:25" ht="57.75" customHeight="1">
      <c r="A116" s="49">
        <v>103</v>
      </c>
      <c r="B116" s="61" t="s">
        <v>85</v>
      </c>
      <c r="C116" s="62" t="s">
        <v>355</v>
      </c>
      <c r="D116" s="101">
        <v>1</v>
      </c>
      <c r="E116" s="56" t="s">
        <v>71</v>
      </c>
      <c r="F116" s="56">
        <v>1</v>
      </c>
      <c r="G116" s="56" t="s">
        <v>104</v>
      </c>
      <c r="H116" s="54">
        <f>5114001/30</f>
        <v>170466.7</v>
      </c>
      <c r="I116" s="54">
        <f t="shared" si="62"/>
        <v>170466.7</v>
      </c>
      <c r="J116" s="54"/>
      <c r="K116" s="54"/>
      <c r="L116" s="54"/>
      <c r="M116" s="54"/>
      <c r="N116" s="29">
        <f t="shared" si="63"/>
        <v>170466.7</v>
      </c>
      <c r="O116" s="29">
        <f t="shared" si="64"/>
        <v>170466.7</v>
      </c>
      <c r="P116" s="29">
        <f t="shared" si="65"/>
        <v>0</v>
      </c>
      <c r="Q116" s="30">
        <f t="shared" si="66"/>
        <v>0</v>
      </c>
      <c r="R116" s="29">
        <f t="shared" si="67"/>
        <v>170466.7</v>
      </c>
      <c r="S116" s="29">
        <f t="shared" si="68"/>
        <v>170466.7</v>
      </c>
      <c r="T116" s="30">
        <f t="shared" si="69"/>
        <v>0</v>
      </c>
      <c r="U116" s="55" t="s">
        <v>43</v>
      </c>
      <c r="V116" s="56"/>
      <c r="W116" s="56"/>
    </row>
    <row r="117" spans="1:25" ht="57.75" customHeight="1">
      <c r="A117" s="49">
        <v>104</v>
      </c>
      <c r="B117" s="61" t="s">
        <v>356</v>
      </c>
      <c r="C117" s="62" t="s">
        <v>357</v>
      </c>
      <c r="D117" s="101">
        <v>1</v>
      </c>
      <c r="E117" s="56" t="s">
        <v>71</v>
      </c>
      <c r="F117" s="56">
        <v>1</v>
      </c>
      <c r="G117" s="56" t="s">
        <v>104</v>
      </c>
      <c r="H117" s="54">
        <f>3640001/30</f>
        <v>121333.36666666667</v>
      </c>
      <c r="I117" s="54">
        <f t="shared" si="62"/>
        <v>121333.36666666667</v>
      </c>
      <c r="J117" s="54"/>
      <c r="K117" s="54"/>
      <c r="L117" s="54"/>
      <c r="M117" s="54"/>
      <c r="N117" s="29">
        <f t="shared" si="63"/>
        <v>121333.36666666667</v>
      </c>
      <c r="O117" s="29">
        <f t="shared" si="64"/>
        <v>121333.36666666667</v>
      </c>
      <c r="P117" s="29">
        <f t="shared" si="65"/>
        <v>0</v>
      </c>
      <c r="Q117" s="30">
        <f t="shared" si="66"/>
        <v>0</v>
      </c>
      <c r="R117" s="29">
        <f t="shared" si="67"/>
        <v>121333.36666666667</v>
      </c>
      <c r="S117" s="29">
        <f t="shared" si="68"/>
        <v>121333.36666666667</v>
      </c>
      <c r="T117" s="30">
        <f t="shared" si="69"/>
        <v>0</v>
      </c>
      <c r="U117" s="55" t="s">
        <v>43</v>
      </c>
      <c r="V117" s="56"/>
      <c r="W117" s="56"/>
    </row>
    <row r="118" spans="1:25" ht="57.75" customHeight="1">
      <c r="A118" s="49">
        <v>105</v>
      </c>
      <c r="B118" s="61" t="s">
        <v>358</v>
      </c>
      <c r="C118" s="62" t="s">
        <v>359</v>
      </c>
      <c r="D118" s="115">
        <v>2</v>
      </c>
      <c r="E118" s="56" t="s">
        <v>71</v>
      </c>
      <c r="F118" s="56">
        <v>1</v>
      </c>
      <c r="G118" s="56" t="s">
        <v>104</v>
      </c>
      <c r="H118" s="59">
        <f>4687001/30</f>
        <v>156233.36666666667</v>
      </c>
      <c r="I118" s="54">
        <f t="shared" si="62"/>
        <v>312466.73333333334</v>
      </c>
      <c r="J118" s="59"/>
      <c r="K118" s="54"/>
      <c r="L118" s="59"/>
      <c r="M118" s="54"/>
      <c r="N118" s="29">
        <f t="shared" si="63"/>
        <v>156233.36666666667</v>
      </c>
      <c r="O118" s="29">
        <f t="shared" si="64"/>
        <v>312466.73333333334</v>
      </c>
      <c r="P118" s="29">
        <f t="shared" si="65"/>
        <v>0</v>
      </c>
      <c r="Q118" s="30">
        <f t="shared" si="66"/>
        <v>0</v>
      </c>
      <c r="R118" s="29">
        <f t="shared" si="67"/>
        <v>156233.36666666667</v>
      </c>
      <c r="S118" s="29">
        <f t="shared" si="68"/>
        <v>312466.73333333334</v>
      </c>
      <c r="T118" s="30">
        <f t="shared" si="69"/>
        <v>0</v>
      </c>
      <c r="U118" s="55" t="s">
        <v>43</v>
      </c>
      <c r="V118" s="56"/>
      <c r="W118" s="56"/>
    </row>
    <row r="119" spans="1:25" ht="57.75" customHeight="1">
      <c r="A119" s="49">
        <v>106</v>
      </c>
      <c r="B119" s="61" t="s">
        <v>360</v>
      </c>
      <c r="C119" s="62" t="s">
        <v>361</v>
      </c>
      <c r="D119" s="101">
        <v>1</v>
      </c>
      <c r="E119" s="56" t="s">
        <v>71</v>
      </c>
      <c r="F119" s="56">
        <v>1</v>
      </c>
      <c r="G119" s="56" t="s">
        <v>104</v>
      </c>
      <c r="H119" s="54">
        <f>5114001/30</f>
        <v>170466.7</v>
      </c>
      <c r="I119" s="54">
        <f t="shared" si="62"/>
        <v>170466.7</v>
      </c>
      <c r="J119" s="54"/>
      <c r="K119" s="54"/>
      <c r="L119" s="54"/>
      <c r="M119" s="54"/>
      <c r="N119" s="29">
        <f t="shared" si="63"/>
        <v>170466.7</v>
      </c>
      <c r="O119" s="29">
        <f t="shared" si="64"/>
        <v>170466.7</v>
      </c>
      <c r="P119" s="29">
        <f t="shared" si="65"/>
        <v>0</v>
      </c>
      <c r="Q119" s="30">
        <f t="shared" si="66"/>
        <v>0</v>
      </c>
      <c r="R119" s="29">
        <f t="shared" si="67"/>
        <v>170466.7</v>
      </c>
      <c r="S119" s="29">
        <f t="shared" si="68"/>
        <v>170466.7</v>
      </c>
      <c r="T119" s="30">
        <f t="shared" si="69"/>
        <v>0</v>
      </c>
      <c r="U119" s="55" t="s">
        <v>43</v>
      </c>
      <c r="V119" s="56"/>
      <c r="W119" s="56"/>
    </row>
    <row r="120" spans="1:25" ht="57.75" customHeight="1">
      <c r="A120" s="49">
        <v>107</v>
      </c>
      <c r="B120" s="61" t="s">
        <v>362</v>
      </c>
      <c r="C120" s="62" t="s">
        <v>363</v>
      </c>
      <c r="D120" s="101">
        <v>1</v>
      </c>
      <c r="E120" s="56" t="s">
        <v>71</v>
      </c>
      <c r="F120" s="56">
        <v>1</v>
      </c>
      <c r="G120" s="56" t="s">
        <v>104</v>
      </c>
      <c r="H120" s="54">
        <f>3640001/30</f>
        <v>121333.36666666667</v>
      </c>
      <c r="I120" s="54">
        <f t="shared" si="62"/>
        <v>121333.36666666667</v>
      </c>
      <c r="J120" s="54"/>
      <c r="K120" s="54"/>
      <c r="L120" s="54"/>
      <c r="M120" s="54"/>
      <c r="N120" s="29">
        <f t="shared" si="63"/>
        <v>121333.36666666667</v>
      </c>
      <c r="O120" s="29">
        <f t="shared" si="64"/>
        <v>121333.36666666667</v>
      </c>
      <c r="P120" s="29">
        <f t="shared" si="65"/>
        <v>0</v>
      </c>
      <c r="Q120" s="30">
        <f t="shared" si="66"/>
        <v>0</v>
      </c>
      <c r="R120" s="29">
        <f t="shared" si="67"/>
        <v>121333.36666666667</v>
      </c>
      <c r="S120" s="29">
        <f t="shared" si="68"/>
        <v>121333.36666666667</v>
      </c>
      <c r="T120" s="30">
        <f t="shared" si="69"/>
        <v>0</v>
      </c>
      <c r="U120" s="55" t="s">
        <v>43</v>
      </c>
      <c r="V120" s="56"/>
      <c r="W120" s="56"/>
      <c r="X120" t="s">
        <v>60</v>
      </c>
      <c r="Y120" t="s">
        <v>61</v>
      </c>
    </row>
    <row r="121" spans="1:25" ht="57.75" customHeight="1">
      <c r="A121" s="49">
        <v>108</v>
      </c>
      <c r="B121" s="61" t="s">
        <v>364</v>
      </c>
      <c r="C121" s="62" t="s">
        <v>365</v>
      </c>
      <c r="D121" s="115">
        <v>4</v>
      </c>
      <c r="E121" s="56" t="s">
        <v>71</v>
      </c>
      <c r="F121" s="56">
        <v>1</v>
      </c>
      <c r="G121" s="56" t="s">
        <v>104</v>
      </c>
      <c r="H121" s="54">
        <f>3640001/30</f>
        <v>121333.36666666667</v>
      </c>
      <c r="I121" s="54">
        <f t="shared" si="62"/>
        <v>485333.46666666667</v>
      </c>
      <c r="J121" s="54"/>
      <c r="K121" s="54"/>
      <c r="L121" s="54"/>
      <c r="M121" s="54"/>
      <c r="N121" s="29">
        <f t="shared" si="63"/>
        <v>121333.36666666667</v>
      </c>
      <c r="O121" s="29">
        <f t="shared" si="64"/>
        <v>485333.46666666667</v>
      </c>
      <c r="P121" s="29">
        <f t="shared" si="65"/>
        <v>0</v>
      </c>
      <c r="Q121" s="30">
        <f t="shared" si="66"/>
        <v>0</v>
      </c>
      <c r="R121" s="29">
        <f t="shared" si="67"/>
        <v>121333.36666666667</v>
      </c>
      <c r="S121" s="29">
        <f t="shared" si="68"/>
        <v>485333.46666666667</v>
      </c>
      <c r="T121" s="30">
        <f t="shared" si="69"/>
        <v>0</v>
      </c>
      <c r="U121" s="55" t="s">
        <v>43</v>
      </c>
      <c r="V121" s="56"/>
      <c r="W121" s="89"/>
      <c r="X121" s="40">
        <f>SUM(O96:O121)</f>
        <v>68795122.917985991</v>
      </c>
      <c r="Y121" s="40">
        <f>SUM(S96:S121)</f>
        <v>71086202.976859942</v>
      </c>
    </row>
    <row r="122" spans="1:25" ht="42" customHeight="1">
      <c r="A122" s="307" t="s">
        <v>366</v>
      </c>
      <c r="B122" s="307"/>
      <c r="C122" s="307"/>
      <c r="D122" s="307"/>
      <c r="E122" s="307"/>
      <c r="F122" s="307"/>
      <c r="G122" s="307"/>
      <c r="H122" s="307"/>
      <c r="I122" s="307"/>
      <c r="J122" s="307"/>
      <c r="K122" s="307"/>
      <c r="L122" s="307"/>
      <c r="M122" s="307"/>
      <c r="N122" s="307"/>
      <c r="O122" s="307"/>
      <c r="P122" s="307"/>
      <c r="Q122" s="307"/>
      <c r="R122" s="307"/>
      <c r="S122" s="307"/>
      <c r="T122" s="307"/>
      <c r="U122" s="307"/>
      <c r="V122" s="307"/>
      <c r="W122" s="307"/>
    </row>
    <row r="123" spans="1:25" s="159" customFormat="1" ht="26.25" customHeight="1">
      <c r="A123" s="296" t="s">
        <v>367</v>
      </c>
      <c r="B123" s="296"/>
      <c r="C123" s="296"/>
      <c r="D123" s="296"/>
      <c r="E123" s="296"/>
      <c r="F123" s="296"/>
      <c r="G123" s="296"/>
      <c r="H123" s="296"/>
      <c r="I123" s="296"/>
      <c r="J123" s="296"/>
      <c r="K123" s="296"/>
      <c r="L123" s="296"/>
      <c r="M123" s="296"/>
      <c r="N123" s="296"/>
      <c r="O123" s="296"/>
      <c r="P123" s="296"/>
      <c r="Q123" s="296"/>
      <c r="R123" s="296"/>
      <c r="S123" s="296"/>
      <c r="T123" s="296"/>
      <c r="U123" s="296"/>
      <c r="V123" s="296"/>
      <c r="W123" s="296"/>
    </row>
    <row r="124" spans="1:25" ht="57.75" customHeight="1">
      <c r="A124" s="49">
        <v>109</v>
      </c>
      <c r="B124" s="61" t="s">
        <v>200</v>
      </c>
      <c r="C124" s="62" t="s">
        <v>368</v>
      </c>
      <c r="D124" s="101">
        <v>1</v>
      </c>
      <c r="E124" s="56" t="s">
        <v>71</v>
      </c>
      <c r="F124" s="56">
        <v>1</v>
      </c>
      <c r="G124" s="56" t="s">
        <v>104</v>
      </c>
      <c r="H124" s="54">
        <f>5114001/30</f>
        <v>170466.7</v>
      </c>
      <c r="I124" s="54">
        <f t="shared" ref="I124:I135" si="70">+H124*F124*D124</f>
        <v>170466.7</v>
      </c>
      <c r="J124" s="54"/>
      <c r="K124" s="54"/>
      <c r="L124" s="54"/>
      <c r="M124" s="54"/>
      <c r="N124" s="29">
        <f t="shared" ref="N124:N135" si="71">+AVERAGE(H124,J124,L124)</f>
        <v>170466.7</v>
      </c>
      <c r="O124" s="29">
        <f t="shared" ref="O124:O135" si="72">+N124*D124*F124</f>
        <v>170466.7</v>
      </c>
      <c r="P124" s="29">
        <f t="shared" ref="P124:P135" si="73">+_xlfn.STDEV.P(H124,J124,L124)</f>
        <v>0</v>
      </c>
      <c r="Q124" s="30">
        <f t="shared" ref="Q124:Q135" si="74">+P124/N124</f>
        <v>0</v>
      </c>
      <c r="R124" s="29">
        <f t="shared" ref="R124:R135" si="75">+MEDIAN(H124,J124,L124)</f>
        <v>170466.7</v>
      </c>
      <c r="S124" s="29">
        <f t="shared" ref="S124:S135" si="76">+R124*D124*F124</f>
        <v>170466.7</v>
      </c>
      <c r="T124" s="30">
        <f t="shared" ref="T124:T135" si="77">+P124/R124</f>
        <v>0</v>
      </c>
      <c r="U124" s="55" t="s">
        <v>43</v>
      </c>
      <c r="V124" s="56"/>
      <c r="W124" s="56"/>
    </row>
    <row r="125" spans="1:25" ht="57.75" customHeight="1">
      <c r="A125" s="49">
        <v>110</v>
      </c>
      <c r="B125" s="61" t="s">
        <v>343</v>
      </c>
      <c r="C125" s="62" t="s">
        <v>369</v>
      </c>
      <c r="D125" s="101">
        <v>1</v>
      </c>
      <c r="E125" s="56" t="s">
        <v>71</v>
      </c>
      <c r="F125" s="56">
        <v>1</v>
      </c>
      <c r="G125" s="56" t="s">
        <v>104</v>
      </c>
      <c r="H125" s="54">
        <f>5114001/30</f>
        <v>170466.7</v>
      </c>
      <c r="I125" s="54">
        <f t="shared" si="70"/>
        <v>170466.7</v>
      </c>
      <c r="J125" s="54"/>
      <c r="K125" s="54"/>
      <c r="L125" s="54"/>
      <c r="M125" s="54"/>
      <c r="N125" s="29">
        <f t="shared" si="71"/>
        <v>170466.7</v>
      </c>
      <c r="O125" s="29">
        <f t="shared" si="72"/>
        <v>170466.7</v>
      </c>
      <c r="P125" s="29">
        <f t="shared" si="73"/>
        <v>0</v>
      </c>
      <c r="Q125" s="30">
        <f t="shared" si="74"/>
        <v>0</v>
      </c>
      <c r="R125" s="29">
        <f t="shared" si="75"/>
        <v>170466.7</v>
      </c>
      <c r="S125" s="29">
        <f t="shared" si="76"/>
        <v>170466.7</v>
      </c>
      <c r="T125" s="30">
        <f t="shared" si="77"/>
        <v>0</v>
      </c>
      <c r="U125" s="55" t="s">
        <v>43</v>
      </c>
      <c r="V125" s="56"/>
      <c r="W125" s="56"/>
    </row>
    <row r="126" spans="1:25" ht="57.75" customHeight="1">
      <c r="A126" s="49">
        <v>111</v>
      </c>
      <c r="B126" s="61" t="s">
        <v>370</v>
      </c>
      <c r="C126" s="62" t="s">
        <v>371</v>
      </c>
      <c r="D126" s="101">
        <v>1</v>
      </c>
      <c r="E126" s="56" t="s">
        <v>71</v>
      </c>
      <c r="F126" s="56">
        <v>1</v>
      </c>
      <c r="G126" s="56" t="s">
        <v>104</v>
      </c>
      <c r="H126" s="54">
        <f>5114001/30</f>
        <v>170466.7</v>
      </c>
      <c r="I126" s="54">
        <f t="shared" si="70"/>
        <v>170466.7</v>
      </c>
      <c r="J126" s="54"/>
      <c r="K126" s="54"/>
      <c r="L126" s="54"/>
      <c r="M126" s="54"/>
      <c r="N126" s="29">
        <f t="shared" si="71"/>
        <v>170466.7</v>
      </c>
      <c r="O126" s="29">
        <f t="shared" si="72"/>
        <v>170466.7</v>
      </c>
      <c r="P126" s="29">
        <f t="shared" si="73"/>
        <v>0</v>
      </c>
      <c r="Q126" s="30">
        <f t="shared" si="74"/>
        <v>0</v>
      </c>
      <c r="R126" s="29">
        <f t="shared" si="75"/>
        <v>170466.7</v>
      </c>
      <c r="S126" s="29">
        <f t="shared" si="76"/>
        <v>170466.7</v>
      </c>
      <c r="T126" s="30">
        <f t="shared" si="77"/>
        <v>0</v>
      </c>
      <c r="U126" s="55" t="s">
        <v>43</v>
      </c>
      <c r="V126" s="56"/>
      <c r="W126" s="56"/>
    </row>
    <row r="127" spans="1:25" ht="57.75" customHeight="1">
      <c r="A127" s="49">
        <v>112</v>
      </c>
      <c r="B127" s="61" t="s">
        <v>372</v>
      </c>
      <c r="C127" s="62" t="s">
        <v>373</v>
      </c>
      <c r="D127" s="115">
        <v>8</v>
      </c>
      <c r="E127" s="56" t="s">
        <v>71</v>
      </c>
      <c r="F127" s="56">
        <v>1</v>
      </c>
      <c r="G127" s="56" t="s">
        <v>104</v>
      </c>
      <c r="H127" s="59">
        <f t="shared" ref="H127:H132" si="78">3095001/30</f>
        <v>103166.7</v>
      </c>
      <c r="I127" s="54">
        <f t="shared" si="70"/>
        <v>825333.6</v>
      </c>
      <c r="J127" s="59"/>
      <c r="K127" s="54"/>
      <c r="L127" s="59"/>
      <c r="M127" s="54"/>
      <c r="N127" s="29">
        <f t="shared" si="71"/>
        <v>103166.7</v>
      </c>
      <c r="O127" s="29">
        <f t="shared" si="72"/>
        <v>825333.6</v>
      </c>
      <c r="P127" s="29">
        <f t="shared" si="73"/>
        <v>0</v>
      </c>
      <c r="Q127" s="30">
        <f t="shared" si="74"/>
        <v>0</v>
      </c>
      <c r="R127" s="29">
        <f t="shared" si="75"/>
        <v>103166.7</v>
      </c>
      <c r="S127" s="29">
        <f t="shared" si="76"/>
        <v>825333.6</v>
      </c>
      <c r="T127" s="30">
        <f t="shared" si="77"/>
        <v>0</v>
      </c>
      <c r="U127" s="55" t="s">
        <v>43</v>
      </c>
      <c r="V127" s="56"/>
      <c r="W127" s="56"/>
    </row>
    <row r="128" spans="1:25" ht="57.75" customHeight="1">
      <c r="A128" s="49">
        <v>113</v>
      </c>
      <c r="B128" s="61" t="s">
        <v>374</v>
      </c>
      <c r="C128" s="62" t="s">
        <v>375</v>
      </c>
      <c r="D128" s="115">
        <v>8</v>
      </c>
      <c r="E128" s="56" t="s">
        <v>71</v>
      </c>
      <c r="F128" s="56">
        <v>1</v>
      </c>
      <c r="G128" s="56" t="s">
        <v>104</v>
      </c>
      <c r="H128" s="59">
        <f t="shared" si="78"/>
        <v>103166.7</v>
      </c>
      <c r="I128" s="54">
        <f t="shared" si="70"/>
        <v>825333.6</v>
      </c>
      <c r="J128" s="59"/>
      <c r="K128" s="54"/>
      <c r="L128" s="59"/>
      <c r="M128" s="54"/>
      <c r="N128" s="29">
        <f t="shared" si="71"/>
        <v>103166.7</v>
      </c>
      <c r="O128" s="29">
        <f t="shared" si="72"/>
        <v>825333.6</v>
      </c>
      <c r="P128" s="29">
        <f t="shared" si="73"/>
        <v>0</v>
      </c>
      <c r="Q128" s="30">
        <f t="shared" si="74"/>
        <v>0</v>
      </c>
      <c r="R128" s="29">
        <f t="shared" si="75"/>
        <v>103166.7</v>
      </c>
      <c r="S128" s="29">
        <f t="shared" si="76"/>
        <v>825333.6</v>
      </c>
      <c r="T128" s="30">
        <f t="shared" si="77"/>
        <v>0</v>
      </c>
      <c r="U128" s="55" t="s">
        <v>43</v>
      </c>
      <c r="V128" s="56"/>
      <c r="W128" s="56"/>
    </row>
    <row r="129" spans="1:28" ht="57.75" customHeight="1">
      <c r="A129" s="49">
        <v>114</v>
      </c>
      <c r="B129" s="61" t="s">
        <v>376</v>
      </c>
      <c r="C129" s="62" t="s">
        <v>377</v>
      </c>
      <c r="D129" s="115">
        <v>2</v>
      </c>
      <c r="E129" s="56" t="s">
        <v>71</v>
      </c>
      <c r="F129" s="56">
        <v>1</v>
      </c>
      <c r="G129" s="56" t="s">
        <v>104</v>
      </c>
      <c r="H129" s="59">
        <f t="shared" si="78"/>
        <v>103166.7</v>
      </c>
      <c r="I129" s="54">
        <f t="shared" si="70"/>
        <v>206333.4</v>
      </c>
      <c r="J129" s="59"/>
      <c r="K129" s="54"/>
      <c r="L129" s="59"/>
      <c r="M129" s="54"/>
      <c r="N129" s="29">
        <f t="shared" si="71"/>
        <v>103166.7</v>
      </c>
      <c r="O129" s="29">
        <f t="shared" si="72"/>
        <v>206333.4</v>
      </c>
      <c r="P129" s="29">
        <f t="shared" si="73"/>
        <v>0</v>
      </c>
      <c r="Q129" s="30">
        <f t="shared" si="74"/>
        <v>0</v>
      </c>
      <c r="R129" s="29">
        <f t="shared" si="75"/>
        <v>103166.7</v>
      </c>
      <c r="S129" s="29">
        <f t="shared" si="76"/>
        <v>206333.4</v>
      </c>
      <c r="T129" s="30">
        <f t="shared" si="77"/>
        <v>0</v>
      </c>
      <c r="U129" s="55" t="s">
        <v>43</v>
      </c>
      <c r="V129" s="56"/>
      <c r="W129" s="56"/>
    </row>
    <row r="130" spans="1:28" ht="57.75" customHeight="1">
      <c r="A130" s="49">
        <v>115</v>
      </c>
      <c r="B130" s="61" t="s">
        <v>378</v>
      </c>
      <c r="C130" s="62" t="s">
        <v>379</v>
      </c>
      <c r="D130" s="101">
        <v>2</v>
      </c>
      <c r="E130" s="56" t="s">
        <v>71</v>
      </c>
      <c r="F130" s="56">
        <v>1</v>
      </c>
      <c r="G130" s="56" t="s">
        <v>104</v>
      </c>
      <c r="H130" s="59">
        <f t="shared" si="78"/>
        <v>103166.7</v>
      </c>
      <c r="I130" s="54">
        <f t="shared" si="70"/>
        <v>206333.4</v>
      </c>
      <c r="J130" s="54"/>
      <c r="K130" s="54"/>
      <c r="L130" s="54"/>
      <c r="M130" s="54"/>
      <c r="N130" s="29">
        <f t="shared" si="71"/>
        <v>103166.7</v>
      </c>
      <c r="O130" s="29">
        <f t="shared" si="72"/>
        <v>206333.4</v>
      </c>
      <c r="P130" s="29">
        <f t="shared" si="73"/>
        <v>0</v>
      </c>
      <c r="Q130" s="30">
        <f t="shared" si="74"/>
        <v>0</v>
      </c>
      <c r="R130" s="29">
        <f t="shared" si="75"/>
        <v>103166.7</v>
      </c>
      <c r="S130" s="29">
        <f t="shared" si="76"/>
        <v>206333.4</v>
      </c>
      <c r="T130" s="30">
        <f t="shared" si="77"/>
        <v>0</v>
      </c>
      <c r="U130" s="55" t="s">
        <v>43</v>
      </c>
      <c r="V130" s="56"/>
      <c r="W130" s="56"/>
    </row>
    <row r="131" spans="1:28" ht="57.75" customHeight="1">
      <c r="A131" s="49">
        <v>116</v>
      </c>
      <c r="B131" s="61" t="s">
        <v>380</v>
      </c>
      <c r="C131" s="62" t="s">
        <v>381</v>
      </c>
      <c r="D131" s="115">
        <v>3</v>
      </c>
      <c r="E131" s="56" t="s">
        <v>71</v>
      </c>
      <c r="F131" s="56">
        <v>1</v>
      </c>
      <c r="G131" s="56" t="s">
        <v>104</v>
      </c>
      <c r="H131" s="59">
        <f t="shared" si="78"/>
        <v>103166.7</v>
      </c>
      <c r="I131" s="54">
        <f t="shared" si="70"/>
        <v>309500.09999999998</v>
      </c>
      <c r="J131" s="54"/>
      <c r="K131" s="54"/>
      <c r="L131" s="54"/>
      <c r="M131" s="54"/>
      <c r="N131" s="29">
        <f t="shared" si="71"/>
        <v>103166.7</v>
      </c>
      <c r="O131" s="29">
        <f t="shared" si="72"/>
        <v>309500.09999999998</v>
      </c>
      <c r="P131" s="29">
        <f t="shared" si="73"/>
        <v>0</v>
      </c>
      <c r="Q131" s="30">
        <f t="shared" si="74"/>
        <v>0</v>
      </c>
      <c r="R131" s="29">
        <f t="shared" si="75"/>
        <v>103166.7</v>
      </c>
      <c r="S131" s="29">
        <f t="shared" si="76"/>
        <v>309500.09999999998</v>
      </c>
      <c r="T131" s="30">
        <f t="shared" si="77"/>
        <v>0</v>
      </c>
      <c r="U131" s="55" t="s">
        <v>43</v>
      </c>
      <c r="V131" s="56"/>
      <c r="W131" s="56"/>
    </row>
    <row r="132" spans="1:28" ht="57.75" customHeight="1">
      <c r="A132" s="49">
        <v>117</v>
      </c>
      <c r="B132" s="61" t="s">
        <v>382</v>
      </c>
      <c r="C132" s="62" t="s">
        <v>383</v>
      </c>
      <c r="D132" s="101">
        <v>2</v>
      </c>
      <c r="E132" s="56" t="s">
        <v>71</v>
      </c>
      <c r="F132" s="56">
        <v>1</v>
      </c>
      <c r="G132" s="56" t="s">
        <v>104</v>
      </c>
      <c r="H132" s="59">
        <f t="shared" si="78"/>
        <v>103166.7</v>
      </c>
      <c r="I132" s="54">
        <f t="shared" si="70"/>
        <v>206333.4</v>
      </c>
      <c r="J132" s="59"/>
      <c r="K132" s="54"/>
      <c r="L132" s="59"/>
      <c r="M132" s="54"/>
      <c r="N132" s="29">
        <f t="shared" si="71"/>
        <v>103166.7</v>
      </c>
      <c r="O132" s="29">
        <f t="shared" si="72"/>
        <v>206333.4</v>
      </c>
      <c r="P132" s="29">
        <f t="shared" si="73"/>
        <v>0</v>
      </c>
      <c r="Q132" s="30">
        <f t="shared" si="74"/>
        <v>0</v>
      </c>
      <c r="R132" s="29">
        <f t="shared" si="75"/>
        <v>103166.7</v>
      </c>
      <c r="S132" s="29">
        <f t="shared" si="76"/>
        <v>206333.4</v>
      </c>
      <c r="T132" s="30">
        <f t="shared" si="77"/>
        <v>0</v>
      </c>
      <c r="U132" s="55" t="s">
        <v>43</v>
      </c>
      <c r="V132" s="56"/>
      <c r="W132" s="56"/>
    </row>
    <row r="133" spans="1:28" ht="57.75" customHeight="1">
      <c r="A133" s="49">
        <v>118</v>
      </c>
      <c r="B133" s="61" t="s">
        <v>85</v>
      </c>
      <c r="C133" s="62" t="s">
        <v>384</v>
      </c>
      <c r="D133" s="101">
        <v>1</v>
      </c>
      <c r="E133" s="56" t="s">
        <v>71</v>
      </c>
      <c r="F133" s="56">
        <v>1</v>
      </c>
      <c r="G133" s="56" t="s">
        <v>104</v>
      </c>
      <c r="H133" s="54">
        <f>5114001/30</f>
        <v>170466.7</v>
      </c>
      <c r="I133" s="54">
        <f t="shared" si="70"/>
        <v>170466.7</v>
      </c>
      <c r="J133" s="59"/>
      <c r="K133" s="54"/>
      <c r="L133" s="54"/>
      <c r="M133" s="54"/>
      <c r="N133" s="29">
        <f t="shared" si="71"/>
        <v>170466.7</v>
      </c>
      <c r="O133" s="29">
        <f t="shared" si="72"/>
        <v>170466.7</v>
      </c>
      <c r="P133" s="29">
        <f t="shared" si="73"/>
        <v>0</v>
      </c>
      <c r="Q133" s="30">
        <f t="shared" si="74"/>
        <v>0</v>
      </c>
      <c r="R133" s="29">
        <f t="shared" si="75"/>
        <v>170466.7</v>
      </c>
      <c r="S133" s="29">
        <f t="shared" si="76"/>
        <v>170466.7</v>
      </c>
      <c r="T133" s="30">
        <f t="shared" si="77"/>
        <v>0</v>
      </c>
      <c r="U133" s="55" t="s">
        <v>43</v>
      </c>
      <c r="V133" s="56"/>
      <c r="W133" s="56"/>
      <c r="AB133">
        <f>153203/1000</f>
        <v>153.203</v>
      </c>
    </row>
    <row r="134" spans="1:28" ht="57.75" customHeight="1">
      <c r="A134" s="49">
        <v>119</v>
      </c>
      <c r="B134" s="61" t="s">
        <v>236</v>
      </c>
      <c r="C134" s="62" t="s">
        <v>385</v>
      </c>
      <c r="D134" s="101">
        <v>1</v>
      </c>
      <c r="E134" s="56" t="s">
        <v>71</v>
      </c>
      <c r="F134" s="56">
        <v>1</v>
      </c>
      <c r="G134" s="56" t="s">
        <v>104</v>
      </c>
      <c r="H134" s="59">
        <f>3095001/30</f>
        <v>103166.7</v>
      </c>
      <c r="I134" s="54">
        <f t="shared" si="70"/>
        <v>103166.7</v>
      </c>
      <c r="J134" s="54"/>
      <c r="K134" s="54"/>
      <c r="L134" s="54"/>
      <c r="M134" s="54"/>
      <c r="N134" s="29">
        <f t="shared" si="71"/>
        <v>103166.7</v>
      </c>
      <c r="O134" s="29">
        <f t="shared" si="72"/>
        <v>103166.7</v>
      </c>
      <c r="P134" s="29">
        <f t="shared" si="73"/>
        <v>0</v>
      </c>
      <c r="Q134" s="30">
        <f t="shared" si="74"/>
        <v>0</v>
      </c>
      <c r="R134" s="29">
        <f t="shared" si="75"/>
        <v>103166.7</v>
      </c>
      <c r="S134" s="29">
        <f t="shared" si="76"/>
        <v>103166.7</v>
      </c>
      <c r="T134" s="30">
        <f t="shared" si="77"/>
        <v>0</v>
      </c>
      <c r="U134" s="55" t="s">
        <v>43</v>
      </c>
      <c r="V134" s="56"/>
      <c r="W134" s="56"/>
    </row>
    <row r="135" spans="1:28" ht="57.75" customHeight="1">
      <c r="A135" s="49">
        <v>120</v>
      </c>
      <c r="B135" s="61" t="s">
        <v>386</v>
      </c>
      <c r="C135" s="62" t="s">
        <v>387</v>
      </c>
      <c r="D135" s="101">
        <v>1</v>
      </c>
      <c r="E135" s="56" t="s">
        <v>71</v>
      </c>
      <c r="F135" s="56">
        <v>1</v>
      </c>
      <c r="G135" s="56" t="s">
        <v>104</v>
      </c>
      <c r="H135" s="59">
        <f>3095001/30</f>
        <v>103166.7</v>
      </c>
      <c r="I135" s="54">
        <f t="shared" si="70"/>
        <v>103166.7</v>
      </c>
      <c r="J135" s="54"/>
      <c r="K135" s="54"/>
      <c r="L135" s="54"/>
      <c r="M135" s="54"/>
      <c r="N135" s="29">
        <f t="shared" si="71"/>
        <v>103166.7</v>
      </c>
      <c r="O135" s="29">
        <f t="shared" si="72"/>
        <v>103166.7</v>
      </c>
      <c r="P135" s="29">
        <f t="shared" si="73"/>
        <v>0</v>
      </c>
      <c r="Q135" s="30">
        <f t="shared" si="74"/>
        <v>0</v>
      </c>
      <c r="R135" s="29">
        <f t="shared" si="75"/>
        <v>103166.7</v>
      </c>
      <c r="S135" s="29">
        <f t="shared" si="76"/>
        <v>103166.7</v>
      </c>
      <c r="T135" s="30">
        <f t="shared" si="77"/>
        <v>0</v>
      </c>
      <c r="U135" s="55" t="s">
        <v>43</v>
      </c>
      <c r="V135" s="56"/>
      <c r="W135" s="56"/>
    </row>
    <row r="136" spans="1:28" ht="30" customHeight="1">
      <c r="A136" s="296" t="s">
        <v>238</v>
      </c>
      <c r="B136" s="296"/>
      <c r="C136" s="296"/>
      <c r="D136" s="296"/>
      <c r="E136" s="296"/>
      <c r="F136" s="296"/>
      <c r="G136" s="296"/>
      <c r="H136" s="296"/>
      <c r="I136" s="296"/>
      <c r="J136" s="296"/>
      <c r="K136" s="296"/>
      <c r="L136" s="296"/>
      <c r="M136" s="296"/>
      <c r="N136" s="296"/>
      <c r="O136" s="296"/>
      <c r="P136" s="296"/>
      <c r="Q136" s="296"/>
      <c r="R136" s="296"/>
      <c r="S136" s="296"/>
      <c r="T136" s="296"/>
      <c r="U136" s="296"/>
      <c r="V136" s="296"/>
      <c r="W136" s="296"/>
    </row>
    <row r="137" spans="1:28" ht="57.75" customHeight="1">
      <c r="A137" s="49">
        <v>121</v>
      </c>
      <c r="B137" s="122" t="s">
        <v>388</v>
      </c>
      <c r="C137" s="62" t="s">
        <v>389</v>
      </c>
      <c r="D137" s="101">
        <v>1</v>
      </c>
      <c r="E137" s="56" t="s">
        <v>41</v>
      </c>
      <c r="F137" s="56">
        <v>1</v>
      </c>
      <c r="G137" s="56" t="s">
        <v>104</v>
      </c>
      <c r="H137" s="102">
        <v>504202</v>
      </c>
      <c r="I137" s="54">
        <f t="shared" ref="I137:I163" si="79">+H137*F137*D137</f>
        <v>504202</v>
      </c>
      <c r="J137" s="102">
        <v>180000</v>
      </c>
      <c r="K137" s="54">
        <f t="shared" ref="K137:K161" si="80">+J137*F137*D137</f>
        <v>180000</v>
      </c>
      <c r="L137" s="54">
        <v>369560</v>
      </c>
      <c r="M137" s="54">
        <f t="shared" ref="M137:M161" si="81">+L137*F137*D137</f>
        <v>369560</v>
      </c>
      <c r="N137" s="29">
        <f t="shared" ref="N137:N163" si="82">+AVERAGE(H137,J137,L137)</f>
        <v>351254</v>
      </c>
      <c r="O137" s="29">
        <f t="shared" ref="O137:O163" si="83">+N137*D137*F137</f>
        <v>351254</v>
      </c>
      <c r="P137" s="29">
        <f t="shared" ref="P137:P163" si="84">+_xlfn.STDEV.P(H137,J137,L137)</f>
        <v>132986.38132781367</v>
      </c>
      <c r="Q137" s="30">
        <f t="shared" ref="Q137:Q163" si="85">+P137/N137</f>
        <v>0.37860460330078421</v>
      </c>
      <c r="R137" s="29">
        <f t="shared" ref="R137:R163" si="86">+MEDIAN(H137,J137,L137)</f>
        <v>369560</v>
      </c>
      <c r="S137" s="29">
        <f t="shared" ref="S137:S163" si="87">+R137*D137*F137</f>
        <v>369560</v>
      </c>
      <c r="T137" s="30">
        <f t="shared" ref="T137:T163" si="88">+P137/R137</f>
        <v>0.3598505826599569</v>
      </c>
      <c r="U137" s="56" t="s">
        <v>183</v>
      </c>
      <c r="V137" s="56" t="s">
        <v>250</v>
      </c>
      <c r="W137" s="56" t="s">
        <v>107</v>
      </c>
    </row>
    <row r="138" spans="1:28" ht="57.75" customHeight="1">
      <c r="A138" s="49">
        <v>122</v>
      </c>
      <c r="B138" s="61" t="s">
        <v>390</v>
      </c>
      <c r="C138" s="62" t="s">
        <v>391</v>
      </c>
      <c r="D138" s="115">
        <v>350</v>
      </c>
      <c r="E138" s="56" t="s">
        <v>41</v>
      </c>
      <c r="F138" s="56">
        <v>1</v>
      </c>
      <c r="G138" s="56" t="s">
        <v>104</v>
      </c>
      <c r="H138" s="54">
        <v>6500</v>
      </c>
      <c r="I138" s="54">
        <f t="shared" si="79"/>
        <v>2275000</v>
      </c>
      <c r="J138" s="54">
        <f>+(4622*5.35%)+4622</f>
        <v>4869.277</v>
      </c>
      <c r="K138" s="54">
        <f t="shared" si="80"/>
        <v>1704246.95</v>
      </c>
      <c r="L138" s="54">
        <f>+(4958*5.35%)+4958</f>
        <v>5223.2529999999997</v>
      </c>
      <c r="M138" s="54">
        <f t="shared" si="81"/>
        <v>1828138.5499999998</v>
      </c>
      <c r="N138" s="29">
        <f t="shared" si="82"/>
        <v>5530.8433333333332</v>
      </c>
      <c r="O138" s="29">
        <f t="shared" si="83"/>
        <v>1935795.1666666667</v>
      </c>
      <c r="P138" s="29">
        <f t="shared" si="84"/>
        <v>700.36811061628191</v>
      </c>
      <c r="Q138" s="30">
        <f t="shared" si="85"/>
        <v>0.1266295334014069</v>
      </c>
      <c r="R138" s="29">
        <f t="shared" si="86"/>
        <v>5223.2529999999997</v>
      </c>
      <c r="S138" s="29">
        <f t="shared" si="87"/>
        <v>1828138.5499999998</v>
      </c>
      <c r="T138" s="30">
        <f t="shared" si="88"/>
        <v>0.13408657605064928</v>
      </c>
      <c r="U138" s="68" t="s">
        <v>276</v>
      </c>
      <c r="V138" s="69" t="s">
        <v>277</v>
      </c>
      <c r="W138" s="69" t="s">
        <v>278</v>
      </c>
    </row>
    <row r="139" spans="1:28" ht="43.5" customHeight="1">
      <c r="A139" s="49">
        <v>123</v>
      </c>
      <c r="B139" s="122" t="s">
        <v>392</v>
      </c>
      <c r="C139" s="62" t="s">
        <v>393</v>
      </c>
      <c r="D139" s="115">
        <v>350</v>
      </c>
      <c r="E139" s="56" t="s">
        <v>41</v>
      </c>
      <c r="F139" s="56">
        <v>1</v>
      </c>
      <c r="G139" s="56" t="s">
        <v>104</v>
      </c>
      <c r="H139" s="59">
        <v>15000</v>
      </c>
      <c r="I139" s="54">
        <f t="shared" si="79"/>
        <v>5250000</v>
      </c>
      <c r="J139" s="59">
        <v>14000</v>
      </c>
      <c r="K139" s="54">
        <f t="shared" si="80"/>
        <v>4900000</v>
      </c>
      <c r="L139" s="160">
        <v>15950</v>
      </c>
      <c r="M139" s="54">
        <f t="shared" si="81"/>
        <v>5582500</v>
      </c>
      <c r="N139" s="29">
        <f t="shared" si="82"/>
        <v>14983.333333333334</v>
      </c>
      <c r="O139" s="29">
        <f t="shared" si="83"/>
        <v>5244166.666666667</v>
      </c>
      <c r="P139" s="29">
        <f t="shared" si="84"/>
        <v>796.17139416641248</v>
      </c>
      <c r="Q139" s="30">
        <f t="shared" si="85"/>
        <v>5.3137134204654893E-2</v>
      </c>
      <c r="R139" s="29">
        <f t="shared" si="86"/>
        <v>15000</v>
      </c>
      <c r="S139" s="29">
        <f t="shared" si="87"/>
        <v>5250000</v>
      </c>
      <c r="T139" s="30">
        <f t="shared" si="88"/>
        <v>5.3078092944427502E-2</v>
      </c>
      <c r="U139" s="56" t="s">
        <v>394</v>
      </c>
      <c r="V139" s="56" t="s">
        <v>395</v>
      </c>
      <c r="W139" s="56" t="s">
        <v>396</v>
      </c>
    </row>
    <row r="140" spans="1:28" ht="29.25" customHeight="1">
      <c r="A140" s="49">
        <v>124</v>
      </c>
      <c r="B140" s="61" t="s">
        <v>397</v>
      </c>
      <c r="C140" s="62" t="s">
        <v>398</v>
      </c>
      <c r="D140" s="101">
        <v>1</v>
      </c>
      <c r="E140" s="56" t="s">
        <v>41</v>
      </c>
      <c r="F140" s="56">
        <v>1</v>
      </c>
      <c r="G140" s="56" t="s">
        <v>104</v>
      </c>
      <c r="H140" s="59">
        <f>+(1523200*100)/119</f>
        <v>1280000</v>
      </c>
      <c r="I140" s="54">
        <f t="shared" si="79"/>
        <v>1280000</v>
      </c>
      <c r="J140" s="59">
        <f>+(1725500*100)/119</f>
        <v>1450000</v>
      </c>
      <c r="K140" s="54">
        <f t="shared" si="80"/>
        <v>1450000</v>
      </c>
      <c r="L140" s="59">
        <v>1250000</v>
      </c>
      <c r="M140" s="54">
        <f t="shared" si="81"/>
        <v>1250000</v>
      </c>
      <c r="N140" s="29">
        <f t="shared" si="82"/>
        <v>1326666.6666666667</v>
      </c>
      <c r="O140" s="29">
        <f t="shared" si="83"/>
        <v>1326666.6666666667</v>
      </c>
      <c r="P140" s="29">
        <f t="shared" si="84"/>
        <v>88065.632090819374</v>
      </c>
      <c r="Q140" s="30">
        <f t="shared" si="85"/>
        <v>6.6381129716698017E-2</v>
      </c>
      <c r="R140" s="29">
        <f t="shared" si="86"/>
        <v>1280000</v>
      </c>
      <c r="S140" s="29">
        <f t="shared" si="87"/>
        <v>1280000</v>
      </c>
      <c r="T140" s="30">
        <f t="shared" si="88"/>
        <v>6.8801275070952642E-2</v>
      </c>
      <c r="U140" s="68" t="s">
        <v>399</v>
      </c>
      <c r="V140" s="69" t="s">
        <v>400</v>
      </c>
      <c r="W140" s="74" t="s">
        <v>105</v>
      </c>
    </row>
    <row r="141" spans="1:28" ht="60.75" customHeight="1">
      <c r="A141" s="49">
        <v>125</v>
      </c>
      <c r="B141" s="61" t="s">
        <v>401</v>
      </c>
      <c r="C141" s="161" t="s">
        <v>252</v>
      </c>
      <c r="D141" s="124">
        <v>1</v>
      </c>
      <c r="E141" s="56" t="s">
        <v>41</v>
      </c>
      <c r="F141" s="56">
        <v>1</v>
      </c>
      <c r="G141" s="56" t="s">
        <v>104</v>
      </c>
      <c r="H141" s="54">
        <v>5300000</v>
      </c>
      <c r="I141" s="54">
        <f t="shared" si="79"/>
        <v>5300000</v>
      </c>
      <c r="J141" s="54">
        <v>4200000</v>
      </c>
      <c r="K141" s="54">
        <f t="shared" si="80"/>
        <v>4200000</v>
      </c>
      <c r="L141" s="54">
        <v>5000000</v>
      </c>
      <c r="M141" s="54">
        <f t="shared" si="81"/>
        <v>5000000</v>
      </c>
      <c r="N141" s="29">
        <f t="shared" si="82"/>
        <v>4833333.333333333</v>
      </c>
      <c r="O141" s="29">
        <f t="shared" si="83"/>
        <v>4833333.333333333</v>
      </c>
      <c r="P141" s="29">
        <f t="shared" si="84"/>
        <v>464279.60923947062</v>
      </c>
      <c r="Q141" s="30">
        <f t="shared" si="85"/>
        <v>9.6057850187476687E-2</v>
      </c>
      <c r="R141" s="29">
        <f t="shared" si="86"/>
        <v>5000000</v>
      </c>
      <c r="S141" s="29">
        <f t="shared" si="87"/>
        <v>5000000</v>
      </c>
      <c r="T141" s="30">
        <f t="shared" si="88"/>
        <v>9.2855921847894124E-2</v>
      </c>
      <c r="U141" s="68" t="s">
        <v>133</v>
      </c>
      <c r="V141" s="69" t="s">
        <v>253</v>
      </c>
      <c r="W141" s="74" t="s">
        <v>135</v>
      </c>
    </row>
    <row r="142" spans="1:28" ht="29.25" customHeight="1">
      <c r="A142" s="49">
        <v>126</v>
      </c>
      <c r="B142" s="61" t="s">
        <v>402</v>
      </c>
      <c r="C142" s="62" t="s">
        <v>403</v>
      </c>
      <c r="D142" s="101">
        <v>6</v>
      </c>
      <c r="E142" s="56" t="s">
        <v>41</v>
      </c>
      <c r="F142" s="56">
        <v>1</v>
      </c>
      <c r="G142" s="56" t="s">
        <v>104</v>
      </c>
      <c r="H142" s="54">
        <v>350000</v>
      </c>
      <c r="I142" s="54">
        <f t="shared" si="79"/>
        <v>2100000</v>
      </c>
      <c r="J142" s="54">
        <v>380000</v>
      </c>
      <c r="K142" s="54">
        <f t="shared" si="80"/>
        <v>2280000</v>
      </c>
      <c r="L142" s="54">
        <v>308000</v>
      </c>
      <c r="M142" s="54">
        <f t="shared" si="81"/>
        <v>1848000</v>
      </c>
      <c r="N142" s="29">
        <f t="shared" si="82"/>
        <v>346000</v>
      </c>
      <c r="O142" s="29">
        <f t="shared" si="83"/>
        <v>2076000</v>
      </c>
      <c r="P142" s="29">
        <f t="shared" si="84"/>
        <v>29529.646120466801</v>
      </c>
      <c r="Q142" s="30">
        <f t="shared" si="85"/>
        <v>8.534579803603122E-2</v>
      </c>
      <c r="R142" s="29">
        <f t="shared" si="86"/>
        <v>350000</v>
      </c>
      <c r="S142" s="29">
        <f t="shared" si="87"/>
        <v>2100000</v>
      </c>
      <c r="T142" s="30">
        <f t="shared" si="88"/>
        <v>8.4370417487048002E-2</v>
      </c>
      <c r="U142" s="125" t="s">
        <v>105</v>
      </c>
      <c r="V142" s="69" t="s">
        <v>253</v>
      </c>
      <c r="W142" s="74" t="s">
        <v>107</v>
      </c>
    </row>
    <row r="143" spans="1:28" ht="33.75" customHeight="1">
      <c r="A143" s="49">
        <v>127</v>
      </c>
      <c r="B143" s="126" t="s">
        <v>241</v>
      </c>
      <c r="C143" s="127" t="s">
        <v>242</v>
      </c>
      <c r="D143" s="101">
        <v>4</v>
      </c>
      <c r="E143" s="56" t="s">
        <v>243</v>
      </c>
      <c r="F143" s="33">
        <v>1</v>
      </c>
      <c r="G143" s="56" t="s">
        <v>104</v>
      </c>
      <c r="H143" s="54">
        <v>247500</v>
      </c>
      <c r="I143" s="128">
        <f t="shared" si="79"/>
        <v>990000</v>
      </c>
      <c r="J143" s="54">
        <v>220000</v>
      </c>
      <c r="K143" s="54">
        <f t="shared" si="80"/>
        <v>880000</v>
      </c>
      <c r="L143" s="54">
        <v>228000</v>
      </c>
      <c r="M143" s="54">
        <f t="shared" si="81"/>
        <v>912000</v>
      </c>
      <c r="N143" s="29">
        <f t="shared" si="82"/>
        <v>231833.33333333334</v>
      </c>
      <c r="O143" s="29">
        <f t="shared" si="83"/>
        <v>927333.33333333337</v>
      </c>
      <c r="P143" s="29">
        <f t="shared" si="84"/>
        <v>11549.410759380276</v>
      </c>
      <c r="Q143" s="30">
        <f t="shared" si="85"/>
        <v>4.9817731528599321E-2</v>
      </c>
      <c r="R143" s="29">
        <f t="shared" si="86"/>
        <v>228000</v>
      </c>
      <c r="S143" s="29">
        <f t="shared" si="87"/>
        <v>912000</v>
      </c>
      <c r="T143" s="30">
        <f t="shared" si="88"/>
        <v>5.0655310348159108E-2</v>
      </c>
      <c r="U143" s="129" t="s">
        <v>244</v>
      </c>
      <c r="V143" s="129" t="s">
        <v>245</v>
      </c>
      <c r="W143" s="129" t="s">
        <v>246</v>
      </c>
    </row>
    <row r="144" spans="1:28" ht="43.5" customHeight="1">
      <c r="A144" s="49">
        <v>128</v>
      </c>
      <c r="B144" s="122" t="s">
        <v>404</v>
      </c>
      <c r="C144" s="162" t="s">
        <v>405</v>
      </c>
      <c r="D144" s="101">
        <v>10</v>
      </c>
      <c r="E144" s="56" t="s">
        <v>41</v>
      </c>
      <c r="F144" s="56">
        <v>1</v>
      </c>
      <c r="G144" s="56" t="s">
        <v>104</v>
      </c>
      <c r="H144" s="54">
        <v>22900</v>
      </c>
      <c r="I144" s="54">
        <f t="shared" si="79"/>
        <v>229000</v>
      </c>
      <c r="J144" s="102">
        <v>21420</v>
      </c>
      <c r="K144" s="54">
        <f t="shared" si="80"/>
        <v>214200</v>
      </c>
      <c r="L144" s="54">
        <v>22015</v>
      </c>
      <c r="M144" s="54">
        <f t="shared" si="81"/>
        <v>220150</v>
      </c>
      <c r="N144" s="29">
        <f t="shared" si="82"/>
        <v>22111.666666666668</v>
      </c>
      <c r="O144" s="29">
        <f t="shared" si="83"/>
        <v>221116.66666666669</v>
      </c>
      <c r="P144" s="29">
        <f t="shared" si="84"/>
        <v>608.06158313849176</v>
      </c>
      <c r="Q144" s="30">
        <f t="shared" si="85"/>
        <v>2.7499581659990582E-2</v>
      </c>
      <c r="R144" s="29">
        <f t="shared" si="86"/>
        <v>22015</v>
      </c>
      <c r="S144" s="29">
        <f t="shared" si="87"/>
        <v>220150</v>
      </c>
      <c r="T144" s="30">
        <f t="shared" si="88"/>
        <v>2.7620330826186316E-2</v>
      </c>
      <c r="U144" s="113" t="s">
        <v>406</v>
      </c>
      <c r="V144" s="113" t="s">
        <v>407</v>
      </c>
      <c r="W144" s="91" t="s">
        <v>408</v>
      </c>
    </row>
    <row r="145" spans="1:23" ht="29.25" customHeight="1">
      <c r="A145" s="49">
        <v>129</v>
      </c>
      <c r="B145" s="122" t="s">
        <v>409</v>
      </c>
      <c r="C145" s="62" t="s">
        <v>410</v>
      </c>
      <c r="D145" s="101">
        <v>30</v>
      </c>
      <c r="E145" s="56" t="s">
        <v>41</v>
      </c>
      <c r="F145" s="56">
        <v>1</v>
      </c>
      <c r="G145" s="56" t="s">
        <v>104</v>
      </c>
      <c r="H145" s="102">
        <v>1800</v>
      </c>
      <c r="I145" s="54">
        <f t="shared" si="79"/>
        <v>54000</v>
      </c>
      <c r="J145" s="54">
        <v>1505</v>
      </c>
      <c r="K145" s="54">
        <f t="shared" si="80"/>
        <v>45150</v>
      </c>
      <c r="L145" s="54">
        <v>1328</v>
      </c>
      <c r="M145" s="54">
        <f t="shared" si="81"/>
        <v>39840</v>
      </c>
      <c r="N145" s="29">
        <f t="shared" si="82"/>
        <v>1544.3333333333333</v>
      </c>
      <c r="O145" s="29">
        <f t="shared" si="83"/>
        <v>46330</v>
      </c>
      <c r="P145" s="29">
        <f t="shared" si="84"/>
        <v>194.69006708669608</v>
      </c>
      <c r="Q145" s="30">
        <f t="shared" si="85"/>
        <v>0.12606738641486903</v>
      </c>
      <c r="R145" s="29">
        <f t="shared" si="86"/>
        <v>1505</v>
      </c>
      <c r="S145" s="29">
        <f t="shared" si="87"/>
        <v>45150</v>
      </c>
      <c r="T145" s="30">
        <f t="shared" si="88"/>
        <v>0.12936217082172496</v>
      </c>
      <c r="U145" s="68" t="s">
        <v>258</v>
      </c>
      <c r="V145" s="69" t="s">
        <v>259</v>
      </c>
      <c r="W145" s="69" t="s">
        <v>260</v>
      </c>
    </row>
    <row r="146" spans="1:23" ht="29.25" customHeight="1">
      <c r="A146" s="49">
        <v>130</v>
      </c>
      <c r="B146" s="147" t="s">
        <v>411</v>
      </c>
      <c r="C146" s="163" t="s">
        <v>412</v>
      </c>
      <c r="D146" s="101">
        <v>2</v>
      </c>
      <c r="E146" s="56" t="s">
        <v>41</v>
      </c>
      <c r="F146" s="56">
        <v>1</v>
      </c>
      <c r="G146" s="56" t="s">
        <v>104</v>
      </c>
      <c r="H146" s="102">
        <v>831933</v>
      </c>
      <c r="I146" s="63">
        <f t="shared" si="79"/>
        <v>1663866</v>
      </c>
      <c r="J146" s="63">
        <v>487395</v>
      </c>
      <c r="K146" s="54">
        <f t="shared" si="80"/>
        <v>974790</v>
      </c>
      <c r="L146" s="54">
        <f>+(550000*100)/119</f>
        <v>462184.87394957984</v>
      </c>
      <c r="M146" s="54">
        <f t="shared" si="81"/>
        <v>924369.74789915967</v>
      </c>
      <c r="N146" s="29">
        <f t="shared" si="82"/>
        <v>593837.62464985996</v>
      </c>
      <c r="O146" s="29">
        <f t="shared" si="83"/>
        <v>1187675.2492997199</v>
      </c>
      <c r="P146" s="29">
        <f t="shared" si="84"/>
        <v>168673.14237149624</v>
      </c>
      <c r="Q146" s="30">
        <f t="shared" si="85"/>
        <v>0.28403916385552319</v>
      </c>
      <c r="R146" s="29">
        <f t="shared" si="86"/>
        <v>487395</v>
      </c>
      <c r="S146" s="29">
        <f t="shared" si="87"/>
        <v>974790</v>
      </c>
      <c r="T146" s="30">
        <f t="shared" si="88"/>
        <v>0.34607072779059334</v>
      </c>
      <c r="U146" s="56" t="s">
        <v>413</v>
      </c>
      <c r="V146" s="56" t="s">
        <v>414</v>
      </c>
      <c r="W146" s="56" t="s">
        <v>415</v>
      </c>
    </row>
    <row r="147" spans="1:23" ht="43.5" customHeight="1">
      <c r="A147" s="49">
        <v>131</v>
      </c>
      <c r="B147" s="164" t="s">
        <v>416</v>
      </c>
      <c r="C147" s="62" t="s">
        <v>417</v>
      </c>
      <c r="D147" s="101">
        <v>1</v>
      </c>
      <c r="E147" s="56" t="s">
        <v>41</v>
      </c>
      <c r="F147" s="56">
        <v>1</v>
      </c>
      <c r="G147" s="56" t="s">
        <v>104</v>
      </c>
      <c r="H147" s="165">
        <f>+(200000*100)/119</f>
        <v>168067.22689075631</v>
      </c>
      <c r="I147" s="54">
        <f t="shared" si="79"/>
        <v>168067.22689075631</v>
      </c>
      <c r="J147" s="59">
        <f>+(168067*5.35%)+168067</f>
        <v>177058.5845</v>
      </c>
      <c r="K147" s="54">
        <f t="shared" si="80"/>
        <v>177058.5845</v>
      </c>
      <c r="L147" s="59">
        <f>+(198000*5.35%)+198000</f>
        <v>208593</v>
      </c>
      <c r="M147" s="54">
        <f t="shared" si="81"/>
        <v>208593</v>
      </c>
      <c r="N147" s="29">
        <f t="shared" si="82"/>
        <v>184572.9371302521</v>
      </c>
      <c r="O147" s="29">
        <f t="shared" si="83"/>
        <v>184572.9371302521</v>
      </c>
      <c r="P147" s="29">
        <f t="shared" si="84"/>
        <v>17376.875306266607</v>
      </c>
      <c r="Q147" s="30">
        <f t="shared" si="85"/>
        <v>9.4146387744828711E-2</v>
      </c>
      <c r="R147" s="29">
        <f t="shared" si="86"/>
        <v>177058.5845</v>
      </c>
      <c r="S147" s="29">
        <f t="shared" si="87"/>
        <v>177058.5845</v>
      </c>
      <c r="T147" s="30">
        <f t="shared" si="88"/>
        <v>9.8141953158258799E-2</v>
      </c>
      <c r="U147" s="56" t="s">
        <v>418</v>
      </c>
      <c r="V147" s="56" t="s">
        <v>135</v>
      </c>
      <c r="W147" s="56" t="s">
        <v>107</v>
      </c>
    </row>
    <row r="148" spans="1:23" ht="29.25" customHeight="1">
      <c r="A148" s="49">
        <v>132</v>
      </c>
      <c r="B148" s="122" t="s">
        <v>419</v>
      </c>
      <c r="C148" s="62" t="s">
        <v>420</v>
      </c>
      <c r="D148" s="101">
        <v>60</v>
      </c>
      <c r="E148" s="56" t="s">
        <v>41</v>
      </c>
      <c r="F148" s="56">
        <v>1</v>
      </c>
      <c r="G148" s="56" t="s">
        <v>104</v>
      </c>
      <c r="H148" s="166">
        <v>73900</v>
      </c>
      <c r="I148" s="54">
        <f t="shared" si="79"/>
        <v>4434000</v>
      </c>
      <c r="J148" s="59">
        <f>+(62300*100)/119</f>
        <v>52352.941176470587</v>
      </c>
      <c r="K148" s="54">
        <f t="shared" si="80"/>
        <v>3141176.4705882352</v>
      </c>
      <c r="L148" s="167">
        <f>+(78000*100)/119</f>
        <v>65546.218487394959</v>
      </c>
      <c r="M148" s="54">
        <f t="shared" si="81"/>
        <v>3932773.1092436975</v>
      </c>
      <c r="N148" s="29">
        <f t="shared" si="82"/>
        <v>63933.053221288515</v>
      </c>
      <c r="O148" s="29">
        <f t="shared" si="83"/>
        <v>3835983.193277311</v>
      </c>
      <c r="P148" s="29">
        <f t="shared" si="84"/>
        <v>8870.1996451785053</v>
      </c>
      <c r="Q148" s="30">
        <f t="shared" si="85"/>
        <v>0.13874199961131989</v>
      </c>
      <c r="R148" s="29">
        <f t="shared" si="86"/>
        <v>65546.218487394959</v>
      </c>
      <c r="S148" s="29">
        <f t="shared" si="87"/>
        <v>3932773.1092436975</v>
      </c>
      <c r="T148" s="30">
        <f t="shared" si="88"/>
        <v>0.13532740484310796</v>
      </c>
      <c r="U148" s="55" t="s">
        <v>421</v>
      </c>
      <c r="V148" s="56" t="s">
        <v>422</v>
      </c>
      <c r="W148" s="56" t="s">
        <v>332</v>
      </c>
    </row>
    <row r="149" spans="1:23" ht="57.75" customHeight="1">
      <c r="A149" s="49">
        <v>133</v>
      </c>
      <c r="B149" s="61" t="s">
        <v>423</v>
      </c>
      <c r="C149" s="62" t="s">
        <v>424</v>
      </c>
      <c r="D149" s="101">
        <v>40</v>
      </c>
      <c r="E149" s="56" t="s">
        <v>41</v>
      </c>
      <c r="F149" s="56">
        <v>1</v>
      </c>
      <c r="G149" s="56" t="s">
        <v>104</v>
      </c>
      <c r="H149" s="54">
        <f>+(30400*5.35%)+30400</f>
        <v>32026.400000000001</v>
      </c>
      <c r="I149" s="54">
        <f t="shared" si="79"/>
        <v>1281056</v>
      </c>
      <c r="J149" s="54">
        <f>+(26085*5.35%)+26085</f>
        <v>27480.547500000001</v>
      </c>
      <c r="K149" s="54">
        <f t="shared" si="80"/>
        <v>1099221.8999999999</v>
      </c>
      <c r="L149" s="54">
        <f>+(29042*5.35%)+29042</f>
        <v>30595.746999999999</v>
      </c>
      <c r="M149" s="54">
        <f t="shared" si="81"/>
        <v>1223829.8799999999</v>
      </c>
      <c r="N149" s="29">
        <f t="shared" si="82"/>
        <v>30034.231499999998</v>
      </c>
      <c r="O149" s="29">
        <f t="shared" si="83"/>
        <v>1201369.26</v>
      </c>
      <c r="P149" s="29">
        <f t="shared" si="84"/>
        <v>1897.8353424352092</v>
      </c>
      <c r="Q149" s="30">
        <f t="shared" si="85"/>
        <v>6.3189076185791851E-2</v>
      </c>
      <c r="R149" s="29">
        <f t="shared" si="86"/>
        <v>30595.746999999999</v>
      </c>
      <c r="S149" s="29">
        <f t="shared" si="87"/>
        <v>1223829.8799999999</v>
      </c>
      <c r="T149" s="30">
        <f t="shared" si="88"/>
        <v>6.2029384098228071E-2</v>
      </c>
      <c r="U149" s="56" t="s">
        <v>425</v>
      </c>
      <c r="V149" s="56" t="s">
        <v>426</v>
      </c>
      <c r="W149" s="56" t="s">
        <v>117</v>
      </c>
    </row>
    <row r="150" spans="1:23" ht="33.75" customHeight="1">
      <c r="A150" s="49">
        <v>134</v>
      </c>
      <c r="B150" s="61" t="s">
        <v>427</v>
      </c>
      <c r="C150" s="62" t="s">
        <v>428</v>
      </c>
      <c r="D150" s="101">
        <v>4</v>
      </c>
      <c r="E150" s="56" t="s">
        <v>41</v>
      </c>
      <c r="F150" s="56">
        <v>1</v>
      </c>
      <c r="G150" s="56" t="s">
        <v>104</v>
      </c>
      <c r="H150" s="54">
        <f>+(36900*100)/119</f>
        <v>31008.403361344539</v>
      </c>
      <c r="I150" s="54">
        <f t="shared" si="79"/>
        <v>124033.61344537816</v>
      </c>
      <c r="J150" s="54">
        <f>+(29970*100)/119</f>
        <v>25184.873949579833</v>
      </c>
      <c r="K150" s="54">
        <f t="shared" si="80"/>
        <v>100739.49579831933</v>
      </c>
      <c r="L150" s="54">
        <f>+(27900*100)/119</f>
        <v>23445.378151260506</v>
      </c>
      <c r="M150" s="54">
        <f t="shared" si="81"/>
        <v>93781.512605042022</v>
      </c>
      <c r="N150" s="29">
        <f t="shared" si="82"/>
        <v>26546.218487394959</v>
      </c>
      <c r="O150" s="29">
        <f t="shared" si="83"/>
        <v>106184.87394957984</v>
      </c>
      <c r="P150" s="29">
        <f t="shared" si="84"/>
        <v>3234.1698363022483</v>
      </c>
      <c r="Q150" s="30">
        <f t="shared" si="85"/>
        <v>0.12183165891736863</v>
      </c>
      <c r="R150" s="29">
        <f t="shared" si="86"/>
        <v>25184.873949579833</v>
      </c>
      <c r="S150" s="29">
        <f t="shared" si="87"/>
        <v>100739.49579831933</v>
      </c>
      <c r="T150" s="30">
        <f t="shared" si="88"/>
        <v>0.12841715399398315</v>
      </c>
      <c r="U150" s="168" t="s">
        <v>429</v>
      </c>
      <c r="V150" s="169" t="s">
        <v>430</v>
      </c>
      <c r="W150" s="169" t="s">
        <v>431</v>
      </c>
    </row>
    <row r="151" spans="1:23" ht="29.25" customHeight="1">
      <c r="A151" s="49">
        <v>135</v>
      </c>
      <c r="B151" s="61" t="s">
        <v>432</v>
      </c>
      <c r="C151" s="62" t="s">
        <v>127</v>
      </c>
      <c r="D151" s="115">
        <v>700</v>
      </c>
      <c r="E151" s="56" t="s">
        <v>41</v>
      </c>
      <c r="F151" s="56">
        <v>1</v>
      </c>
      <c r="G151" s="56" t="s">
        <v>104</v>
      </c>
      <c r="H151" s="54">
        <v>1345</v>
      </c>
      <c r="I151" s="54">
        <f t="shared" si="79"/>
        <v>941500</v>
      </c>
      <c r="J151" s="54">
        <v>1933</v>
      </c>
      <c r="K151" s="54">
        <f t="shared" si="80"/>
        <v>1353100</v>
      </c>
      <c r="L151" s="54">
        <v>1765</v>
      </c>
      <c r="M151" s="54">
        <f t="shared" si="81"/>
        <v>1235500</v>
      </c>
      <c r="N151" s="29">
        <f t="shared" si="82"/>
        <v>1681</v>
      </c>
      <c r="O151" s="29">
        <f t="shared" si="83"/>
        <v>1176700</v>
      </c>
      <c r="P151" s="29">
        <f t="shared" si="84"/>
        <v>247.28930425717971</v>
      </c>
      <c r="Q151" s="30">
        <f t="shared" si="85"/>
        <v>0.14710844988529428</v>
      </c>
      <c r="R151" s="29">
        <f t="shared" si="86"/>
        <v>1765</v>
      </c>
      <c r="S151" s="29">
        <f t="shared" si="87"/>
        <v>1235500</v>
      </c>
      <c r="T151" s="30">
        <f t="shared" si="88"/>
        <v>0.14010725453664571</v>
      </c>
      <c r="U151" s="68" t="s">
        <v>128</v>
      </c>
      <c r="V151" s="69" t="s">
        <v>129</v>
      </c>
      <c r="W151" s="69" t="s">
        <v>130</v>
      </c>
    </row>
    <row r="152" spans="1:23" ht="29.25" customHeight="1">
      <c r="A152" s="49">
        <v>136</v>
      </c>
      <c r="B152" s="61" t="s">
        <v>433</v>
      </c>
      <c r="C152" s="62" t="s">
        <v>434</v>
      </c>
      <c r="D152" s="101">
        <v>3</v>
      </c>
      <c r="E152" s="56" t="s">
        <v>41</v>
      </c>
      <c r="F152" s="56">
        <v>1</v>
      </c>
      <c r="G152" s="56" t="s">
        <v>104</v>
      </c>
      <c r="H152" s="54">
        <f>+(109900*100)/119</f>
        <v>92352.941176470587</v>
      </c>
      <c r="I152" s="54">
        <f t="shared" si="79"/>
        <v>277058.82352941175</v>
      </c>
      <c r="J152" s="54">
        <f>+(95000*100)/119</f>
        <v>79831.932773109249</v>
      </c>
      <c r="K152" s="54">
        <f t="shared" si="80"/>
        <v>239495.79831932776</v>
      </c>
      <c r="L152" s="54">
        <f>+(119900*100)/119</f>
        <v>100756.3025210084</v>
      </c>
      <c r="M152" s="54">
        <f t="shared" si="81"/>
        <v>302268.90756302519</v>
      </c>
      <c r="N152" s="29">
        <f t="shared" si="82"/>
        <v>90980.392156862756</v>
      </c>
      <c r="O152" s="29">
        <f t="shared" si="83"/>
        <v>272941.17647058825</v>
      </c>
      <c r="P152" s="29">
        <f t="shared" si="84"/>
        <v>8597.2953283816387</v>
      </c>
      <c r="Q152" s="30">
        <f t="shared" si="85"/>
        <v>9.4496133997298171E-2</v>
      </c>
      <c r="R152" s="29">
        <f t="shared" si="86"/>
        <v>92352.941176470587</v>
      </c>
      <c r="S152" s="29">
        <f t="shared" si="87"/>
        <v>277058.82352941175</v>
      </c>
      <c r="T152" s="30">
        <f t="shared" si="88"/>
        <v>9.3091732855087803E-2</v>
      </c>
      <c r="U152" s="56" t="s">
        <v>435</v>
      </c>
      <c r="V152" s="56" t="s">
        <v>436</v>
      </c>
      <c r="W152" s="56" t="s">
        <v>437</v>
      </c>
    </row>
    <row r="153" spans="1:23" ht="72.75" customHeight="1">
      <c r="A153" s="49">
        <v>137</v>
      </c>
      <c r="B153" s="170" t="s">
        <v>113</v>
      </c>
      <c r="C153" s="67" t="s">
        <v>438</v>
      </c>
      <c r="D153" s="115">
        <v>0</v>
      </c>
      <c r="E153" s="56" t="s">
        <v>41</v>
      </c>
      <c r="F153" s="56">
        <v>1</v>
      </c>
      <c r="G153" s="56" t="s">
        <v>104</v>
      </c>
      <c r="H153" s="54">
        <f>+(3325000*5.35%)+3325000</f>
        <v>3502887.5</v>
      </c>
      <c r="I153" s="54">
        <f t="shared" si="79"/>
        <v>0</v>
      </c>
      <c r="J153" s="54">
        <f>+(3395000*5.35%)+3395000</f>
        <v>3576632.5</v>
      </c>
      <c r="K153" s="54">
        <f t="shared" si="80"/>
        <v>0</v>
      </c>
      <c r="L153" s="54">
        <f>+(3780000*5.35%)+3780000</f>
        <v>3982230</v>
      </c>
      <c r="M153" s="54">
        <f t="shared" si="81"/>
        <v>0</v>
      </c>
      <c r="N153" s="29">
        <f t="shared" si="82"/>
        <v>3687250</v>
      </c>
      <c r="O153" s="29">
        <f t="shared" si="83"/>
        <v>0</v>
      </c>
      <c r="P153" s="29">
        <f t="shared" si="84"/>
        <v>210743.89126180304</v>
      </c>
      <c r="Q153" s="30">
        <f t="shared" si="85"/>
        <v>5.7154760664940824E-2</v>
      </c>
      <c r="R153" s="29">
        <f t="shared" si="86"/>
        <v>3576632.5</v>
      </c>
      <c r="S153" s="29">
        <f t="shared" si="87"/>
        <v>0</v>
      </c>
      <c r="T153" s="30">
        <f t="shared" si="88"/>
        <v>5.8922433675196721E-2</v>
      </c>
      <c r="U153" s="68" t="s">
        <v>115</v>
      </c>
      <c r="V153" s="69" t="s">
        <v>116</v>
      </c>
      <c r="W153" s="69" t="s">
        <v>117</v>
      </c>
    </row>
    <row r="154" spans="1:23" ht="29.25" customHeight="1">
      <c r="A154" s="49">
        <v>138</v>
      </c>
      <c r="B154" s="171" t="s">
        <v>439</v>
      </c>
      <c r="C154" s="62" t="s">
        <v>440</v>
      </c>
      <c r="D154" s="101">
        <v>2</v>
      </c>
      <c r="E154" s="56" t="s">
        <v>41</v>
      </c>
      <c r="F154" s="56">
        <v>1</v>
      </c>
      <c r="G154" s="56" t="s">
        <v>104</v>
      </c>
      <c r="H154" s="54">
        <f>+(249900*100)/119</f>
        <v>210000</v>
      </c>
      <c r="I154" s="54">
        <f t="shared" si="79"/>
        <v>420000</v>
      </c>
      <c r="J154" s="54">
        <f>+(249900*100)/119</f>
        <v>210000</v>
      </c>
      <c r="K154" s="63">
        <f t="shared" si="80"/>
        <v>420000</v>
      </c>
      <c r="L154" s="102">
        <f>+(128900*100)/119</f>
        <v>108319.32773109243</v>
      </c>
      <c r="M154" s="63">
        <f t="shared" si="81"/>
        <v>216638.65546218486</v>
      </c>
      <c r="N154" s="29">
        <f t="shared" si="82"/>
        <v>176106.44257703083</v>
      </c>
      <c r="O154" s="29">
        <f t="shared" si="83"/>
        <v>352212.88515406166</v>
      </c>
      <c r="P154" s="29">
        <f t="shared" si="84"/>
        <v>47932.728584634286</v>
      </c>
      <c r="Q154" s="30">
        <f t="shared" si="85"/>
        <v>0.27218043748551674</v>
      </c>
      <c r="R154" s="29">
        <f t="shared" si="86"/>
        <v>210000</v>
      </c>
      <c r="S154" s="29">
        <f t="shared" si="87"/>
        <v>420000</v>
      </c>
      <c r="T154" s="30">
        <f t="shared" si="88"/>
        <v>0.22825108849825851</v>
      </c>
      <c r="U154" s="56" t="s">
        <v>287</v>
      </c>
      <c r="V154" s="56" t="s">
        <v>435</v>
      </c>
      <c r="W154" s="56" t="s">
        <v>441</v>
      </c>
    </row>
    <row r="155" spans="1:23" ht="46.5" customHeight="1">
      <c r="A155" s="49">
        <v>139</v>
      </c>
      <c r="B155" s="61" t="s">
        <v>442</v>
      </c>
      <c r="C155" s="62" t="s">
        <v>443</v>
      </c>
      <c r="D155" s="101">
        <v>2</v>
      </c>
      <c r="E155" s="56" t="s">
        <v>41</v>
      </c>
      <c r="F155" s="56">
        <v>1</v>
      </c>
      <c r="G155" s="56" t="s">
        <v>104</v>
      </c>
      <c r="H155" s="54">
        <f>+(590000*100)/119</f>
        <v>495798.31932773109</v>
      </c>
      <c r="I155" s="54">
        <f t="shared" si="79"/>
        <v>991596.63865546219</v>
      </c>
      <c r="J155" s="54">
        <f>+(500000*100)/119</f>
        <v>420168.06722689077</v>
      </c>
      <c r="K155" s="54">
        <f t="shared" si="80"/>
        <v>840336.13445378153</v>
      </c>
      <c r="L155" s="54">
        <f>+(490000*100)/119</f>
        <v>411764.70588235295</v>
      </c>
      <c r="M155" s="54">
        <f t="shared" si="81"/>
        <v>823529.4117647059</v>
      </c>
      <c r="N155" s="29">
        <f t="shared" si="82"/>
        <v>442577.03081232496</v>
      </c>
      <c r="O155" s="29">
        <f t="shared" si="83"/>
        <v>885154.06162464991</v>
      </c>
      <c r="P155" s="29">
        <f t="shared" si="84"/>
        <v>37789.180849389471</v>
      </c>
      <c r="Q155" s="30">
        <f t="shared" si="85"/>
        <v>8.5384414957164811E-2</v>
      </c>
      <c r="R155" s="29">
        <f t="shared" si="86"/>
        <v>420168.06722689077</v>
      </c>
      <c r="S155" s="29">
        <f t="shared" si="87"/>
        <v>840336.13445378153</v>
      </c>
      <c r="T155" s="30">
        <f t="shared" si="88"/>
        <v>8.9938250421546934E-2</v>
      </c>
      <c r="U155" s="56" t="s">
        <v>444</v>
      </c>
      <c r="V155" s="49" t="s">
        <v>253</v>
      </c>
      <c r="W155" s="172" t="s">
        <v>445</v>
      </c>
    </row>
    <row r="156" spans="1:23" ht="57.75" customHeight="1">
      <c r="A156" s="49">
        <v>140</v>
      </c>
      <c r="B156" s="61" t="s">
        <v>102</v>
      </c>
      <c r="C156" s="62" t="s">
        <v>318</v>
      </c>
      <c r="D156" s="62">
        <v>1</v>
      </c>
      <c r="E156" s="56" t="s">
        <v>41</v>
      </c>
      <c r="F156" s="33">
        <v>1</v>
      </c>
      <c r="G156" s="56" t="s">
        <v>104</v>
      </c>
      <c r="H156" s="63">
        <v>2180000</v>
      </c>
      <c r="I156" s="63">
        <f t="shared" si="79"/>
        <v>2180000</v>
      </c>
      <c r="J156" s="63">
        <v>3000000</v>
      </c>
      <c r="K156" s="63">
        <f t="shared" si="80"/>
        <v>3000000</v>
      </c>
      <c r="L156" s="64">
        <v>2640000</v>
      </c>
      <c r="M156" s="63">
        <f t="shared" si="81"/>
        <v>2640000</v>
      </c>
      <c r="N156" s="29">
        <f t="shared" si="82"/>
        <v>2606666.6666666665</v>
      </c>
      <c r="O156" s="29">
        <f t="shared" si="83"/>
        <v>2606666.6666666665</v>
      </c>
      <c r="P156" s="29">
        <f t="shared" si="84"/>
        <v>335592.34529741918</v>
      </c>
      <c r="Q156" s="30">
        <f t="shared" si="85"/>
        <v>0.12874386648238589</v>
      </c>
      <c r="R156" s="29">
        <f t="shared" si="86"/>
        <v>2640000</v>
      </c>
      <c r="S156" s="29">
        <f t="shared" si="87"/>
        <v>2640000</v>
      </c>
      <c r="T156" s="30">
        <f t="shared" si="88"/>
        <v>0.12711831261265877</v>
      </c>
      <c r="U156" s="65" t="s">
        <v>105</v>
      </c>
      <c r="V156" s="65" t="s">
        <v>106</v>
      </c>
      <c r="W156" s="65" t="s">
        <v>107</v>
      </c>
    </row>
    <row r="157" spans="1:23" ht="29.25" customHeight="1">
      <c r="A157" s="49">
        <v>141</v>
      </c>
      <c r="B157" s="61" t="s">
        <v>446</v>
      </c>
      <c r="C157" s="62" t="s">
        <v>447</v>
      </c>
      <c r="D157" s="101">
        <v>2</v>
      </c>
      <c r="E157" s="56" t="s">
        <v>41</v>
      </c>
      <c r="F157" s="56">
        <v>1</v>
      </c>
      <c r="G157" s="56" t="s">
        <v>104</v>
      </c>
      <c r="H157" s="54">
        <f>+(200990*100)/119</f>
        <v>168899.15966386555</v>
      </c>
      <c r="I157" s="54">
        <f t="shared" si="79"/>
        <v>337798.31932773109</v>
      </c>
      <c r="J157" s="54">
        <f>+(268000*100)/119</f>
        <v>225210.08403361344</v>
      </c>
      <c r="K157" s="54">
        <f t="shared" si="80"/>
        <v>450420.16806722688</v>
      </c>
      <c r="L157" s="54">
        <f>+(220000*100)/119</f>
        <v>184873.94957983194</v>
      </c>
      <c r="M157" s="54">
        <f t="shared" si="81"/>
        <v>369747.89915966388</v>
      </c>
      <c r="N157" s="29">
        <f t="shared" si="82"/>
        <v>192994.39775910365</v>
      </c>
      <c r="O157" s="29">
        <f t="shared" si="83"/>
        <v>385988.79551820731</v>
      </c>
      <c r="P157" s="29">
        <f t="shared" si="84"/>
        <v>23695.095270513179</v>
      </c>
      <c r="Q157" s="30">
        <f t="shared" si="85"/>
        <v>0.12277607819523076</v>
      </c>
      <c r="R157" s="29">
        <f t="shared" si="86"/>
        <v>184873.94957983194</v>
      </c>
      <c r="S157" s="29">
        <f t="shared" si="87"/>
        <v>369747.89915966388</v>
      </c>
      <c r="T157" s="30">
        <f t="shared" si="88"/>
        <v>0.12816892441777583</v>
      </c>
      <c r="U157" s="56" t="s">
        <v>448</v>
      </c>
      <c r="V157" s="56" t="s">
        <v>449</v>
      </c>
      <c r="W157" s="56" t="s">
        <v>450</v>
      </c>
    </row>
    <row r="158" spans="1:23" ht="57.75" customHeight="1">
      <c r="A158" s="49">
        <v>142</v>
      </c>
      <c r="B158" s="131" t="s">
        <v>304</v>
      </c>
      <c r="C158" s="62" t="s">
        <v>305</v>
      </c>
      <c r="D158" s="137">
        <v>350</v>
      </c>
      <c r="E158" s="56" t="s">
        <v>41</v>
      </c>
      <c r="F158" s="56">
        <v>1</v>
      </c>
      <c r="G158" s="56" t="s">
        <v>104</v>
      </c>
      <c r="H158" s="140">
        <v>14279</v>
      </c>
      <c r="I158" s="54">
        <f t="shared" si="79"/>
        <v>4997650</v>
      </c>
      <c r="J158" s="54">
        <v>17392</v>
      </c>
      <c r="K158" s="54">
        <f t="shared" si="80"/>
        <v>6087200</v>
      </c>
      <c r="L158" s="54">
        <f>+(17000*100)/119</f>
        <v>14285.714285714286</v>
      </c>
      <c r="M158" s="54">
        <f t="shared" si="81"/>
        <v>5000000</v>
      </c>
      <c r="N158" s="29">
        <f t="shared" si="82"/>
        <v>15318.904761904763</v>
      </c>
      <c r="O158" s="29">
        <f t="shared" si="83"/>
        <v>5361616.666666667</v>
      </c>
      <c r="P158" s="29">
        <f t="shared" si="84"/>
        <v>1465.9022636970099</v>
      </c>
      <c r="Q158" s="30">
        <f t="shared" si="85"/>
        <v>9.569236746888285E-2</v>
      </c>
      <c r="R158" s="29">
        <f t="shared" si="86"/>
        <v>14285.714285714286</v>
      </c>
      <c r="S158" s="29">
        <f t="shared" si="87"/>
        <v>5000000</v>
      </c>
      <c r="T158" s="30">
        <f t="shared" si="88"/>
        <v>0.10261315845879068</v>
      </c>
      <c r="U158" s="56" t="s">
        <v>306</v>
      </c>
      <c r="V158" s="56" t="s">
        <v>307</v>
      </c>
      <c r="W158" s="56" t="s">
        <v>308</v>
      </c>
    </row>
    <row r="159" spans="1:23" ht="54.75" customHeight="1">
      <c r="A159" s="49">
        <v>143</v>
      </c>
      <c r="B159" s="61" t="s">
        <v>451</v>
      </c>
      <c r="C159" s="62" t="s">
        <v>452</v>
      </c>
      <c r="D159" s="101">
        <v>6</v>
      </c>
      <c r="E159" s="56" t="s">
        <v>41</v>
      </c>
      <c r="F159" s="56">
        <v>1</v>
      </c>
      <c r="G159" s="56" t="s">
        <v>104</v>
      </c>
      <c r="H159" s="173">
        <f>+(176800*100)/119</f>
        <v>148571.42857142858</v>
      </c>
      <c r="I159" s="54">
        <f t="shared" si="79"/>
        <v>891428.57142857148</v>
      </c>
      <c r="J159" s="174">
        <v>150000</v>
      </c>
      <c r="K159" s="54">
        <f t="shared" si="80"/>
        <v>900000</v>
      </c>
      <c r="L159" s="173">
        <f>+(170000*100)/119</f>
        <v>142857.14285714287</v>
      </c>
      <c r="M159" s="54">
        <f t="shared" si="81"/>
        <v>857142.85714285728</v>
      </c>
      <c r="N159" s="29">
        <f t="shared" si="82"/>
        <v>147142.85714285716</v>
      </c>
      <c r="O159" s="29">
        <f t="shared" si="83"/>
        <v>882857.14285714296</v>
      </c>
      <c r="P159" s="29">
        <f t="shared" si="84"/>
        <v>3086.0669992418339</v>
      </c>
      <c r="Q159" s="30">
        <f t="shared" si="85"/>
        <v>2.097327086863382E-2</v>
      </c>
      <c r="R159" s="29">
        <f t="shared" si="86"/>
        <v>148571.42857142858</v>
      </c>
      <c r="S159" s="29">
        <f t="shared" si="87"/>
        <v>891428.57142857148</v>
      </c>
      <c r="T159" s="30">
        <f t="shared" si="88"/>
        <v>2.0771604802589265E-2</v>
      </c>
      <c r="U159" s="175" t="s">
        <v>453</v>
      </c>
      <c r="V159" s="176" t="s">
        <v>454</v>
      </c>
      <c r="W159" s="176" t="s">
        <v>455</v>
      </c>
    </row>
    <row r="160" spans="1:23" ht="29.25" customHeight="1">
      <c r="A160" s="49">
        <v>144</v>
      </c>
      <c r="B160" s="61" t="s">
        <v>456</v>
      </c>
      <c r="C160" s="62" t="s">
        <v>457</v>
      </c>
      <c r="D160" s="101">
        <v>6</v>
      </c>
      <c r="E160" s="56" t="s">
        <v>41</v>
      </c>
      <c r="F160" s="56">
        <v>1</v>
      </c>
      <c r="G160" s="56" t="s">
        <v>104</v>
      </c>
      <c r="H160" s="173">
        <f>+(600000*100)/119</f>
        <v>504201.68067226891</v>
      </c>
      <c r="I160" s="54">
        <f t="shared" si="79"/>
        <v>3025210.0840336136</v>
      </c>
      <c r="J160" s="59">
        <f>+(519150*100)/119</f>
        <v>436260.50420168065</v>
      </c>
      <c r="K160" s="54">
        <f t="shared" si="80"/>
        <v>2617563.0252100839</v>
      </c>
      <c r="L160" s="59">
        <f>+(673900*100)/119</f>
        <v>566302.52100840339</v>
      </c>
      <c r="M160" s="63">
        <f t="shared" si="81"/>
        <v>3397815.1260504201</v>
      </c>
      <c r="N160" s="29">
        <f t="shared" si="82"/>
        <v>502254.90196078428</v>
      </c>
      <c r="O160" s="29">
        <f t="shared" si="83"/>
        <v>3013529.4117647056</v>
      </c>
      <c r="P160" s="29">
        <f t="shared" si="84"/>
        <v>53107.275046542738</v>
      </c>
      <c r="Q160" s="30">
        <f t="shared" si="85"/>
        <v>0.10573769382680773</v>
      </c>
      <c r="R160" s="29">
        <f t="shared" si="86"/>
        <v>504201.68067226891</v>
      </c>
      <c r="S160" s="29">
        <f t="shared" si="87"/>
        <v>3025210.0840336136</v>
      </c>
      <c r="T160" s="30">
        <f t="shared" si="88"/>
        <v>0.10532942884230977</v>
      </c>
      <c r="U160" s="56" t="s">
        <v>301</v>
      </c>
      <c r="V160" s="56" t="s">
        <v>458</v>
      </c>
      <c r="W160" s="56" t="s">
        <v>459</v>
      </c>
    </row>
    <row r="161" spans="1:25" ht="29.25" customHeight="1">
      <c r="A161" s="49">
        <v>145</v>
      </c>
      <c r="B161" s="61" t="s">
        <v>460</v>
      </c>
      <c r="C161" s="62" t="s">
        <v>461</v>
      </c>
      <c r="D161" s="115">
        <v>350</v>
      </c>
      <c r="E161" s="56" t="s">
        <v>41</v>
      </c>
      <c r="F161" s="56">
        <v>1</v>
      </c>
      <c r="G161" s="56" t="s">
        <v>104</v>
      </c>
      <c r="H161" s="174">
        <v>1700</v>
      </c>
      <c r="I161" s="54">
        <f t="shared" si="79"/>
        <v>595000</v>
      </c>
      <c r="J161" s="174">
        <f>+(2000*100)/119</f>
        <v>1680.672268907563</v>
      </c>
      <c r="K161" s="54">
        <f t="shared" si="80"/>
        <v>588235.29411764699</v>
      </c>
      <c r="L161" s="174">
        <v>1800</v>
      </c>
      <c r="M161" s="54">
        <f t="shared" si="81"/>
        <v>630000</v>
      </c>
      <c r="N161" s="29">
        <f t="shared" si="82"/>
        <v>1726.8907563025211</v>
      </c>
      <c r="O161" s="29">
        <f t="shared" si="83"/>
        <v>604411.76470588241</v>
      </c>
      <c r="P161" s="29">
        <f t="shared" si="84"/>
        <v>52.294750742360499</v>
      </c>
      <c r="Q161" s="30">
        <f t="shared" si="85"/>
        <v>3.0282605052753767E-2</v>
      </c>
      <c r="R161" s="29">
        <f t="shared" si="86"/>
        <v>1700</v>
      </c>
      <c r="S161" s="29">
        <f t="shared" si="87"/>
        <v>595000</v>
      </c>
      <c r="T161" s="30">
        <f t="shared" si="88"/>
        <v>3.076161808374147E-2</v>
      </c>
      <c r="U161" s="121" t="s">
        <v>462</v>
      </c>
      <c r="V161" s="121" t="s">
        <v>301</v>
      </c>
      <c r="W161" s="121" t="s">
        <v>463</v>
      </c>
    </row>
    <row r="162" spans="1:25" ht="329.25" customHeight="1">
      <c r="A162" s="49">
        <v>146</v>
      </c>
      <c r="B162" s="50" t="s">
        <v>464</v>
      </c>
      <c r="C162" s="50" t="s">
        <v>465</v>
      </c>
      <c r="D162" s="114">
        <v>1</v>
      </c>
      <c r="E162" s="52" t="s">
        <v>466</v>
      </c>
      <c r="F162" s="52">
        <v>1</v>
      </c>
      <c r="G162" s="52" t="s">
        <v>104</v>
      </c>
      <c r="H162" s="53">
        <v>12000000</v>
      </c>
      <c r="I162" s="149">
        <f t="shared" si="79"/>
        <v>12000000</v>
      </c>
      <c r="J162" s="54"/>
      <c r="K162" s="54"/>
      <c r="L162" s="54"/>
      <c r="M162" s="54"/>
      <c r="N162" s="29">
        <f t="shared" si="82"/>
        <v>12000000</v>
      </c>
      <c r="O162" s="29">
        <f t="shared" si="83"/>
        <v>12000000</v>
      </c>
      <c r="P162" s="29">
        <f t="shared" si="84"/>
        <v>0</v>
      </c>
      <c r="Q162" s="30">
        <f t="shared" si="85"/>
        <v>0</v>
      </c>
      <c r="R162" s="29">
        <f t="shared" si="86"/>
        <v>12000000</v>
      </c>
      <c r="S162" s="29">
        <f t="shared" si="87"/>
        <v>12000000</v>
      </c>
      <c r="T162" s="30">
        <f t="shared" si="88"/>
        <v>0</v>
      </c>
      <c r="U162" s="56" t="s">
        <v>340</v>
      </c>
      <c r="V162" s="56"/>
      <c r="W162" s="56"/>
      <c r="X162" t="s">
        <v>60</v>
      </c>
      <c r="Y162" t="s">
        <v>61</v>
      </c>
    </row>
    <row r="163" spans="1:25" ht="61.5" customHeight="1">
      <c r="A163" s="49">
        <v>130</v>
      </c>
      <c r="B163" s="138" t="s">
        <v>467</v>
      </c>
      <c r="C163" s="62" t="s">
        <v>468</v>
      </c>
      <c r="D163" s="115">
        <v>350</v>
      </c>
      <c r="E163" s="56" t="s">
        <v>41</v>
      </c>
      <c r="F163" s="56">
        <v>1</v>
      </c>
      <c r="G163" s="56" t="s">
        <v>104</v>
      </c>
      <c r="H163" s="54">
        <v>193</v>
      </c>
      <c r="I163" s="54">
        <f t="shared" si="79"/>
        <v>67550</v>
      </c>
      <c r="J163" s="54">
        <v>200</v>
      </c>
      <c r="K163" s="54">
        <f>+J163*F163*D163</f>
        <v>70000</v>
      </c>
      <c r="L163" s="103">
        <f>+(250*100)/119</f>
        <v>210.08403361344537</v>
      </c>
      <c r="M163" s="54">
        <f>+L163*F163*D163</f>
        <v>73529.411764705874</v>
      </c>
      <c r="N163" s="29">
        <f t="shared" si="82"/>
        <v>201.0280112044818</v>
      </c>
      <c r="O163" s="29">
        <f t="shared" si="83"/>
        <v>70359.803921568629</v>
      </c>
      <c r="P163" s="29">
        <f t="shared" si="84"/>
        <v>7.0123061543611982</v>
      </c>
      <c r="Q163" s="30">
        <f t="shared" si="85"/>
        <v>3.4882234134169569E-2</v>
      </c>
      <c r="R163" s="29">
        <f t="shared" si="86"/>
        <v>200</v>
      </c>
      <c r="S163" s="29">
        <f t="shared" si="87"/>
        <v>70000</v>
      </c>
      <c r="T163" s="30">
        <f t="shared" si="88"/>
        <v>3.5061530771805988E-2</v>
      </c>
      <c r="U163" s="68" t="s">
        <v>469</v>
      </c>
      <c r="V163" s="69" t="s">
        <v>470</v>
      </c>
      <c r="W163" s="69" t="s">
        <v>301</v>
      </c>
      <c r="X163" s="40">
        <f>SUM(O124:O163)</f>
        <v>54557587.422340333</v>
      </c>
      <c r="Y163" s="40">
        <f>SUM(S124:S163)</f>
        <v>54245838.832147062</v>
      </c>
    </row>
    <row r="164" spans="1:25" ht="54" customHeight="1">
      <c r="A164" s="307" t="s">
        <v>471</v>
      </c>
      <c r="B164" s="307"/>
      <c r="C164" s="307"/>
      <c r="D164" s="307"/>
      <c r="E164" s="307"/>
      <c r="F164" s="307"/>
      <c r="G164" s="307"/>
      <c r="H164" s="307"/>
      <c r="I164" s="307"/>
      <c r="J164" s="307"/>
      <c r="K164" s="307"/>
      <c r="L164" s="307"/>
      <c r="M164" s="307"/>
      <c r="N164" s="307"/>
      <c r="O164" s="307"/>
      <c r="P164" s="307"/>
      <c r="Q164" s="307"/>
      <c r="R164" s="307"/>
      <c r="S164" s="307"/>
      <c r="T164" s="307"/>
      <c r="U164" s="307"/>
      <c r="V164" s="307"/>
      <c r="W164" s="307"/>
    </row>
    <row r="165" spans="1:25" s="159" customFormat="1" ht="26.25" customHeight="1">
      <c r="A165" s="296" t="s">
        <v>367</v>
      </c>
      <c r="B165" s="296"/>
      <c r="C165" s="296"/>
      <c r="D165" s="296"/>
      <c r="E165" s="296"/>
      <c r="F165" s="296"/>
      <c r="G165" s="296"/>
      <c r="H165" s="296"/>
      <c r="I165" s="296"/>
      <c r="J165" s="296"/>
      <c r="K165" s="296"/>
      <c r="L165" s="296"/>
      <c r="M165" s="296"/>
      <c r="N165" s="296"/>
      <c r="O165" s="296"/>
      <c r="P165" s="296"/>
      <c r="Q165" s="296"/>
      <c r="R165" s="296"/>
      <c r="S165" s="296"/>
      <c r="T165" s="296"/>
      <c r="U165" s="296"/>
      <c r="V165" s="296"/>
      <c r="W165" s="296"/>
    </row>
    <row r="166" spans="1:25" ht="57.75" customHeight="1">
      <c r="A166" s="49">
        <v>131</v>
      </c>
      <c r="B166" s="61" t="s">
        <v>200</v>
      </c>
      <c r="C166" s="62" t="s">
        <v>472</v>
      </c>
      <c r="D166" s="101">
        <v>1</v>
      </c>
      <c r="E166" s="56" t="s">
        <v>71</v>
      </c>
      <c r="F166" s="56">
        <v>2</v>
      </c>
      <c r="G166" s="56" t="s">
        <v>104</v>
      </c>
      <c r="H166" s="71">
        <f>5114001/30</f>
        <v>170466.7</v>
      </c>
      <c r="I166" s="54">
        <f t="shared" ref="I166:I179" si="89">+H166*F166*D166</f>
        <v>340933.4</v>
      </c>
      <c r="J166" s="71"/>
      <c r="K166" s="54"/>
      <c r="L166" s="71"/>
      <c r="M166" s="54"/>
      <c r="N166" s="29">
        <f t="shared" ref="N166:N179" si="90">+AVERAGE(H166,J166,L166)</f>
        <v>170466.7</v>
      </c>
      <c r="O166" s="29">
        <f t="shared" ref="O166:O179" si="91">+N166*D166*F166</f>
        <v>340933.4</v>
      </c>
      <c r="P166" s="29">
        <f t="shared" ref="P166:P179" si="92">+_xlfn.STDEV.P(H166,J166,L166)</f>
        <v>0</v>
      </c>
      <c r="Q166" s="30">
        <f t="shared" ref="Q166:Q179" si="93">+P166/N166</f>
        <v>0</v>
      </c>
      <c r="R166" s="29">
        <f t="shared" ref="R166:R179" si="94">+MEDIAN(H166,J166,L166)</f>
        <v>170466.7</v>
      </c>
      <c r="S166" s="29">
        <f t="shared" ref="S166:S179" si="95">+R166*D166*F166</f>
        <v>340933.4</v>
      </c>
      <c r="T166" s="30">
        <f t="shared" ref="T166:T179" si="96">+P166/R166</f>
        <v>0</v>
      </c>
      <c r="U166" s="55" t="s">
        <v>43</v>
      </c>
      <c r="V166" s="89"/>
      <c r="W166" s="56"/>
    </row>
    <row r="167" spans="1:25" ht="57.75" customHeight="1">
      <c r="A167" s="49">
        <v>132</v>
      </c>
      <c r="B167" s="61" t="s">
        <v>473</v>
      </c>
      <c r="C167" s="62" t="s">
        <v>474</v>
      </c>
      <c r="D167" s="101">
        <v>1</v>
      </c>
      <c r="E167" s="56" t="s">
        <v>71</v>
      </c>
      <c r="F167" s="56">
        <v>2</v>
      </c>
      <c r="G167" s="56" t="s">
        <v>104</v>
      </c>
      <c r="H167" s="71">
        <f>5114001/30</f>
        <v>170466.7</v>
      </c>
      <c r="I167" s="54">
        <f t="shared" si="89"/>
        <v>340933.4</v>
      </c>
      <c r="J167" s="54"/>
      <c r="K167" s="54"/>
      <c r="L167" s="54"/>
      <c r="M167" s="54"/>
      <c r="N167" s="29">
        <f t="shared" si="90"/>
        <v>170466.7</v>
      </c>
      <c r="O167" s="29">
        <f t="shared" si="91"/>
        <v>340933.4</v>
      </c>
      <c r="P167" s="29">
        <f t="shared" si="92"/>
        <v>0</v>
      </c>
      <c r="Q167" s="30">
        <f t="shared" si="93"/>
        <v>0</v>
      </c>
      <c r="R167" s="29">
        <f t="shared" si="94"/>
        <v>170466.7</v>
      </c>
      <c r="S167" s="29">
        <f t="shared" si="95"/>
        <v>340933.4</v>
      </c>
      <c r="T167" s="30">
        <f t="shared" si="96"/>
        <v>0</v>
      </c>
      <c r="U167" s="55" t="s">
        <v>43</v>
      </c>
      <c r="V167" s="56"/>
      <c r="W167" s="56"/>
    </row>
    <row r="168" spans="1:25" ht="57.75" customHeight="1">
      <c r="A168" s="49">
        <v>133</v>
      </c>
      <c r="B168" s="61" t="s">
        <v>475</v>
      </c>
      <c r="C168" s="62" t="s">
        <v>476</v>
      </c>
      <c r="D168" s="101">
        <v>1</v>
      </c>
      <c r="E168" s="56" t="s">
        <v>71</v>
      </c>
      <c r="F168" s="56">
        <v>2</v>
      </c>
      <c r="G168" s="56" t="s">
        <v>104</v>
      </c>
      <c r="H168" s="54">
        <f>3224001/30</f>
        <v>107466.7</v>
      </c>
      <c r="I168" s="54">
        <f t="shared" si="89"/>
        <v>214933.4</v>
      </c>
      <c r="J168" s="54"/>
      <c r="K168" s="54"/>
      <c r="L168" s="54"/>
      <c r="M168" s="54"/>
      <c r="N168" s="29">
        <f t="shared" si="90"/>
        <v>107466.7</v>
      </c>
      <c r="O168" s="29">
        <f t="shared" si="91"/>
        <v>214933.4</v>
      </c>
      <c r="P168" s="29">
        <f t="shared" si="92"/>
        <v>0</v>
      </c>
      <c r="Q168" s="30">
        <f t="shared" si="93"/>
        <v>0</v>
      </c>
      <c r="R168" s="29">
        <f t="shared" si="94"/>
        <v>107466.7</v>
      </c>
      <c r="S168" s="29">
        <f t="shared" si="95"/>
        <v>214933.4</v>
      </c>
      <c r="T168" s="30">
        <f t="shared" si="96"/>
        <v>0</v>
      </c>
      <c r="U168" s="55" t="s">
        <v>43</v>
      </c>
      <c r="V168" s="56"/>
      <c r="W168" s="56"/>
    </row>
    <row r="169" spans="1:25" ht="57.75" customHeight="1">
      <c r="A169" s="49">
        <v>134</v>
      </c>
      <c r="B169" s="61" t="s">
        <v>477</v>
      </c>
      <c r="C169" s="62" t="s">
        <v>478</v>
      </c>
      <c r="D169" s="101">
        <v>4</v>
      </c>
      <c r="E169" s="56" t="s">
        <v>71</v>
      </c>
      <c r="F169" s="56">
        <v>2</v>
      </c>
      <c r="G169" s="56" t="s">
        <v>104</v>
      </c>
      <c r="H169" s="54">
        <f>3224001/30</f>
        <v>107466.7</v>
      </c>
      <c r="I169" s="54">
        <f t="shared" si="89"/>
        <v>859733.6</v>
      </c>
      <c r="J169" s="54"/>
      <c r="K169" s="54"/>
      <c r="L169" s="54"/>
      <c r="M169" s="54"/>
      <c r="N169" s="29">
        <f t="shared" si="90"/>
        <v>107466.7</v>
      </c>
      <c r="O169" s="29">
        <f t="shared" si="91"/>
        <v>859733.6</v>
      </c>
      <c r="P169" s="29">
        <f t="shared" si="92"/>
        <v>0</v>
      </c>
      <c r="Q169" s="30">
        <f t="shared" si="93"/>
        <v>0</v>
      </c>
      <c r="R169" s="29">
        <f t="shared" si="94"/>
        <v>107466.7</v>
      </c>
      <c r="S169" s="29">
        <f t="shared" si="95"/>
        <v>859733.6</v>
      </c>
      <c r="T169" s="30">
        <f t="shared" si="96"/>
        <v>0</v>
      </c>
      <c r="U169" s="55" t="s">
        <v>43</v>
      </c>
      <c r="V169" s="56"/>
      <c r="W169" s="56"/>
    </row>
    <row r="170" spans="1:25" ht="57.75" customHeight="1">
      <c r="A170" s="49">
        <v>135</v>
      </c>
      <c r="B170" s="61" t="s">
        <v>372</v>
      </c>
      <c r="C170" s="62" t="s">
        <v>479</v>
      </c>
      <c r="D170" s="115">
        <v>14</v>
      </c>
      <c r="E170" s="56" t="s">
        <v>71</v>
      </c>
      <c r="F170" s="56">
        <v>2</v>
      </c>
      <c r="G170" s="56" t="s">
        <v>104</v>
      </c>
      <c r="H170" s="54">
        <f>3224001/30</f>
        <v>107466.7</v>
      </c>
      <c r="I170" s="54">
        <f t="shared" si="89"/>
        <v>3009067.6</v>
      </c>
      <c r="J170" s="54"/>
      <c r="K170" s="54"/>
      <c r="L170" s="54"/>
      <c r="M170" s="54"/>
      <c r="N170" s="29">
        <f t="shared" si="90"/>
        <v>107466.7</v>
      </c>
      <c r="O170" s="29">
        <f t="shared" si="91"/>
        <v>3009067.6</v>
      </c>
      <c r="P170" s="29">
        <f t="shared" si="92"/>
        <v>0</v>
      </c>
      <c r="Q170" s="30">
        <f t="shared" si="93"/>
        <v>0</v>
      </c>
      <c r="R170" s="29">
        <f t="shared" si="94"/>
        <v>107466.7</v>
      </c>
      <c r="S170" s="29">
        <f t="shared" si="95"/>
        <v>3009067.6</v>
      </c>
      <c r="T170" s="30">
        <f t="shared" si="96"/>
        <v>0</v>
      </c>
      <c r="U170" s="55" t="s">
        <v>43</v>
      </c>
      <c r="V170" s="56"/>
      <c r="W170" s="56"/>
    </row>
    <row r="171" spans="1:25" ht="57.75" customHeight="1">
      <c r="A171" s="49">
        <v>136</v>
      </c>
      <c r="B171" s="61" t="s">
        <v>480</v>
      </c>
      <c r="C171" s="62" t="s">
        <v>481</v>
      </c>
      <c r="D171" s="101">
        <v>8</v>
      </c>
      <c r="E171" s="56" t="s">
        <v>71</v>
      </c>
      <c r="F171" s="56">
        <v>2</v>
      </c>
      <c r="G171" s="56" t="s">
        <v>104</v>
      </c>
      <c r="H171" s="54">
        <f>3095001/30</f>
        <v>103166.7</v>
      </c>
      <c r="I171" s="54">
        <f t="shared" si="89"/>
        <v>1650667.2</v>
      </c>
      <c r="J171" s="54"/>
      <c r="K171" s="54"/>
      <c r="L171" s="54"/>
      <c r="M171" s="54"/>
      <c r="N171" s="29">
        <f t="shared" si="90"/>
        <v>103166.7</v>
      </c>
      <c r="O171" s="29">
        <f t="shared" si="91"/>
        <v>1650667.2</v>
      </c>
      <c r="P171" s="29">
        <f t="shared" si="92"/>
        <v>0</v>
      </c>
      <c r="Q171" s="30">
        <f t="shared" si="93"/>
        <v>0</v>
      </c>
      <c r="R171" s="29">
        <f t="shared" si="94"/>
        <v>103166.7</v>
      </c>
      <c r="S171" s="29">
        <f t="shared" si="95"/>
        <v>1650667.2</v>
      </c>
      <c r="T171" s="30">
        <f t="shared" si="96"/>
        <v>0</v>
      </c>
      <c r="U171" s="55" t="s">
        <v>43</v>
      </c>
      <c r="V171" s="56"/>
      <c r="W171" s="56"/>
    </row>
    <row r="172" spans="1:25" ht="57.75" customHeight="1">
      <c r="A172" s="49">
        <v>137</v>
      </c>
      <c r="B172" s="61" t="s">
        <v>380</v>
      </c>
      <c r="C172" s="62" t="s">
        <v>482</v>
      </c>
      <c r="D172" s="115">
        <v>6</v>
      </c>
      <c r="E172" s="56" t="s">
        <v>71</v>
      </c>
      <c r="F172" s="56">
        <v>2</v>
      </c>
      <c r="G172" s="56" t="s">
        <v>104</v>
      </c>
      <c r="H172" s="54">
        <f>3095001/30</f>
        <v>103166.7</v>
      </c>
      <c r="I172" s="54">
        <f t="shared" si="89"/>
        <v>1238000.3999999999</v>
      </c>
      <c r="J172" s="54"/>
      <c r="K172" s="54"/>
      <c r="L172" s="54"/>
      <c r="M172" s="54"/>
      <c r="N172" s="29">
        <f t="shared" si="90"/>
        <v>103166.7</v>
      </c>
      <c r="O172" s="29">
        <f t="shared" si="91"/>
        <v>1238000.3999999999</v>
      </c>
      <c r="P172" s="29">
        <f t="shared" si="92"/>
        <v>0</v>
      </c>
      <c r="Q172" s="30">
        <f t="shared" si="93"/>
        <v>0</v>
      </c>
      <c r="R172" s="29">
        <f t="shared" si="94"/>
        <v>103166.7</v>
      </c>
      <c r="S172" s="29">
        <f t="shared" si="95"/>
        <v>1238000.3999999999</v>
      </c>
      <c r="T172" s="30">
        <f t="shared" si="96"/>
        <v>0</v>
      </c>
      <c r="U172" s="55" t="s">
        <v>43</v>
      </c>
      <c r="V172" s="56"/>
      <c r="W172" s="56"/>
    </row>
    <row r="173" spans="1:25" ht="57.75" customHeight="1">
      <c r="A173" s="49">
        <v>138</v>
      </c>
      <c r="B173" s="61" t="s">
        <v>483</v>
      </c>
      <c r="C173" s="62" t="s">
        <v>484</v>
      </c>
      <c r="D173" s="101">
        <v>8</v>
      </c>
      <c r="E173" s="56" t="s">
        <v>71</v>
      </c>
      <c r="F173" s="56">
        <v>2</v>
      </c>
      <c r="G173" s="56" t="s">
        <v>104</v>
      </c>
      <c r="H173" s="71">
        <f>5114001/30</f>
        <v>170466.7</v>
      </c>
      <c r="I173" s="54">
        <f t="shared" si="89"/>
        <v>2727467.2</v>
      </c>
      <c r="J173" s="54"/>
      <c r="K173" s="54"/>
      <c r="L173" s="59"/>
      <c r="M173" s="54"/>
      <c r="N173" s="29">
        <f t="shared" si="90"/>
        <v>170466.7</v>
      </c>
      <c r="O173" s="29">
        <f t="shared" si="91"/>
        <v>2727467.2</v>
      </c>
      <c r="P173" s="29">
        <f t="shared" si="92"/>
        <v>0</v>
      </c>
      <c r="Q173" s="30">
        <f t="shared" si="93"/>
        <v>0</v>
      </c>
      <c r="R173" s="29">
        <f t="shared" si="94"/>
        <v>170466.7</v>
      </c>
      <c r="S173" s="29">
        <f t="shared" si="95"/>
        <v>2727467.2</v>
      </c>
      <c r="T173" s="30">
        <f t="shared" si="96"/>
        <v>0</v>
      </c>
      <c r="U173" s="55" t="s">
        <v>43</v>
      </c>
      <c r="V173" s="56"/>
      <c r="W173" s="56"/>
    </row>
    <row r="174" spans="1:25" ht="57.75" customHeight="1">
      <c r="A174" s="49">
        <v>139</v>
      </c>
      <c r="B174" s="61" t="s">
        <v>485</v>
      </c>
      <c r="C174" s="62" t="s">
        <v>486</v>
      </c>
      <c r="D174" s="101">
        <v>3</v>
      </c>
      <c r="E174" s="56" t="s">
        <v>71</v>
      </c>
      <c r="F174" s="56">
        <v>2</v>
      </c>
      <c r="G174" s="56" t="s">
        <v>104</v>
      </c>
      <c r="H174" s="54">
        <f>3640001/30</f>
        <v>121333.36666666667</v>
      </c>
      <c r="I174" s="54">
        <f t="shared" si="89"/>
        <v>728000.2</v>
      </c>
      <c r="J174" s="54"/>
      <c r="K174" s="54"/>
      <c r="L174" s="54"/>
      <c r="M174" s="54"/>
      <c r="N174" s="29">
        <f t="shared" si="90"/>
        <v>121333.36666666667</v>
      </c>
      <c r="O174" s="29">
        <f t="shared" si="91"/>
        <v>728000.2</v>
      </c>
      <c r="P174" s="29">
        <f t="shared" si="92"/>
        <v>0</v>
      </c>
      <c r="Q174" s="30">
        <f t="shared" si="93"/>
        <v>0</v>
      </c>
      <c r="R174" s="29">
        <f t="shared" si="94"/>
        <v>121333.36666666667</v>
      </c>
      <c r="S174" s="29">
        <f t="shared" si="95"/>
        <v>728000.2</v>
      </c>
      <c r="T174" s="30">
        <f t="shared" si="96"/>
        <v>0</v>
      </c>
      <c r="U174" s="55" t="s">
        <v>43</v>
      </c>
      <c r="V174" s="56"/>
      <c r="W174" s="56"/>
    </row>
    <row r="175" spans="1:25" ht="57.75" customHeight="1">
      <c r="A175" s="49">
        <v>140</v>
      </c>
      <c r="B175" s="61" t="s">
        <v>386</v>
      </c>
      <c r="C175" s="62" t="s">
        <v>487</v>
      </c>
      <c r="D175" s="101">
        <v>1</v>
      </c>
      <c r="E175" s="56" t="s">
        <v>71</v>
      </c>
      <c r="F175" s="56">
        <v>2</v>
      </c>
      <c r="G175" s="56" t="s">
        <v>104</v>
      </c>
      <c r="H175" s="54">
        <f>3095001/30</f>
        <v>103166.7</v>
      </c>
      <c r="I175" s="54">
        <f t="shared" si="89"/>
        <v>206333.4</v>
      </c>
      <c r="J175" s="59"/>
      <c r="K175" s="54"/>
      <c r="L175" s="59"/>
      <c r="M175" s="54"/>
      <c r="N175" s="29">
        <f t="shared" si="90"/>
        <v>103166.7</v>
      </c>
      <c r="O175" s="29">
        <f t="shared" si="91"/>
        <v>206333.4</v>
      </c>
      <c r="P175" s="29">
        <f t="shared" si="92"/>
        <v>0</v>
      </c>
      <c r="Q175" s="30">
        <f t="shared" si="93"/>
        <v>0</v>
      </c>
      <c r="R175" s="29">
        <f t="shared" si="94"/>
        <v>103166.7</v>
      </c>
      <c r="S175" s="29">
        <f t="shared" si="95"/>
        <v>206333.4</v>
      </c>
      <c r="T175" s="30">
        <f t="shared" si="96"/>
        <v>0</v>
      </c>
      <c r="U175" s="55" t="s">
        <v>43</v>
      </c>
      <c r="V175" s="56"/>
      <c r="W175" s="56"/>
    </row>
    <row r="176" spans="1:25" ht="57.75" customHeight="1">
      <c r="A176" s="49">
        <v>141</v>
      </c>
      <c r="B176" s="61" t="s">
        <v>488</v>
      </c>
      <c r="C176" s="62" t="s">
        <v>489</v>
      </c>
      <c r="D176" s="101">
        <v>1</v>
      </c>
      <c r="E176" s="56" t="s">
        <v>71</v>
      </c>
      <c r="F176" s="56">
        <v>2</v>
      </c>
      <c r="G176" s="56" t="s">
        <v>104</v>
      </c>
      <c r="H176" s="54">
        <f>3640001/30</f>
        <v>121333.36666666667</v>
      </c>
      <c r="I176" s="54">
        <f t="shared" si="89"/>
        <v>242666.73333333334</v>
      </c>
      <c r="J176" s="54"/>
      <c r="K176" s="54"/>
      <c r="L176" s="54"/>
      <c r="M176" s="54"/>
      <c r="N176" s="29">
        <f t="shared" si="90"/>
        <v>121333.36666666667</v>
      </c>
      <c r="O176" s="29">
        <f t="shared" si="91"/>
        <v>242666.73333333334</v>
      </c>
      <c r="P176" s="29">
        <f t="shared" si="92"/>
        <v>0</v>
      </c>
      <c r="Q176" s="30">
        <f t="shared" si="93"/>
        <v>0</v>
      </c>
      <c r="R176" s="29">
        <f t="shared" si="94"/>
        <v>121333.36666666667</v>
      </c>
      <c r="S176" s="29">
        <f t="shared" si="95"/>
        <v>242666.73333333334</v>
      </c>
      <c r="T176" s="30">
        <f t="shared" si="96"/>
        <v>0</v>
      </c>
      <c r="U176" s="55" t="s">
        <v>43</v>
      </c>
      <c r="V176" s="56"/>
      <c r="W176" s="56"/>
    </row>
    <row r="177" spans="1:25" ht="57.75" customHeight="1">
      <c r="A177" s="49">
        <v>142</v>
      </c>
      <c r="B177" s="61" t="s">
        <v>490</v>
      </c>
      <c r="C177" s="62" t="s">
        <v>491</v>
      </c>
      <c r="D177" s="101">
        <v>2</v>
      </c>
      <c r="E177" s="56" t="s">
        <v>71</v>
      </c>
      <c r="F177" s="56">
        <v>2</v>
      </c>
      <c r="G177" s="56" t="s">
        <v>104</v>
      </c>
      <c r="H177" s="71">
        <f>5114001/30</f>
        <v>170466.7</v>
      </c>
      <c r="I177" s="54">
        <f t="shared" si="89"/>
        <v>681866.8</v>
      </c>
      <c r="J177" s="59"/>
      <c r="K177" s="54"/>
      <c r="L177" s="59"/>
      <c r="M177" s="54"/>
      <c r="N177" s="29">
        <f t="shared" si="90"/>
        <v>170466.7</v>
      </c>
      <c r="O177" s="29">
        <f t="shared" si="91"/>
        <v>681866.8</v>
      </c>
      <c r="P177" s="29">
        <f t="shared" si="92"/>
        <v>0</v>
      </c>
      <c r="Q177" s="30">
        <f t="shared" si="93"/>
        <v>0</v>
      </c>
      <c r="R177" s="29">
        <f t="shared" si="94"/>
        <v>170466.7</v>
      </c>
      <c r="S177" s="29">
        <f t="shared" si="95"/>
        <v>681866.8</v>
      </c>
      <c r="T177" s="30">
        <f t="shared" si="96"/>
        <v>0</v>
      </c>
      <c r="U177" s="55" t="s">
        <v>43</v>
      </c>
      <c r="V177" s="56"/>
      <c r="W177" s="56"/>
    </row>
    <row r="178" spans="1:25" ht="57.75" customHeight="1">
      <c r="A178" s="49">
        <v>143</v>
      </c>
      <c r="B178" s="61" t="s">
        <v>492</v>
      </c>
      <c r="C178" s="62" t="s">
        <v>493</v>
      </c>
      <c r="D178" s="115">
        <v>4</v>
      </c>
      <c r="E178" s="56" t="s">
        <v>71</v>
      </c>
      <c r="F178" s="56">
        <v>2</v>
      </c>
      <c r="G178" s="56" t="s">
        <v>104</v>
      </c>
      <c r="H178" s="54">
        <f>3640001/30</f>
        <v>121333.36666666667</v>
      </c>
      <c r="I178" s="54">
        <f t="shared" si="89"/>
        <v>970666.93333333335</v>
      </c>
      <c r="J178" s="54"/>
      <c r="K178" s="54"/>
      <c r="L178" s="54"/>
      <c r="M178" s="54"/>
      <c r="N178" s="29">
        <f t="shared" si="90"/>
        <v>121333.36666666667</v>
      </c>
      <c r="O178" s="29">
        <f t="shared" si="91"/>
        <v>970666.93333333335</v>
      </c>
      <c r="P178" s="29">
        <f t="shared" si="92"/>
        <v>0</v>
      </c>
      <c r="Q178" s="30">
        <f t="shared" si="93"/>
        <v>0</v>
      </c>
      <c r="R178" s="29">
        <f t="shared" si="94"/>
        <v>121333.36666666667</v>
      </c>
      <c r="S178" s="29">
        <f t="shared" si="95"/>
        <v>970666.93333333335</v>
      </c>
      <c r="T178" s="30">
        <f t="shared" si="96"/>
        <v>0</v>
      </c>
      <c r="U178" s="55" t="s">
        <v>43</v>
      </c>
      <c r="V178" s="56"/>
      <c r="W178" s="56"/>
      <c r="X178" t="s">
        <v>60</v>
      </c>
      <c r="Y178" t="s">
        <v>61</v>
      </c>
    </row>
    <row r="179" spans="1:25" ht="57.75" customHeight="1">
      <c r="A179" s="49">
        <v>144</v>
      </c>
      <c r="B179" s="61" t="s">
        <v>364</v>
      </c>
      <c r="C179" s="62" t="s">
        <v>494</v>
      </c>
      <c r="D179" s="115">
        <v>14</v>
      </c>
      <c r="E179" s="56" t="s">
        <v>71</v>
      </c>
      <c r="F179" s="56">
        <v>2</v>
      </c>
      <c r="G179" s="56" t="s">
        <v>104</v>
      </c>
      <c r="H179" s="54">
        <f>3640001/30</f>
        <v>121333.36666666667</v>
      </c>
      <c r="I179" s="54">
        <f t="shared" si="89"/>
        <v>3397334.2666666666</v>
      </c>
      <c r="J179" s="54"/>
      <c r="K179" s="54"/>
      <c r="L179" s="54"/>
      <c r="M179" s="54"/>
      <c r="N179" s="29">
        <f t="shared" si="90"/>
        <v>121333.36666666667</v>
      </c>
      <c r="O179" s="29">
        <f t="shared" si="91"/>
        <v>3397334.2666666666</v>
      </c>
      <c r="P179" s="29">
        <f t="shared" si="92"/>
        <v>0</v>
      </c>
      <c r="Q179" s="30">
        <f t="shared" si="93"/>
        <v>0</v>
      </c>
      <c r="R179" s="29">
        <f t="shared" si="94"/>
        <v>121333.36666666667</v>
      </c>
      <c r="S179" s="29">
        <f t="shared" si="95"/>
        <v>3397334.2666666666</v>
      </c>
      <c r="T179" s="30">
        <f t="shared" si="96"/>
        <v>0</v>
      </c>
      <c r="U179" s="55" t="s">
        <v>43</v>
      </c>
      <c r="V179" s="56"/>
      <c r="W179" s="56"/>
      <c r="X179" s="40">
        <f>SUM(O166:O203)</f>
        <v>224639005.58655465</v>
      </c>
      <c r="Y179" s="40">
        <f>SUM(S166:S203)</f>
        <v>219609291.6862745</v>
      </c>
    </row>
    <row r="180" spans="1:25" ht="16.5" customHeight="1">
      <c r="A180" s="308" t="s">
        <v>238</v>
      </c>
      <c r="B180" s="308"/>
      <c r="C180" s="308"/>
      <c r="D180" s="308"/>
      <c r="E180" s="308"/>
      <c r="F180" s="308"/>
      <c r="G180" s="308"/>
      <c r="H180" s="308"/>
      <c r="I180" s="308"/>
      <c r="J180" s="308"/>
      <c r="K180" s="308"/>
      <c r="L180" s="308"/>
      <c r="M180" s="308"/>
      <c r="N180" s="308"/>
      <c r="O180" s="308"/>
      <c r="P180" s="308"/>
      <c r="Q180" s="308"/>
      <c r="R180" s="308"/>
      <c r="S180" s="308"/>
      <c r="T180" s="308"/>
      <c r="U180" s="308"/>
      <c r="V180" s="308"/>
      <c r="W180" s="308"/>
      <c r="X180" s="40"/>
      <c r="Y180" s="40"/>
    </row>
    <row r="181" spans="1:25" s="178" customFormat="1" ht="33.75" customHeight="1">
      <c r="A181" s="177">
        <v>145</v>
      </c>
      <c r="B181" s="126" t="s">
        <v>241</v>
      </c>
      <c r="C181" s="127" t="s">
        <v>242</v>
      </c>
      <c r="D181" s="101">
        <v>5</v>
      </c>
      <c r="E181" s="56" t="s">
        <v>243</v>
      </c>
      <c r="F181" s="56">
        <v>2</v>
      </c>
      <c r="G181" s="56" t="s">
        <v>104</v>
      </c>
      <c r="H181" s="54">
        <v>247500</v>
      </c>
      <c r="I181" s="128">
        <f t="shared" ref="I181:I203" si="97">+H181*F181*D181</f>
        <v>2475000</v>
      </c>
      <c r="J181" s="54">
        <v>220000</v>
      </c>
      <c r="K181" s="54">
        <f t="shared" ref="K181:K186" si="98">+J181*F181*D181</f>
        <v>2200000</v>
      </c>
      <c r="L181" s="54">
        <v>228000</v>
      </c>
      <c r="M181" s="54">
        <f t="shared" ref="M181:M186" si="99">+L181*F181*D181</f>
        <v>2280000</v>
      </c>
      <c r="N181" s="29">
        <f t="shared" ref="N181:N203" si="100">+AVERAGE(H181,J181,L181)</f>
        <v>231833.33333333334</v>
      </c>
      <c r="O181" s="29">
        <f t="shared" ref="O181:O203" si="101">+N181*D181*F181</f>
        <v>2318333.3333333335</v>
      </c>
      <c r="P181" s="29">
        <f t="shared" ref="P181:P203" si="102">+_xlfn.STDEV.P(H181,J181,L181)</f>
        <v>11549.410759380276</v>
      </c>
      <c r="Q181" s="30">
        <f t="shared" ref="Q181:Q203" si="103">+P181/N181</f>
        <v>4.9817731528599321E-2</v>
      </c>
      <c r="R181" s="29">
        <f t="shared" ref="R181:R203" si="104">+MEDIAN(H181,J181,L181)</f>
        <v>228000</v>
      </c>
      <c r="S181" s="29">
        <f t="shared" ref="S181:S203" si="105">+R181*D181*F181</f>
        <v>2280000</v>
      </c>
      <c r="T181" s="30">
        <f t="shared" ref="T181:T203" si="106">+P181/R181</f>
        <v>5.0655310348159108E-2</v>
      </c>
      <c r="U181" s="129" t="s">
        <v>244</v>
      </c>
      <c r="V181" s="129" t="s">
        <v>245</v>
      </c>
      <c r="W181" s="129" t="s">
        <v>246</v>
      </c>
    </row>
    <row r="182" spans="1:25" s="178" customFormat="1" ht="57.75" customHeight="1">
      <c r="A182" s="177">
        <v>146</v>
      </c>
      <c r="B182" s="122" t="s">
        <v>388</v>
      </c>
      <c r="C182" s="179" t="s">
        <v>389</v>
      </c>
      <c r="D182" s="101">
        <v>1</v>
      </c>
      <c r="E182" s="56" t="s">
        <v>41</v>
      </c>
      <c r="F182" s="56">
        <v>2</v>
      </c>
      <c r="G182" s="56" t="s">
        <v>104</v>
      </c>
      <c r="H182" s="102">
        <v>504202</v>
      </c>
      <c r="I182" s="54">
        <f t="shared" si="97"/>
        <v>1008404</v>
      </c>
      <c r="J182" s="102">
        <v>180000</v>
      </c>
      <c r="K182" s="54">
        <f t="shared" si="98"/>
        <v>360000</v>
      </c>
      <c r="L182" s="54">
        <v>369560</v>
      </c>
      <c r="M182" s="54">
        <f t="shared" si="99"/>
        <v>739120</v>
      </c>
      <c r="N182" s="29">
        <f t="shared" si="100"/>
        <v>351254</v>
      </c>
      <c r="O182" s="29">
        <f t="shared" si="101"/>
        <v>702508</v>
      </c>
      <c r="P182" s="29">
        <f t="shared" si="102"/>
        <v>132986.38132781367</v>
      </c>
      <c r="Q182" s="30">
        <f t="shared" si="103"/>
        <v>0.37860460330078421</v>
      </c>
      <c r="R182" s="29">
        <f t="shared" si="104"/>
        <v>369560</v>
      </c>
      <c r="S182" s="29">
        <f t="shared" si="105"/>
        <v>739120</v>
      </c>
      <c r="T182" s="30">
        <f t="shared" si="106"/>
        <v>0.3598505826599569</v>
      </c>
      <c r="U182" s="56" t="s">
        <v>183</v>
      </c>
      <c r="V182" s="56" t="s">
        <v>250</v>
      </c>
      <c r="W182" s="56" t="s">
        <v>107</v>
      </c>
    </row>
    <row r="183" spans="1:25" s="178" customFormat="1" ht="57.75" customHeight="1">
      <c r="A183" s="177">
        <v>147</v>
      </c>
      <c r="B183" s="180" t="s">
        <v>279</v>
      </c>
      <c r="C183" s="181" t="s">
        <v>316</v>
      </c>
      <c r="D183" s="146">
        <v>800</v>
      </c>
      <c r="E183" s="56" t="s">
        <v>41</v>
      </c>
      <c r="F183" s="56">
        <v>2</v>
      </c>
      <c r="G183" s="56" t="s">
        <v>104</v>
      </c>
      <c r="H183" s="54">
        <v>42017</v>
      </c>
      <c r="I183" s="54">
        <f t="shared" si="97"/>
        <v>67227200</v>
      </c>
      <c r="J183" s="54">
        <v>50420</v>
      </c>
      <c r="K183" s="54">
        <f t="shared" si="98"/>
        <v>80672000</v>
      </c>
      <c r="L183" s="54">
        <v>43445</v>
      </c>
      <c r="M183" s="54">
        <f t="shared" si="99"/>
        <v>69512000</v>
      </c>
      <c r="N183" s="29">
        <f t="shared" si="100"/>
        <v>45294</v>
      </c>
      <c r="O183" s="29">
        <f t="shared" si="101"/>
        <v>72470400</v>
      </c>
      <c r="P183" s="29">
        <f t="shared" si="102"/>
        <v>3671.2126062106508</v>
      </c>
      <c r="Q183" s="30">
        <f t="shared" si="103"/>
        <v>8.1052956378563398E-2</v>
      </c>
      <c r="R183" s="29">
        <f t="shared" si="104"/>
        <v>43445</v>
      </c>
      <c r="S183" s="29">
        <f t="shared" si="105"/>
        <v>69512000</v>
      </c>
      <c r="T183" s="30">
        <f t="shared" si="106"/>
        <v>8.4502534381646927E-2</v>
      </c>
      <c r="U183" s="68" t="s">
        <v>183</v>
      </c>
      <c r="V183" s="69" t="s">
        <v>317</v>
      </c>
      <c r="W183" s="69" t="s">
        <v>107</v>
      </c>
    </row>
    <row r="184" spans="1:25" s="178" customFormat="1" ht="29.25" customHeight="1">
      <c r="A184" s="177">
        <v>148</v>
      </c>
      <c r="B184" s="179" t="s">
        <v>495</v>
      </c>
      <c r="C184" s="182" t="s">
        <v>312</v>
      </c>
      <c r="D184" s="115">
        <v>800</v>
      </c>
      <c r="E184" s="56" t="s">
        <v>243</v>
      </c>
      <c r="F184" s="56">
        <v>2</v>
      </c>
      <c r="G184" s="56" t="s">
        <v>104</v>
      </c>
      <c r="H184" s="54">
        <f>+(10756*100)/119</f>
        <v>9038.6554621848736</v>
      </c>
      <c r="I184" s="54">
        <f t="shared" si="97"/>
        <v>14461848.739495797</v>
      </c>
      <c r="J184" s="54">
        <f>+(12017*100)/119</f>
        <v>10098.319327731093</v>
      </c>
      <c r="K184" s="54">
        <f t="shared" si="98"/>
        <v>16157310.924369749</v>
      </c>
      <c r="L184" s="54">
        <f>+(10900*100)/119</f>
        <v>9159.6638655462193</v>
      </c>
      <c r="M184" s="54">
        <f t="shared" si="99"/>
        <v>14655462.184873952</v>
      </c>
      <c r="N184" s="29">
        <f t="shared" si="100"/>
        <v>9432.212885154062</v>
      </c>
      <c r="O184" s="29">
        <f t="shared" si="101"/>
        <v>15091540.616246499</v>
      </c>
      <c r="P184" s="29">
        <f t="shared" si="102"/>
        <v>473.59202066264169</v>
      </c>
      <c r="Q184" s="30">
        <f t="shared" si="103"/>
        <v>5.0210064852125764E-2</v>
      </c>
      <c r="R184" s="29">
        <f t="shared" si="104"/>
        <v>9159.6638655462193</v>
      </c>
      <c r="S184" s="29">
        <f t="shared" si="105"/>
        <v>14655462.184873952</v>
      </c>
      <c r="T184" s="30">
        <f t="shared" si="106"/>
        <v>5.1704082989774636E-2</v>
      </c>
      <c r="U184" s="68" t="s">
        <v>147</v>
      </c>
      <c r="V184" s="69" t="s">
        <v>313</v>
      </c>
      <c r="W184" s="69" t="s">
        <v>149</v>
      </c>
    </row>
    <row r="185" spans="1:25" s="178" customFormat="1" ht="57.75" customHeight="1">
      <c r="A185" s="177">
        <v>149</v>
      </c>
      <c r="B185" s="179" t="s">
        <v>390</v>
      </c>
      <c r="C185" s="179" t="s">
        <v>496</v>
      </c>
      <c r="D185" s="115">
        <v>800</v>
      </c>
      <c r="E185" s="65" t="s">
        <v>243</v>
      </c>
      <c r="F185" s="56">
        <v>2</v>
      </c>
      <c r="G185" s="65" t="s">
        <v>104</v>
      </c>
      <c r="H185" s="183">
        <v>6500</v>
      </c>
      <c r="I185" s="183">
        <f t="shared" si="97"/>
        <v>10400000</v>
      </c>
      <c r="J185" s="183">
        <f>+(4622*5.35%)+4622</f>
        <v>4869.277</v>
      </c>
      <c r="K185" s="183">
        <f t="shared" si="98"/>
        <v>7790843.2000000002</v>
      </c>
      <c r="L185" s="183">
        <f>+(4958*5.35%)+4958</f>
        <v>5223.2529999999997</v>
      </c>
      <c r="M185" s="183">
        <f t="shared" si="99"/>
        <v>8357204.7999999998</v>
      </c>
      <c r="N185" s="183">
        <f t="shared" si="100"/>
        <v>5530.8433333333332</v>
      </c>
      <c r="O185" s="183">
        <f t="shared" si="101"/>
        <v>8849349.333333334</v>
      </c>
      <c r="P185" s="183">
        <f t="shared" si="102"/>
        <v>700.36811061628191</v>
      </c>
      <c r="Q185" s="184">
        <f t="shared" si="103"/>
        <v>0.1266295334014069</v>
      </c>
      <c r="R185" s="183">
        <f t="shared" si="104"/>
        <v>5223.2529999999997</v>
      </c>
      <c r="S185" s="183">
        <f t="shared" si="105"/>
        <v>8357204.7999999998</v>
      </c>
      <c r="T185" s="184">
        <f t="shared" si="106"/>
        <v>0.13408657605064928</v>
      </c>
      <c r="U185" s="125" t="s">
        <v>276</v>
      </c>
      <c r="V185" s="74" t="s">
        <v>277</v>
      </c>
      <c r="W185" s="74" t="s">
        <v>278</v>
      </c>
    </row>
    <row r="186" spans="1:25" s="178" customFormat="1" ht="29.25" customHeight="1">
      <c r="A186" s="177">
        <v>150</v>
      </c>
      <c r="B186" s="179" t="s">
        <v>460</v>
      </c>
      <c r="C186" s="179" t="s">
        <v>461</v>
      </c>
      <c r="D186" s="115">
        <v>800</v>
      </c>
      <c r="E186" s="56" t="s">
        <v>41</v>
      </c>
      <c r="F186" s="56">
        <v>2</v>
      </c>
      <c r="G186" s="56" t="s">
        <v>104</v>
      </c>
      <c r="H186" s="174">
        <v>1700</v>
      </c>
      <c r="I186" s="54">
        <f t="shared" si="97"/>
        <v>2720000</v>
      </c>
      <c r="J186" s="174">
        <f>+(2000*100)/119</f>
        <v>1680.672268907563</v>
      </c>
      <c r="K186" s="54">
        <f t="shared" si="98"/>
        <v>2689075.6302521005</v>
      </c>
      <c r="L186" s="174">
        <v>1800</v>
      </c>
      <c r="M186" s="54">
        <f t="shared" si="99"/>
        <v>2880000</v>
      </c>
      <c r="N186" s="29">
        <f t="shared" si="100"/>
        <v>1726.8907563025211</v>
      </c>
      <c r="O186" s="29">
        <f t="shared" si="101"/>
        <v>2763025.2100840337</v>
      </c>
      <c r="P186" s="29">
        <f t="shared" si="102"/>
        <v>52.294750742360499</v>
      </c>
      <c r="Q186" s="30">
        <f t="shared" si="103"/>
        <v>3.0282605052753767E-2</v>
      </c>
      <c r="R186" s="29">
        <f t="shared" si="104"/>
        <v>1700</v>
      </c>
      <c r="S186" s="29">
        <f t="shared" si="105"/>
        <v>2720000</v>
      </c>
      <c r="T186" s="30">
        <f t="shared" si="106"/>
        <v>3.076161808374147E-2</v>
      </c>
      <c r="U186" s="121" t="s">
        <v>462</v>
      </c>
      <c r="V186" s="121" t="s">
        <v>301</v>
      </c>
      <c r="W186" s="121" t="s">
        <v>463</v>
      </c>
    </row>
    <row r="187" spans="1:25" s="178" customFormat="1" ht="57.75" customHeight="1">
      <c r="A187" s="177">
        <v>151</v>
      </c>
      <c r="B187" s="179" t="s">
        <v>485</v>
      </c>
      <c r="C187" s="179" t="s">
        <v>486</v>
      </c>
      <c r="D187" s="115">
        <v>0</v>
      </c>
      <c r="E187" s="56" t="s">
        <v>71</v>
      </c>
      <c r="F187" s="56">
        <v>2</v>
      </c>
      <c r="G187" s="56" t="s">
        <v>104</v>
      </c>
      <c r="H187" s="54">
        <f>3640001/30</f>
        <v>121333.36666666667</v>
      </c>
      <c r="I187" s="54">
        <f t="shared" si="97"/>
        <v>0</v>
      </c>
      <c r="J187" s="54"/>
      <c r="K187" s="54"/>
      <c r="L187" s="54"/>
      <c r="M187" s="54"/>
      <c r="N187" s="29">
        <f t="shared" si="100"/>
        <v>121333.36666666667</v>
      </c>
      <c r="O187" s="29">
        <f t="shared" si="101"/>
        <v>0</v>
      </c>
      <c r="P187" s="29">
        <f t="shared" si="102"/>
        <v>0</v>
      </c>
      <c r="Q187" s="30">
        <f t="shared" si="103"/>
        <v>0</v>
      </c>
      <c r="R187" s="29">
        <f t="shared" si="104"/>
        <v>121333.36666666667</v>
      </c>
      <c r="S187" s="29">
        <f t="shared" si="105"/>
        <v>0</v>
      </c>
      <c r="T187" s="30">
        <f t="shared" si="106"/>
        <v>0</v>
      </c>
      <c r="U187" s="55" t="s">
        <v>43</v>
      </c>
      <c r="V187" s="56"/>
      <c r="W187" s="56"/>
    </row>
    <row r="188" spans="1:25" s="178" customFormat="1" ht="29.25" customHeight="1">
      <c r="A188" s="177">
        <v>152</v>
      </c>
      <c r="B188" s="147" t="s">
        <v>411</v>
      </c>
      <c r="C188" s="185" t="s">
        <v>497</v>
      </c>
      <c r="D188" s="101">
        <v>2</v>
      </c>
      <c r="E188" s="56" t="s">
        <v>41</v>
      </c>
      <c r="F188" s="56">
        <v>2</v>
      </c>
      <c r="G188" s="56" t="s">
        <v>104</v>
      </c>
      <c r="H188" s="102">
        <v>831933</v>
      </c>
      <c r="I188" s="63">
        <f t="shared" si="97"/>
        <v>3327732</v>
      </c>
      <c r="J188" s="54">
        <f>+(580000*100)/119</f>
        <v>487394.95798319328</v>
      </c>
      <c r="K188" s="54">
        <f t="shared" ref="K188:K202" si="107">+J188*F188*D188</f>
        <v>1949579.8319327731</v>
      </c>
      <c r="L188" s="54">
        <f>+(550000*100)/119</f>
        <v>462184.87394957984</v>
      </c>
      <c r="M188" s="54">
        <f t="shared" ref="M188:M202" si="108">+L188*F188*D188</f>
        <v>1848739.4957983193</v>
      </c>
      <c r="N188" s="29">
        <f t="shared" si="100"/>
        <v>593837.61064425774</v>
      </c>
      <c r="O188" s="29">
        <f t="shared" si="101"/>
        <v>2375350.442577031</v>
      </c>
      <c r="P188" s="29">
        <f t="shared" si="102"/>
        <v>168673.15120985211</v>
      </c>
      <c r="Q188" s="30">
        <f t="shared" si="103"/>
        <v>0.28403918543801504</v>
      </c>
      <c r="R188" s="29">
        <f t="shared" si="104"/>
        <v>487394.95798319328</v>
      </c>
      <c r="S188" s="29">
        <f t="shared" si="105"/>
        <v>1949579.8319327731</v>
      </c>
      <c r="T188" s="30">
        <f t="shared" si="106"/>
        <v>0.34607077575814482</v>
      </c>
      <c r="U188" s="56" t="s">
        <v>413</v>
      </c>
      <c r="V188" s="56" t="s">
        <v>414</v>
      </c>
      <c r="W188" s="56" t="s">
        <v>415</v>
      </c>
    </row>
    <row r="189" spans="1:25" ht="50.25" customHeight="1">
      <c r="A189" s="177">
        <v>153</v>
      </c>
      <c r="B189" s="179" t="s">
        <v>498</v>
      </c>
      <c r="C189" s="179" t="s">
        <v>499</v>
      </c>
      <c r="D189" s="101">
        <v>1</v>
      </c>
      <c r="E189" s="56" t="s">
        <v>41</v>
      </c>
      <c r="F189" s="56">
        <v>2</v>
      </c>
      <c r="G189" s="56" t="s">
        <v>104</v>
      </c>
      <c r="H189" s="59">
        <f>+(1523200*100)/119</f>
        <v>1280000</v>
      </c>
      <c r="I189" s="54">
        <f t="shared" si="97"/>
        <v>2560000</v>
      </c>
      <c r="J189" s="59">
        <f>+(1725500*100)/119</f>
        <v>1450000</v>
      </c>
      <c r="K189" s="54">
        <f t="shared" si="107"/>
        <v>2900000</v>
      </c>
      <c r="L189" s="59">
        <v>1250000</v>
      </c>
      <c r="M189" s="54">
        <f t="shared" si="108"/>
        <v>2500000</v>
      </c>
      <c r="N189" s="29">
        <f t="shared" si="100"/>
        <v>1326666.6666666667</v>
      </c>
      <c r="O189" s="29">
        <f t="shared" si="101"/>
        <v>2653333.3333333335</v>
      </c>
      <c r="P189" s="29">
        <f t="shared" si="102"/>
        <v>88065.632090819374</v>
      </c>
      <c r="Q189" s="30">
        <f t="shared" si="103"/>
        <v>6.6381129716698017E-2</v>
      </c>
      <c r="R189" s="29">
        <f t="shared" si="104"/>
        <v>1280000</v>
      </c>
      <c r="S189" s="29">
        <f t="shared" si="105"/>
        <v>2560000</v>
      </c>
      <c r="T189" s="30">
        <f t="shared" si="106"/>
        <v>6.8801275070952642E-2</v>
      </c>
      <c r="U189" s="91" t="s">
        <v>399</v>
      </c>
      <c r="V189" s="186" t="s">
        <v>400</v>
      </c>
      <c r="W189" s="186" t="s">
        <v>105</v>
      </c>
    </row>
    <row r="190" spans="1:25" ht="57.75" customHeight="1">
      <c r="A190" s="177">
        <v>154</v>
      </c>
      <c r="B190" s="187" t="s">
        <v>401</v>
      </c>
      <c r="C190" s="188" t="s">
        <v>500</v>
      </c>
      <c r="D190" s="189">
        <v>1</v>
      </c>
      <c r="E190" s="190" t="s">
        <v>243</v>
      </c>
      <c r="F190" s="56">
        <v>2</v>
      </c>
      <c r="G190" s="190" t="s">
        <v>104</v>
      </c>
      <c r="H190" s="191">
        <v>1500000</v>
      </c>
      <c r="I190" s="192">
        <f t="shared" si="97"/>
        <v>3000000</v>
      </c>
      <c r="J190" s="191">
        <v>1800000</v>
      </c>
      <c r="K190" s="192">
        <f t="shared" si="107"/>
        <v>3600000</v>
      </c>
      <c r="L190" s="191">
        <v>1300000</v>
      </c>
      <c r="M190" s="192">
        <f t="shared" si="108"/>
        <v>2600000</v>
      </c>
      <c r="N190" s="192">
        <f t="shared" si="100"/>
        <v>1533333.3333333333</v>
      </c>
      <c r="O190" s="192">
        <f t="shared" si="101"/>
        <v>3066666.6666666665</v>
      </c>
      <c r="P190" s="192">
        <f t="shared" si="102"/>
        <v>205480.46676563253</v>
      </c>
      <c r="Q190" s="193">
        <f t="shared" si="103"/>
        <v>0.13400900006454297</v>
      </c>
      <c r="R190" s="192">
        <f t="shared" si="104"/>
        <v>1500000</v>
      </c>
      <c r="S190" s="192">
        <f t="shared" si="105"/>
        <v>3000000</v>
      </c>
      <c r="T190" s="193">
        <f t="shared" si="106"/>
        <v>0.13698697784375502</v>
      </c>
      <c r="U190" s="120" t="s">
        <v>501</v>
      </c>
      <c r="V190" s="120" t="s">
        <v>253</v>
      </c>
      <c r="W190" s="120" t="s">
        <v>133</v>
      </c>
    </row>
    <row r="191" spans="1:25" ht="15.75" customHeight="1">
      <c r="A191" s="177">
        <v>155</v>
      </c>
      <c r="B191" s="179" t="s">
        <v>502</v>
      </c>
      <c r="C191" s="179" t="s">
        <v>503</v>
      </c>
      <c r="D191" s="101">
        <v>2</v>
      </c>
      <c r="E191" s="56" t="s">
        <v>243</v>
      </c>
      <c r="F191" s="56">
        <v>2</v>
      </c>
      <c r="G191" s="56" t="s">
        <v>104</v>
      </c>
      <c r="H191" s="54">
        <v>350000</v>
      </c>
      <c r="I191" s="54">
        <f t="shared" si="97"/>
        <v>1400000</v>
      </c>
      <c r="J191" s="54">
        <v>380000</v>
      </c>
      <c r="K191" s="54">
        <f t="shared" si="107"/>
        <v>1520000</v>
      </c>
      <c r="L191" s="54">
        <v>308000</v>
      </c>
      <c r="M191" s="54">
        <f t="shared" si="108"/>
        <v>1232000</v>
      </c>
      <c r="N191" s="29">
        <f t="shared" si="100"/>
        <v>346000</v>
      </c>
      <c r="O191" s="29">
        <f t="shared" si="101"/>
        <v>1384000</v>
      </c>
      <c r="P191" s="29">
        <f t="shared" si="102"/>
        <v>29529.646120466801</v>
      </c>
      <c r="Q191" s="30">
        <f t="shared" si="103"/>
        <v>8.534579803603122E-2</v>
      </c>
      <c r="R191" s="29">
        <f t="shared" si="104"/>
        <v>350000</v>
      </c>
      <c r="S191" s="29">
        <f t="shared" si="105"/>
        <v>1400000</v>
      </c>
      <c r="T191" s="30">
        <f t="shared" si="106"/>
        <v>8.4370417487048002E-2</v>
      </c>
      <c r="U191" s="91" t="s">
        <v>105</v>
      </c>
      <c r="V191" s="186" t="s">
        <v>253</v>
      </c>
      <c r="W191" s="186" t="s">
        <v>107</v>
      </c>
    </row>
    <row r="192" spans="1:25" ht="43.5" customHeight="1">
      <c r="A192" s="177">
        <v>156</v>
      </c>
      <c r="B192" s="122" t="s">
        <v>404</v>
      </c>
      <c r="C192" s="194" t="s">
        <v>504</v>
      </c>
      <c r="D192" s="101">
        <v>6</v>
      </c>
      <c r="E192" s="56" t="s">
        <v>243</v>
      </c>
      <c r="F192" s="56">
        <v>2</v>
      </c>
      <c r="G192" s="56" t="s">
        <v>104</v>
      </c>
      <c r="H192" s="54">
        <v>22900</v>
      </c>
      <c r="I192" s="54">
        <f t="shared" si="97"/>
        <v>274800</v>
      </c>
      <c r="J192" s="102">
        <v>21420</v>
      </c>
      <c r="K192" s="54">
        <f t="shared" si="107"/>
        <v>257040</v>
      </c>
      <c r="L192" s="54">
        <v>22015</v>
      </c>
      <c r="M192" s="54">
        <f t="shared" si="108"/>
        <v>264180</v>
      </c>
      <c r="N192" s="29">
        <f t="shared" si="100"/>
        <v>22111.666666666668</v>
      </c>
      <c r="O192" s="29">
        <f t="shared" si="101"/>
        <v>265340</v>
      </c>
      <c r="P192" s="29">
        <f t="shared" si="102"/>
        <v>608.06158313849176</v>
      </c>
      <c r="Q192" s="30">
        <f t="shared" si="103"/>
        <v>2.7499581659990582E-2</v>
      </c>
      <c r="R192" s="29">
        <f t="shared" si="104"/>
        <v>22015</v>
      </c>
      <c r="S192" s="29">
        <f t="shared" si="105"/>
        <v>264180</v>
      </c>
      <c r="T192" s="30">
        <f t="shared" si="106"/>
        <v>2.7620330826186316E-2</v>
      </c>
      <c r="U192" s="113" t="s">
        <v>406</v>
      </c>
      <c r="V192" s="113" t="s">
        <v>407</v>
      </c>
      <c r="W192" s="91" t="s">
        <v>408</v>
      </c>
    </row>
    <row r="193" spans="1:23" ht="29.25" customHeight="1">
      <c r="A193" s="177">
        <v>157</v>
      </c>
      <c r="B193" s="179" t="s">
        <v>432</v>
      </c>
      <c r="C193" s="179" t="s">
        <v>127</v>
      </c>
      <c r="D193" s="115">
        <v>1600</v>
      </c>
      <c r="E193" s="56" t="s">
        <v>41</v>
      </c>
      <c r="F193" s="56">
        <v>2</v>
      </c>
      <c r="G193" s="56" t="s">
        <v>104</v>
      </c>
      <c r="H193" s="54">
        <v>1345</v>
      </c>
      <c r="I193" s="54">
        <f t="shared" si="97"/>
        <v>4304000</v>
      </c>
      <c r="J193" s="54">
        <v>1933</v>
      </c>
      <c r="K193" s="54">
        <f t="shared" si="107"/>
        <v>6185600</v>
      </c>
      <c r="L193" s="54">
        <v>1765</v>
      </c>
      <c r="M193" s="54">
        <f t="shared" si="108"/>
        <v>5648000</v>
      </c>
      <c r="N193" s="29">
        <f t="shared" si="100"/>
        <v>1681</v>
      </c>
      <c r="O193" s="29">
        <f t="shared" si="101"/>
        <v>5379200</v>
      </c>
      <c r="P193" s="29">
        <f t="shared" si="102"/>
        <v>247.28930425717971</v>
      </c>
      <c r="Q193" s="30">
        <f t="shared" si="103"/>
        <v>0.14710844988529428</v>
      </c>
      <c r="R193" s="29">
        <f t="shared" si="104"/>
        <v>1765</v>
      </c>
      <c r="S193" s="29">
        <f t="shared" si="105"/>
        <v>5648000</v>
      </c>
      <c r="T193" s="30">
        <f t="shared" si="106"/>
        <v>0.14010725453664571</v>
      </c>
      <c r="U193" s="68" t="s">
        <v>128</v>
      </c>
      <c r="V193" s="69" t="s">
        <v>129</v>
      </c>
      <c r="W193" s="69" t="s">
        <v>130</v>
      </c>
    </row>
    <row r="194" spans="1:23" ht="57.75" customHeight="1">
      <c r="A194" s="177">
        <v>158</v>
      </c>
      <c r="B194" s="179" t="s">
        <v>102</v>
      </c>
      <c r="C194" s="179" t="s">
        <v>318</v>
      </c>
      <c r="D194" s="62">
        <v>1</v>
      </c>
      <c r="E194" s="56" t="s">
        <v>41</v>
      </c>
      <c r="F194" s="56">
        <v>2</v>
      </c>
      <c r="G194" s="56" t="s">
        <v>104</v>
      </c>
      <c r="H194" s="63">
        <v>2180000</v>
      </c>
      <c r="I194" s="63">
        <f t="shared" si="97"/>
        <v>4360000</v>
      </c>
      <c r="J194" s="63">
        <v>3000000</v>
      </c>
      <c r="K194" s="63">
        <f t="shared" si="107"/>
        <v>6000000</v>
      </c>
      <c r="L194" s="64">
        <v>2640000</v>
      </c>
      <c r="M194" s="63">
        <f t="shared" si="108"/>
        <v>5280000</v>
      </c>
      <c r="N194" s="29">
        <f t="shared" si="100"/>
        <v>2606666.6666666665</v>
      </c>
      <c r="O194" s="29">
        <f t="shared" si="101"/>
        <v>5213333.333333333</v>
      </c>
      <c r="P194" s="29">
        <f t="shared" si="102"/>
        <v>335592.34529741918</v>
      </c>
      <c r="Q194" s="30">
        <f t="shared" si="103"/>
        <v>0.12874386648238589</v>
      </c>
      <c r="R194" s="29">
        <f t="shared" si="104"/>
        <v>2640000</v>
      </c>
      <c r="S194" s="29">
        <f t="shared" si="105"/>
        <v>5280000</v>
      </c>
      <c r="T194" s="30">
        <f t="shared" si="106"/>
        <v>0.12711831261265877</v>
      </c>
      <c r="U194" s="65" t="s">
        <v>105</v>
      </c>
      <c r="V194" s="65" t="s">
        <v>106</v>
      </c>
      <c r="W194" s="65" t="s">
        <v>107</v>
      </c>
    </row>
    <row r="195" spans="1:23" ht="29.25" customHeight="1">
      <c r="A195" s="177">
        <v>160</v>
      </c>
      <c r="B195" s="122" t="s">
        <v>409</v>
      </c>
      <c r="C195" s="179" t="s">
        <v>505</v>
      </c>
      <c r="D195" s="101">
        <v>30</v>
      </c>
      <c r="E195" s="56" t="s">
        <v>243</v>
      </c>
      <c r="F195" s="56">
        <v>2</v>
      </c>
      <c r="G195" s="56" t="s">
        <v>104</v>
      </c>
      <c r="H195" s="102">
        <v>1800</v>
      </c>
      <c r="I195" s="54">
        <f t="shared" si="97"/>
        <v>108000</v>
      </c>
      <c r="J195" s="54">
        <v>1505</v>
      </c>
      <c r="K195" s="54">
        <f t="shared" si="107"/>
        <v>90300</v>
      </c>
      <c r="L195" s="54">
        <v>1328</v>
      </c>
      <c r="M195" s="54">
        <f t="shared" si="108"/>
        <v>79680</v>
      </c>
      <c r="N195" s="29">
        <f t="shared" si="100"/>
        <v>1544.3333333333333</v>
      </c>
      <c r="O195" s="29">
        <f t="shared" si="101"/>
        <v>92660</v>
      </c>
      <c r="P195" s="29">
        <f t="shared" si="102"/>
        <v>194.69006708669608</v>
      </c>
      <c r="Q195" s="30">
        <f t="shared" si="103"/>
        <v>0.12606738641486903</v>
      </c>
      <c r="R195" s="29">
        <f t="shared" si="104"/>
        <v>1505</v>
      </c>
      <c r="S195" s="29">
        <f t="shared" si="105"/>
        <v>90300</v>
      </c>
      <c r="T195" s="30">
        <f t="shared" si="106"/>
        <v>0.12936217082172496</v>
      </c>
      <c r="U195" s="91" t="s">
        <v>258</v>
      </c>
      <c r="V195" s="186" t="s">
        <v>259</v>
      </c>
      <c r="W195" s="186" t="s">
        <v>260</v>
      </c>
    </row>
    <row r="196" spans="1:23" ht="29.25" customHeight="1">
      <c r="A196" s="177">
        <v>162</v>
      </c>
      <c r="B196" s="122" t="s">
        <v>506</v>
      </c>
      <c r="C196" s="179" t="s">
        <v>507</v>
      </c>
      <c r="D196" s="101">
        <v>200</v>
      </c>
      <c r="E196" s="56" t="s">
        <v>243</v>
      </c>
      <c r="F196" s="56">
        <v>2</v>
      </c>
      <c r="G196" s="56" t="s">
        <v>104</v>
      </c>
      <c r="H196" s="166">
        <v>73900</v>
      </c>
      <c r="I196" s="54">
        <f t="shared" si="97"/>
        <v>29560000</v>
      </c>
      <c r="J196" s="59">
        <f>+(62300*100)/119</f>
        <v>52352.941176470587</v>
      </c>
      <c r="K196" s="54">
        <f t="shared" si="107"/>
        <v>20941176.470588233</v>
      </c>
      <c r="L196" s="167">
        <f>+(78000*100)/119</f>
        <v>65546.218487394959</v>
      </c>
      <c r="M196" s="54">
        <f t="shared" si="108"/>
        <v>26218487.394957982</v>
      </c>
      <c r="N196" s="29">
        <f t="shared" si="100"/>
        <v>63933.053221288515</v>
      </c>
      <c r="O196" s="29">
        <f t="shared" si="101"/>
        <v>25573221.288515408</v>
      </c>
      <c r="P196" s="29">
        <f t="shared" si="102"/>
        <v>8870.1996451785053</v>
      </c>
      <c r="Q196" s="30">
        <f t="shared" si="103"/>
        <v>0.13874199961131989</v>
      </c>
      <c r="R196" s="29">
        <f t="shared" si="104"/>
        <v>65546.218487394959</v>
      </c>
      <c r="S196" s="29">
        <f t="shared" si="105"/>
        <v>26218487.394957982</v>
      </c>
      <c r="T196" s="30">
        <f t="shared" si="106"/>
        <v>0.13532740484310796</v>
      </c>
      <c r="U196" s="55" t="s">
        <v>421</v>
      </c>
      <c r="V196" s="55" t="s">
        <v>422</v>
      </c>
      <c r="W196" s="55" t="s">
        <v>332</v>
      </c>
    </row>
    <row r="197" spans="1:23" ht="33.75" customHeight="1">
      <c r="A197" s="177">
        <v>163</v>
      </c>
      <c r="B197" s="179" t="s">
        <v>427</v>
      </c>
      <c r="C197" s="179" t="s">
        <v>428</v>
      </c>
      <c r="D197" s="101">
        <v>4</v>
      </c>
      <c r="E197" s="56" t="s">
        <v>243</v>
      </c>
      <c r="F197" s="56">
        <v>2</v>
      </c>
      <c r="G197" s="56" t="s">
        <v>104</v>
      </c>
      <c r="H197" s="54">
        <f>+(36900*100)/119</f>
        <v>31008.403361344539</v>
      </c>
      <c r="I197" s="54">
        <f t="shared" si="97"/>
        <v>248067.22689075631</v>
      </c>
      <c r="J197" s="54">
        <f>+(29970*100)/119</f>
        <v>25184.873949579833</v>
      </c>
      <c r="K197" s="54">
        <f t="shared" si="107"/>
        <v>201478.99159663866</v>
      </c>
      <c r="L197" s="54">
        <f>+(27900*100)/119</f>
        <v>23445.378151260506</v>
      </c>
      <c r="M197" s="54">
        <f t="shared" si="108"/>
        <v>187563.02521008404</v>
      </c>
      <c r="N197" s="29">
        <f t="shared" si="100"/>
        <v>26546.218487394959</v>
      </c>
      <c r="O197" s="29">
        <f t="shared" si="101"/>
        <v>212369.74789915967</v>
      </c>
      <c r="P197" s="29">
        <f t="shared" si="102"/>
        <v>3234.1698363022483</v>
      </c>
      <c r="Q197" s="30">
        <f t="shared" si="103"/>
        <v>0.12183165891736863</v>
      </c>
      <c r="R197" s="29">
        <f t="shared" si="104"/>
        <v>25184.873949579833</v>
      </c>
      <c r="S197" s="29">
        <f t="shared" si="105"/>
        <v>201478.99159663866</v>
      </c>
      <c r="T197" s="30">
        <f t="shared" si="106"/>
        <v>0.12841715399398315</v>
      </c>
      <c r="U197" s="195" t="s">
        <v>429</v>
      </c>
      <c r="V197" s="129" t="s">
        <v>430</v>
      </c>
      <c r="W197" s="129" t="s">
        <v>431</v>
      </c>
    </row>
    <row r="198" spans="1:23" ht="29.25" customHeight="1">
      <c r="A198" s="177">
        <v>164</v>
      </c>
      <c r="B198" s="179" t="s">
        <v>508</v>
      </c>
      <c r="C198" s="179" t="s">
        <v>509</v>
      </c>
      <c r="D198" s="101">
        <v>6</v>
      </c>
      <c r="E198" s="56" t="s">
        <v>243</v>
      </c>
      <c r="F198" s="56">
        <v>2</v>
      </c>
      <c r="G198" s="56" t="s">
        <v>104</v>
      </c>
      <c r="H198" s="54">
        <f>+(99900*100)/119</f>
        <v>83949.579831932773</v>
      </c>
      <c r="I198" s="54">
        <f t="shared" si="97"/>
        <v>1007394.9579831932</v>
      </c>
      <c r="J198" s="54">
        <f>+(119900*100)/119</f>
        <v>100756.3025210084</v>
      </c>
      <c r="K198" s="54">
        <f t="shared" si="107"/>
        <v>1209075.6302521008</v>
      </c>
      <c r="L198" s="54">
        <f>+(99900*100)/119</f>
        <v>83949.579831932773</v>
      </c>
      <c r="M198" s="54">
        <f t="shared" si="108"/>
        <v>1007394.9579831932</v>
      </c>
      <c r="N198" s="29">
        <f t="shared" si="100"/>
        <v>89551.820728291306</v>
      </c>
      <c r="O198" s="29">
        <f t="shared" si="101"/>
        <v>1074621.8487394957</v>
      </c>
      <c r="P198" s="29">
        <f t="shared" si="102"/>
        <v>7922.7650553114563</v>
      </c>
      <c r="Q198" s="30">
        <f t="shared" si="103"/>
        <v>8.8471289482208018E-2</v>
      </c>
      <c r="R198" s="29">
        <f t="shared" si="104"/>
        <v>83949.579831932773</v>
      </c>
      <c r="S198" s="29">
        <f t="shared" si="105"/>
        <v>1007394.9579831932</v>
      </c>
      <c r="T198" s="30">
        <f t="shared" si="106"/>
        <v>9.4375279437643969E-2</v>
      </c>
      <c r="U198" s="56" t="s">
        <v>510</v>
      </c>
      <c r="V198" s="56" t="s">
        <v>511</v>
      </c>
      <c r="W198" s="56" t="s">
        <v>512</v>
      </c>
    </row>
    <row r="199" spans="1:23" ht="46.5" customHeight="1">
      <c r="A199" s="177">
        <v>165</v>
      </c>
      <c r="B199" s="151" t="s">
        <v>334</v>
      </c>
      <c r="C199" s="152" t="s">
        <v>335</v>
      </c>
      <c r="D199" s="153">
        <v>1</v>
      </c>
      <c r="E199" s="56" t="s">
        <v>41</v>
      </c>
      <c r="F199" s="56">
        <v>2</v>
      </c>
      <c r="G199" s="56" t="s">
        <v>104</v>
      </c>
      <c r="H199" s="54">
        <f>+(2975000*100)/119</f>
        <v>2500000</v>
      </c>
      <c r="I199" s="54">
        <f t="shared" si="97"/>
        <v>5000000</v>
      </c>
      <c r="J199" s="54">
        <f>+(3332000*100)/119</f>
        <v>2800000</v>
      </c>
      <c r="K199" s="54">
        <f t="shared" si="107"/>
        <v>5600000</v>
      </c>
      <c r="L199" s="54">
        <f>+(1800000*5.35%)+1800000</f>
        <v>1896300</v>
      </c>
      <c r="M199" s="54">
        <f t="shared" si="108"/>
        <v>3792600</v>
      </c>
      <c r="N199" s="29">
        <f t="shared" si="100"/>
        <v>2398766.6666666665</v>
      </c>
      <c r="O199" s="29">
        <f t="shared" si="101"/>
        <v>4797533.333333333</v>
      </c>
      <c r="P199" s="29">
        <f t="shared" si="102"/>
        <v>375814.28333094995</v>
      </c>
      <c r="Q199" s="30">
        <f t="shared" si="103"/>
        <v>0.15666979558840655</v>
      </c>
      <c r="R199" s="29">
        <f t="shared" si="104"/>
        <v>2500000</v>
      </c>
      <c r="S199" s="29">
        <f t="shared" si="105"/>
        <v>5000000</v>
      </c>
      <c r="T199" s="30">
        <f t="shared" si="106"/>
        <v>0.15032571333237998</v>
      </c>
      <c r="U199" s="68" t="s">
        <v>336</v>
      </c>
      <c r="V199" s="69" t="s">
        <v>337</v>
      </c>
      <c r="W199" s="69" t="s">
        <v>105</v>
      </c>
    </row>
    <row r="200" spans="1:23" ht="60" customHeight="1">
      <c r="A200" s="177">
        <v>166</v>
      </c>
      <c r="B200" s="179" t="s">
        <v>442</v>
      </c>
      <c r="C200" s="179" t="s">
        <v>443</v>
      </c>
      <c r="D200" s="101">
        <v>1</v>
      </c>
      <c r="E200" s="56" t="s">
        <v>41</v>
      </c>
      <c r="F200" s="56">
        <v>2</v>
      </c>
      <c r="G200" s="56" t="s">
        <v>104</v>
      </c>
      <c r="H200" s="54">
        <f>+(590000*100)/119</f>
        <v>495798.31932773109</v>
      </c>
      <c r="I200" s="54">
        <f t="shared" si="97"/>
        <v>991596.63865546219</v>
      </c>
      <c r="J200" s="54">
        <f>+(500000*100)/119</f>
        <v>420168.06722689077</v>
      </c>
      <c r="K200" s="54">
        <f t="shared" si="107"/>
        <v>840336.13445378153</v>
      </c>
      <c r="L200" s="54">
        <f>+(490000*100)/119</f>
        <v>411764.70588235295</v>
      </c>
      <c r="M200" s="54">
        <f t="shared" si="108"/>
        <v>823529.4117647059</v>
      </c>
      <c r="N200" s="29">
        <f t="shared" si="100"/>
        <v>442577.03081232496</v>
      </c>
      <c r="O200" s="29">
        <f t="shared" si="101"/>
        <v>885154.06162464991</v>
      </c>
      <c r="P200" s="29">
        <f t="shared" si="102"/>
        <v>37789.180849389471</v>
      </c>
      <c r="Q200" s="30">
        <f t="shared" si="103"/>
        <v>8.5384414957164811E-2</v>
      </c>
      <c r="R200" s="29">
        <f t="shared" si="104"/>
        <v>420168.06722689077</v>
      </c>
      <c r="S200" s="29">
        <f t="shared" si="105"/>
        <v>840336.13445378153</v>
      </c>
      <c r="T200" s="30">
        <f t="shared" si="106"/>
        <v>8.9938250421546934E-2</v>
      </c>
      <c r="U200" s="56" t="s">
        <v>444</v>
      </c>
      <c r="V200" s="49" t="s">
        <v>253</v>
      </c>
      <c r="W200" s="172" t="s">
        <v>445</v>
      </c>
    </row>
    <row r="201" spans="1:23" ht="29.25" customHeight="1">
      <c r="A201" s="177">
        <v>167</v>
      </c>
      <c r="B201" s="171" t="s">
        <v>439</v>
      </c>
      <c r="C201" s="179" t="s">
        <v>440</v>
      </c>
      <c r="D201" s="101">
        <v>1</v>
      </c>
      <c r="E201" s="56" t="s">
        <v>41</v>
      </c>
      <c r="F201" s="56">
        <v>2</v>
      </c>
      <c r="G201" s="56" t="s">
        <v>104</v>
      </c>
      <c r="H201" s="54">
        <f>+(249900*100)/119</f>
        <v>210000</v>
      </c>
      <c r="I201" s="54">
        <f t="shared" si="97"/>
        <v>420000</v>
      </c>
      <c r="J201" s="54">
        <f>+(249900*100)/119</f>
        <v>210000</v>
      </c>
      <c r="K201" s="63">
        <f t="shared" si="107"/>
        <v>420000</v>
      </c>
      <c r="L201" s="102">
        <f>+(128900*100)/119</f>
        <v>108319.32773109243</v>
      </c>
      <c r="M201" s="63">
        <f t="shared" si="108"/>
        <v>216638.65546218486</v>
      </c>
      <c r="N201" s="29">
        <f t="shared" si="100"/>
        <v>176106.44257703083</v>
      </c>
      <c r="O201" s="29">
        <f t="shared" si="101"/>
        <v>352212.88515406166</v>
      </c>
      <c r="P201" s="29">
        <f t="shared" si="102"/>
        <v>47932.728584634286</v>
      </c>
      <c r="Q201" s="30">
        <f t="shared" si="103"/>
        <v>0.27218043748551674</v>
      </c>
      <c r="R201" s="29">
        <f t="shared" si="104"/>
        <v>210000</v>
      </c>
      <c r="S201" s="29">
        <f t="shared" si="105"/>
        <v>420000</v>
      </c>
      <c r="T201" s="30">
        <f t="shared" si="106"/>
        <v>0.22825108849825851</v>
      </c>
      <c r="U201" s="56" t="s">
        <v>287</v>
      </c>
      <c r="V201" s="56" t="s">
        <v>435</v>
      </c>
      <c r="W201" s="56" t="s">
        <v>441</v>
      </c>
    </row>
    <row r="202" spans="1:23" ht="57.75" customHeight="1">
      <c r="A202" s="177">
        <v>168</v>
      </c>
      <c r="B202" s="131" t="s">
        <v>304</v>
      </c>
      <c r="C202" s="62" t="s">
        <v>305</v>
      </c>
      <c r="D202" s="137">
        <v>800</v>
      </c>
      <c r="E202" s="56" t="s">
        <v>41</v>
      </c>
      <c r="F202" s="56">
        <v>2</v>
      </c>
      <c r="G202" s="56" t="s">
        <v>104</v>
      </c>
      <c r="H202" s="140">
        <v>14279</v>
      </c>
      <c r="I202" s="54">
        <f t="shared" si="97"/>
        <v>22846400</v>
      </c>
      <c r="J202" s="54">
        <v>17392</v>
      </c>
      <c r="K202" s="54">
        <f t="shared" si="107"/>
        <v>27827200</v>
      </c>
      <c r="L202" s="54">
        <f>+(17000*100)/119</f>
        <v>14285.714285714286</v>
      </c>
      <c r="M202" s="54">
        <f t="shared" si="108"/>
        <v>22857142.857142858</v>
      </c>
      <c r="N202" s="29">
        <f t="shared" si="100"/>
        <v>15318.904761904763</v>
      </c>
      <c r="O202" s="29">
        <f t="shared" si="101"/>
        <v>24510247.619047619</v>
      </c>
      <c r="P202" s="29">
        <f t="shared" si="102"/>
        <v>1465.9022636970099</v>
      </c>
      <c r="Q202" s="30">
        <f t="shared" si="103"/>
        <v>9.569236746888285E-2</v>
      </c>
      <c r="R202" s="29">
        <f t="shared" si="104"/>
        <v>14285.714285714286</v>
      </c>
      <c r="S202" s="29">
        <f t="shared" si="105"/>
        <v>22857142.857142858</v>
      </c>
      <c r="T202" s="30">
        <f t="shared" si="106"/>
        <v>0.10261315845879068</v>
      </c>
      <c r="U202" s="56" t="s">
        <v>306</v>
      </c>
      <c r="V202" s="56" t="s">
        <v>307</v>
      </c>
      <c r="W202" s="56" t="s">
        <v>308</v>
      </c>
    </row>
    <row r="203" spans="1:23" ht="103.5" customHeight="1">
      <c r="A203" s="177">
        <v>169</v>
      </c>
      <c r="B203" s="196" t="s">
        <v>513</v>
      </c>
      <c r="C203" s="197" t="s">
        <v>514</v>
      </c>
      <c r="D203" s="178">
        <v>1</v>
      </c>
      <c r="E203" s="178" t="s">
        <v>515</v>
      </c>
      <c r="F203" s="56">
        <v>2</v>
      </c>
      <c r="G203" s="178" t="s">
        <v>104</v>
      </c>
      <c r="H203" s="178">
        <v>14000000</v>
      </c>
      <c r="I203" s="128">
        <f t="shared" si="97"/>
        <v>28000000</v>
      </c>
      <c r="J203" s="178"/>
      <c r="K203" s="178"/>
      <c r="L203" s="178"/>
      <c r="M203" s="178"/>
      <c r="N203" s="29">
        <f t="shared" si="100"/>
        <v>14000000</v>
      </c>
      <c r="O203" s="29">
        <f t="shared" si="101"/>
        <v>28000000</v>
      </c>
      <c r="P203" s="29">
        <f t="shared" si="102"/>
        <v>0</v>
      </c>
      <c r="Q203" s="30">
        <f t="shared" si="103"/>
        <v>0</v>
      </c>
      <c r="R203" s="29">
        <f t="shared" si="104"/>
        <v>14000000</v>
      </c>
      <c r="S203" s="29">
        <f t="shared" si="105"/>
        <v>28000000</v>
      </c>
      <c r="T203" s="30">
        <f t="shared" si="106"/>
        <v>0</v>
      </c>
      <c r="U203" s="178"/>
      <c r="V203" s="178"/>
      <c r="W203" s="178"/>
    </row>
    <row r="204" spans="1:23" ht="15.75" customHeight="1">
      <c r="A204" s="305" t="s">
        <v>516</v>
      </c>
      <c r="B204" s="305"/>
      <c r="C204" s="305"/>
      <c r="D204" s="305"/>
      <c r="E204" s="305"/>
      <c r="F204" s="305"/>
      <c r="G204" s="305"/>
      <c r="H204" s="305"/>
      <c r="I204" s="305"/>
      <c r="J204" s="305"/>
      <c r="K204" s="305"/>
      <c r="L204" s="305"/>
      <c r="M204" s="305"/>
      <c r="N204" s="305"/>
      <c r="O204" s="305"/>
      <c r="P204" s="305"/>
      <c r="Q204" s="305"/>
      <c r="R204" s="305"/>
      <c r="S204" s="305"/>
      <c r="T204" s="305"/>
      <c r="U204" s="305"/>
      <c r="V204" s="305"/>
      <c r="W204" s="305"/>
    </row>
    <row r="205" spans="1:23" ht="15.75" customHeight="1">
      <c r="A205" s="296" t="s">
        <v>238</v>
      </c>
      <c r="B205" s="296"/>
      <c r="C205" s="296"/>
      <c r="D205" s="296"/>
      <c r="E205" s="296"/>
      <c r="F205" s="296"/>
      <c r="G205" s="296"/>
      <c r="H205" s="296"/>
      <c r="I205" s="296"/>
      <c r="J205" s="296"/>
      <c r="K205" s="296"/>
      <c r="L205" s="296"/>
      <c r="M205" s="296"/>
      <c r="N205" s="296"/>
      <c r="O205" s="296"/>
      <c r="P205" s="296"/>
      <c r="Q205" s="296"/>
      <c r="R205" s="296"/>
      <c r="S205" s="296"/>
      <c r="T205" s="296"/>
      <c r="U205" s="296"/>
      <c r="V205" s="296"/>
      <c r="W205" s="296"/>
    </row>
    <row r="206" spans="1:23" ht="43.5" customHeight="1">
      <c r="A206" s="49">
        <v>170</v>
      </c>
      <c r="B206" s="61" t="s">
        <v>498</v>
      </c>
      <c r="C206" s="62" t="s">
        <v>499</v>
      </c>
      <c r="D206" s="101">
        <v>1</v>
      </c>
      <c r="E206" s="56" t="s">
        <v>41</v>
      </c>
      <c r="F206" s="56">
        <v>3</v>
      </c>
      <c r="G206" s="56" t="s">
        <v>104</v>
      </c>
      <c r="H206" s="59">
        <f>+(1523200*100)/119</f>
        <v>1280000</v>
      </c>
      <c r="I206" s="54">
        <f t="shared" ref="I206:I228" si="109">+H206*F206*D206</f>
        <v>3840000</v>
      </c>
      <c r="J206" s="59">
        <f>+(1725500*100)/119</f>
        <v>1450000</v>
      </c>
      <c r="K206" s="54">
        <f t="shared" ref="K206:K227" si="110">+J206*F206*D206</f>
        <v>4350000</v>
      </c>
      <c r="L206" s="59">
        <v>1250000</v>
      </c>
      <c r="M206" s="54">
        <f t="shared" ref="M206:M227" si="111">+L206*F206*D206</f>
        <v>3750000</v>
      </c>
      <c r="N206" s="29">
        <f t="shared" ref="N206:N228" si="112">+AVERAGE(H206,J206,L206)</f>
        <v>1326666.6666666667</v>
      </c>
      <c r="O206" s="29">
        <f t="shared" ref="O206:O228" si="113">+N206*D206*F206</f>
        <v>3980000</v>
      </c>
      <c r="P206" s="29">
        <f t="shared" ref="P206:P228" si="114">+_xlfn.STDEV.P(H206,J206,L206)</f>
        <v>88065.632090819374</v>
      </c>
      <c r="Q206" s="30">
        <f t="shared" ref="Q206:Q228" si="115">+P206/N206</f>
        <v>6.6381129716698017E-2</v>
      </c>
      <c r="R206" s="29">
        <f t="shared" ref="R206:R228" si="116">+MEDIAN(H206,J206,L206)</f>
        <v>1280000</v>
      </c>
      <c r="S206" s="29">
        <f t="shared" ref="S206:S228" si="117">+R206*D206*F206</f>
        <v>3840000</v>
      </c>
      <c r="T206" s="30">
        <f t="shared" ref="T206:T228" si="118">+P206/R206</f>
        <v>6.8801275070952642E-2</v>
      </c>
      <c r="U206" s="91" t="s">
        <v>399</v>
      </c>
      <c r="V206" s="186" t="s">
        <v>400</v>
      </c>
      <c r="W206" s="186" t="s">
        <v>105</v>
      </c>
    </row>
    <row r="207" spans="1:23" ht="98.25" customHeight="1">
      <c r="A207" s="49">
        <v>171</v>
      </c>
      <c r="B207" s="61" t="s">
        <v>502</v>
      </c>
      <c r="C207" s="62" t="s">
        <v>503</v>
      </c>
      <c r="D207" s="101">
        <v>3</v>
      </c>
      <c r="E207" s="56" t="s">
        <v>243</v>
      </c>
      <c r="F207" s="56">
        <v>3</v>
      </c>
      <c r="G207" s="56" t="s">
        <v>104</v>
      </c>
      <c r="H207" s="54">
        <v>350000</v>
      </c>
      <c r="I207" s="54">
        <f t="shared" si="109"/>
        <v>3150000</v>
      </c>
      <c r="J207" s="54">
        <v>380000</v>
      </c>
      <c r="K207" s="54">
        <f t="shared" si="110"/>
        <v>3420000</v>
      </c>
      <c r="L207" s="54">
        <v>308000</v>
      </c>
      <c r="M207" s="54">
        <f t="shared" si="111"/>
        <v>2772000</v>
      </c>
      <c r="N207" s="29">
        <f t="shared" si="112"/>
        <v>346000</v>
      </c>
      <c r="O207" s="29">
        <f t="shared" si="113"/>
        <v>3114000</v>
      </c>
      <c r="P207" s="29">
        <f t="shared" si="114"/>
        <v>29529.646120466801</v>
      </c>
      <c r="Q207" s="30">
        <f t="shared" si="115"/>
        <v>8.534579803603122E-2</v>
      </c>
      <c r="R207" s="29">
        <f t="shared" si="116"/>
        <v>350000</v>
      </c>
      <c r="S207" s="29">
        <f t="shared" si="117"/>
        <v>3150000</v>
      </c>
      <c r="T207" s="30">
        <f t="shared" si="118"/>
        <v>8.4370417487048002E-2</v>
      </c>
      <c r="U207" s="91" t="s">
        <v>105</v>
      </c>
      <c r="V207" s="186" t="s">
        <v>253</v>
      </c>
      <c r="W207" s="186" t="s">
        <v>107</v>
      </c>
    </row>
    <row r="208" spans="1:23" ht="42" customHeight="1">
      <c r="A208" s="49">
        <v>172</v>
      </c>
      <c r="B208" s="122" t="s">
        <v>404</v>
      </c>
      <c r="C208" s="162" t="s">
        <v>504</v>
      </c>
      <c r="D208" s="101">
        <v>6</v>
      </c>
      <c r="E208" s="56" t="s">
        <v>243</v>
      </c>
      <c r="F208" s="56">
        <v>3</v>
      </c>
      <c r="G208" s="56" t="s">
        <v>104</v>
      </c>
      <c r="H208" s="54">
        <v>22900</v>
      </c>
      <c r="I208" s="54">
        <f t="shared" si="109"/>
        <v>412200</v>
      </c>
      <c r="J208" s="102">
        <v>21420</v>
      </c>
      <c r="K208" s="54">
        <f t="shared" si="110"/>
        <v>385560</v>
      </c>
      <c r="L208" s="54">
        <v>22015</v>
      </c>
      <c r="M208" s="54">
        <f t="shared" si="111"/>
        <v>396270</v>
      </c>
      <c r="N208" s="29">
        <f t="shared" si="112"/>
        <v>22111.666666666668</v>
      </c>
      <c r="O208" s="29">
        <f t="shared" si="113"/>
        <v>398010</v>
      </c>
      <c r="P208" s="29">
        <f t="shared" si="114"/>
        <v>608.06158313849176</v>
      </c>
      <c r="Q208" s="30">
        <f t="shared" si="115"/>
        <v>2.7499581659990582E-2</v>
      </c>
      <c r="R208" s="29">
        <f t="shared" si="116"/>
        <v>22015</v>
      </c>
      <c r="S208" s="29">
        <f t="shared" si="117"/>
        <v>396270</v>
      </c>
      <c r="T208" s="30">
        <f t="shared" si="118"/>
        <v>2.7620330826186316E-2</v>
      </c>
      <c r="U208" s="113" t="s">
        <v>406</v>
      </c>
      <c r="V208" s="113" t="s">
        <v>407</v>
      </c>
      <c r="W208" s="91" t="s">
        <v>408</v>
      </c>
    </row>
    <row r="209" spans="1:24" ht="48.75" customHeight="1">
      <c r="A209" s="49">
        <v>173</v>
      </c>
      <c r="B209" s="122" t="s">
        <v>409</v>
      </c>
      <c r="C209" s="62" t="s">
        <v>505</v>
      </c>
      <c r="D209" s="101">
        <v>30</v>
      </c>
      <c r="E209" s="56" t="s">
        <v>243</v>
      </c>
      <c r="F209" s="56">
        <v>3</v>
      </c>
      <c r="G209" s="56" t="s">
        <v>104</v>
      </c>
      <c r="H209" s="102">
        <v>1800</v>
      </c>
      <c r="I209" s="54">
        <f t="shared" si="109"/>
        <v>162000</v>
      </c>
      <c r="J209" s="54">
        <v>1505</v>
      </c>
      <c r="K209" s="54">
        <f t="shared" si="110"/>
        <v>135450</v>
      </c>
      <c r="L209" s="54">
        <v>1328</v>
      </c>
      <c r="M209" s="54">
        <f t="shared" si="111"/>
        <v>119520</v>
      </c>
      <c r="N209" s="29">
        <f t="shared" si="112"/>
        <v>1544.3333333333333</v>
      </c>
      <c r="O209" s="29">
        <f t="shared" si="113"/>
        <v>138990</v>
      </c>
      <c r="P209" s="29">
        <f t="shared" si="114"/>
        <v>194.69006708669608</v>
      </c>
      <c r="Q209" s="30">
        <f t="shared" si="115"/>
        <v>0.12606738641486903</v>
      </c>
      <c r="R209" s="29">
        <f t="shared" si="116"/>
        <v>1505</v>
      </c>
      <c r="S209" s="29">
        <f t="shared" si="117"/>
        <v>135450</v>
      </c>
      <c r="T209" s="30">
        <f t="shared" si="118"/>
        <v>0.12936217082172496</v>
      </c>
      <c r="U209" s="91" t="s">
        <v>517</v>
      </c>
      <c r="V209" s="186" t="s">
        <v>518</v>
      </c>
      <c r="W209" s="186" t="s">
        <v>260</v>
      </c>
    </row>
    <row r="210" spans="1:24" ht="42" customHeight="1">
      <c r="A210" s="49">
        <v>174</v>
      </c>
      <c r="B210" s="61" t="s">
        <v>423</v>
      </c>
      <c r="C210" s="62" t="s">
        <v>519</v>
      </c>
      <c r="D210" s="101">
        <v>30</v>
      </c>
      <c r="E210" s="56" t="s">
        <v>243</v>
      </c>
      <c r="F210" s="56">
        <v>3</v>
      </c>
      <c r="G210" s="56" t="s">
        <v>104</v>
      </c>
      <c r="H210" s="54">
        <f>+(30400*5.35%)+30400</f>
        <v>32026.400000000001</v>
      </c>
      <c r="I210" s="54">
        <f t="shared" si="109"/>
        <v>2882376.0000000005</v>
      </c>
      <c r="J210" s="54">
        <f>+(26085*5.35%)+26085</f>
        <v>27480.547500000001</v>
      </c>
      <c r="K210" s="54">
        <f t="shared" si="110"/>
        <v>2473249.2749999999</v>
      </c>
      <c r="L210" s="54">
        <f>+(29042*5.35%)+29042</f>
        <v>30595.746999999999</v>
      </c>
      <c r="M210" s="54">
        <f t="shared" si="111"/>
        <v>2753617.23</v>
      </c>
      <c r="N210" s="29">
        <f t="shared" si="112"/>
        <v>30034.231499999998</v>
      </c>
      <c r="O210" s="29">
        <f t="shared" si="113"/>
        <v>2703080.835</v>
      </c>
      <c r="P210" s="29">
        <f t="shared" si="114"/>
        <v>1897.8353424352092</v>
      </c>
      <c r="Q210" s="30">
        <f t="shared" si="115"/>
        <v>6.3189076185791851E-2</v>
      </c>
      <c r="R210" s="29">
        <f t="shared" si="116"/>
        <v>30595.746999999999</v>
      </c>
      <c r="S210" s="29">
        <f t="shared" si="117"/>
        <v>2753617.23</v>
      </c>
      <c r="T210" s="30">
        <f t="shared" si="118"/>
        <v>6.2029384098228071E-2</v>
      </c>
      <c r="U210" s="91" t="s">
        <v>425</v>
      </c>
      <c r="V210" s="186" t="s">
        <v>426</v>
      </c>
      <c r="W210" s="186" t="s">
        <v>117</v>
      </c>
    </row>
    <row r="211" spans="1:24" ht="46.5" customHeight="1">
      <c r="A211" s="49">
        <v>175</v>
      </c>
      <c r="B211" s="122" t="s">
        <v>506</v>
      </c>
      <c r="C211" s="62" t="s">
        <v>507</v>
      </c>
      <c r="D211" s="101">
        <v>50</v>
      </c>
      <c r="E211" s="56" t="s">
        <v>243</v>
      </c>
      <c r="F211" s="56">
        <v>3</v>
      </c>
      <c r="G211" s="56" t="s">
        <v>104</v>
      </c>
      <c r="H211" s="166">
        <v>73900</v>
      </c>
      <c r="I211" s="54">
        <f t="shared" si="109"/>
        <v>11085000</v>
      </c>
      <c r="J211" s="59">
        <f>+(62300*100)/119</f>
        <v>52352.941176470587</v>
      </c>
      <c r="K211" s="54">
        <f t="shared" si="110"/>
        <v>7852941.176470587</v>
      </c>
      <c r="L211" s="167">
        <f>+(78000*100)/119</f>
        <v>65546.218487394959</v>
      </c>
      <c r="M211" s="54">
        <f t="shared" si="111"/>
        <v>9831932.7731092423</v>
      </c>
      <c r="N211" s="29">
        <f t="shared" si="112"/>
        <v>63933.053221288515</v>
      </c>
      <c r="O211" s="29">
        <f t="shared" si="113"/>
        <v>9589957.9831932783</v>
      </c>
      <c r="P211" s="29">
        <f t="shared" si="114"/>
        <v>8870.1996451785053</v>
      </c>
      <c r="Q211" s="30">
        <f t="shared" si="115"/>
        <v>0.13874199961131989</v>
      </c>
      <c r="R211" s="29">
        <f t="shared" si="116"/>
        <v>65546.218487394959</v>
      </c>
      <c r="S211" s="29">
        <f t="shared" si="117"/>
        <v>9831932.7731092423</v>
      </c>
      <c r="T211" s="30">
        <f t="shared" si="118"/>
        <v>0.13532740484310796</v>
      </c>
      <c r="U211" s="55" t="s">
        <v>421</v>
      </c>
      <c r="V211" s="55" t="s">
        <v>422</v>
      </c>
      <c r="W211" s="55" t="s">
        <v>332</v>
      </c>
    </row>
    <row r="212" spans="1:24" ht="69.75" customHeight="1">
      <c r="A212" s="49">
        <v>176</v>
      </c>
      <c r="B212" s="61" t="s">
        <v>427</v>
      </c>
      <c r="C212" s="62" t="s">
        <v>428</v>
      </c>
      <c r="D212" s="101">
        <v>10</v>
      </c>
      <c r="E212" s="56" t="s">
        <v>243</v>
      </c>
      <c r="F212" s="56">
        <v>3</v>
      </c>
      <c r="G212" s="56" t="s">
        <v>104</v>
      </c>
      <c r="H212" s="54">
        <f>+(36900*100)/119</f>
        <v>31008.403361344539</v>
      </c>
      <c r="I212" s="54">
        <f t="shared" si="109"/>
        <v>930252.10084033618</v>
      </c>
      <c r="J212" s="54">
        <f>+(29970*100)/119</f>
        <v>25184.873949579833</v>
      </c>
      <c r="K212" s="54">
        <f t="shared" si="110"/>
        <v>755546.21848739497</v>
      </c>
      <c r="L212" s="54">
        <f>+(27900*100)/119</f>
        <v>23445.378151260506</v>
      </c>
      <c r="M212" s="54">
        <f t="shared" si="111"/>
        <v>703361.3445378152</v>
      </c>
      <c r="N212" s="29">
        <f t="shared" si="112"/>
        <v>26546.218487394959</v>
      </c>
      <c r="O212" s="29">
        <f t="shared" si="113"/>
        <v>796386.55462184886</v>
      </c>
      <c r="P212" s="29">
        <f t="shared" si="114"/>
        <v>3234.1698363022483</v>
      </c>
      <c r="Q212" s="30">
        <f t="shared" si="115"/>
        <v>0.12183165891736863</v>
      </c>
      <c r="R212" s="29">
        <f t="shared" si="116"/>
        <v>25184.873949579833</v>
      </c>
      <c r="S212" s="29">
        <f t="shared" si="117"/>
        <v>755546.21848739497</v>
      </c>
      <c r="T212" s="30">
        <f t="shared" si="118"/>
        <v>0.12841715399398315</v>
      </c>
      <c r="U212" s="195" t="s">
        <v>429</v>
      </c>
      <c r="V212" s="129" t="s">
        <v>430</v>
      </c>
      <c r="W212" s="129" t="s">
        <v>431</v>
      </c>
    </row>
    <row r="213" spans="1:24" ht="42" customHeight="1">
      <c r="A213" s="49">
        <v>177</v>
      </c>
      <c r="B213" s="61" t="s">
        <v>451</v>
      </c>
      <c r="C213" s="62" t="s">
        <v>520</v>
      </c>
      <c r="D213" s="101">
        <v>6</v>
      </c>
      <c r="E213" s="56" t="s">
        <v>243</v>
      </c>
      <c r="F213" s="56">
        <v>3</v>
      </c>
      <c r="G213" s="56" t="s">
        <v>104</v>
      </c>
      <c r="H213" s="59">
        <f>+(270000*100)/119</f>
        <v>226890.75630252101</v>
      </c>
      <c r="I213" s="54">
        <f t="shared" si="109"/>
        <v>4084033.6134453784</v>
      </c>
      <c r="J213" s="59">
        <f>+(184874*5.35%)+184874</f>
        <v>194764.75899999999</v>
      </c>
      <c r="K213" s="54">
        <f t="shared" si="110"/>
        <v>3505765.662</v>
      </c>
      <c r="L213" s="59">
        <v>195000</v>
      </c>
      <c r="M213" s="54">
        <f t="shared" si="111"/>
        <v>3510000</v>
      </c>
      <c r="N213" s="29">
        <f t="shared" si="112"/>
        <v>205551.83843417364</v>
      </c>
      <c r="O213" s="29">
        <f t="shared" si="113"/>
        <v>3699933.0918151257</v>
      </c>
      <c r="P213" s="29">
        <f t="shared" si="114"/>
        <v>15089.199148752627</v>
      </c>
      <c r="Q213" s="30">
        <f t="shared" si="115"/>
        <v>7.3408242240483895E-2</v>
      </c>
      <c r="R213" s="29">
        <f t="shared" si="116"/>
        <v>195000</v>
      </c>
      <c r="S213" s="29">
        <f t="shared" si="117"/>
        <v>3510000</v>
      </c>
      <c r="T213" s="30">
        <f t="shared" si="118"/>
        <v>7.7380508455141675E-2</v>
      </c>
      <c r="U213" s="198" t="s">
        <v>276</v>
      </c>
      <c r="V213" s="199" t="s">
        <v>521</v>
      </c>
      <c r="W213" s="199" t="s">
        <v>522</v>
      </c>
    </row>
    <row r="214" spans="1:24" ht="46.5" customHeight="1">
      <c r="A214" s="49">
        <v>178</v>
      </c>
      <c r="B214" s="61" t="s">
        <v>401</v>
      </c>
      <c r="C214" s="70" t="s">
        <v>500</v>
      </c>
      <c r="D214" s="101">
        <v>1</v>
      </c>
      <c r="E214" s="56" t="s">
        <v>243</v>
      </c>
      <c r="F214" s="56">
        <v>3</v>
      </c>
      <c r="G214" s="56" t="s">
        <v>104</v>
      </c>
      <c r="H214" s="54">
        <v>1500000</v>
      </c>
      <c r="I214" s="54">
        <f t="shared" si="109"/>
        <v>4500000</v>
      </c>
      <c r="J214" s="54">
        <v>1800000</v>
      </c>
      <c r="K214" s="54">
        <f t="shared" si="110"/>
        <v>5400000</v>
      </c>
      <c r="L214" s="54">
        <v>1300000</v>
      </c>
      <c r="M214" s="54">
        <f t="shared" si="111"/>
        <v>3900000</v>
      </c>
      <c r="N214" s="29">
        <f t="shared" si="112"/>
        <v>1533333.3333333333</v>
      </c>
      <c r="O214" s="29">
        <f t="shared" si="113"/>
        <v>4600000</v>
      </c>
      <c r="P214" s="29">
        <f t="shared" si="114"/>
        <v>205480.46676563253</v>
      </c>
      <c r="Q214" s="30">
        <f t="shared" si="115"/>
        <v>0.13400900006454297</v>
      </c>
      <c r="R214" s="29">
        <f t="shared" si="116"/>
        <v>1500000</v>
      </c>
      <c r="S214" s="29">
        <f t="shared" si="117"/>
        <v>4500000</v>
      </c>
      <c r="T214" s="30">
        <f t="shared" si="118"/>
        <v>0.13698697784375502</v>
      </c>
      <c r="U214" s="68" t="s">
        <v>501</v>
      </c>
      <c r="V214" s="69" t="s">
        <v>253</v>
      </c>
      <c r="W214" s="69" t="s">
        <v>133</v>
      </c>
    </row>
    <row r="215" spans="1:24" ht="46.5" customHeight="1">
      <c r="A215" s="49">
        <v>179</v>
      </c>
      <c r="B215" s="122" t="s">
        <v>523</v>
      </c>
      <c r="C215" s="62" t="s">
        <v>524</v>
      </c>
      <c r="D215" s="101">
        <v>2</v>
      </c>
      <c r="E215" s="56" t="s">
        <v>243</v>
      </c>
      <c r="F215" s="56">
        <v>3</v>
      </c>
      <c r="G215" s="56" t="s">
        <v>104</v>
      </c>
      <c r="H215" s="54">
        <f>+(178000*100)/119</f>
        <v>149579.83193277312</v>
      </c>
      <c r="I215" s="54">
        <f t="shared" si="109"/>
        <v>897478.99159663869</v>
      </c>
      <c r="J215" s="54">
        <f>+(178500*100)/119</f>
        <v>150000</v>
      </c>
      <c r="K215" s="54">
        <f t="shared" si="110"/>
        <v>900000</v>
      </c>
      <c r="L215" s="102">
        <f>+(198432*5.35%)+198432</f>
        <v>209048.11199999999</v>
      </c>
      <c r="M215" s="63">
        <f t="shared" si="111"/>
        <v>1254288.672</v>
      </c>
      <c r="N215" s="29">
        <f t="shared" si="112"/>
        <v>169542.64797759103</v>
      </c>
      <c r="O215" s="29">
        <f t="shared" si="113"/>
        <v>1017255.8878655462</v>
      </c>
      <c r="P215" s="29">
        <f t="shared" si="114"/>
        <v>27935.108149907814</v>
      </c>
      <c r="Q215" s="30">
        <f t="shared" si="115"/>
        <v>0.16476744042360411</v>
      </c>
      <c r="R215" s="29">
        <f t="shared" si="116"/>
        <v>150000</v>
      </c>
      <c r="S215" s="29">
        <f t="shared" si="117"/>
        <v>900000</v>
      </c>
      <c r="T215" s="30">
        <f t="shared" si="118"/>
        <v>0.18623405433271875</v>
      </c>
      <c r="U215" s="56" t="s">
        <v>525</v>
      </c>
      <c r="V215" s="56" t="s">
        <v>134</v>
      </c>
      <c r="W215" s="56" t="s">
        <v>526</v>
      </c>
    </row>
    <row r="216" spans="1:24" ht="46.5" customHeight="1">
      <c r="A216" s="49">
        <v>180</v>
      </c>
      <c r="B216" s="61" t="s">
        <v>527</v>
      </c>
      <c r="C216" s="62" t="s">
        <v>528</v>
      </c>
      <c r="D216" s="101">
        <v>360</v>
      </c>
      <c r="E216" s="56" t="s">
        <v>243</v>
      </c>
      <c r="F216" s="56">
        <v>3</v>
      </c>
      <c r="G216" s="56" t="s">
        <v>104</v>
      </c>
      <c r="H216" s="59">
        <v>1345</v>
      </c>
      <c r="I216" s="54">
        <f t="shared" si="109"/>
        <v>1452600</v>
      </c>
      <c r="J216" s="59">
        <v>1933</v>
      </c>
      <c r="K216" s="54">
        <f t="shared" si="110"/>
        <v>2087640</v>
      </c>
      <c r="L216" s="59">
        <v>1765</v>
      </c>
      <c r="M216" s="54">
        <f t="shared" si="111"/>
        <v>1906200</v>
      </c>
      <c r="N216" s="29">
        <f t="shared" si="112"/>
        <v>1681</v>
      </c>
      <c r="O216" s="29">
        <f t="shared" si="113"/>
        <v>1815480</v>
      </c>
      <c r="P216" s="29">
        <f t="shared" si="114"/>
        <v>247.28930425717971</v>
      </c>
      <c r="Q216" s="30">
        <f t="shared" si="115"/>
        <v>0.14710844988529428</v>
      </c>
      <c r="R216" s="29">
        <f t="shared" si="116"/>
        <v>1765</v>
      </c>
      <c r="S216" s="29">
        <f t="shared" si="117"/>
        <v>1906200</v>
      </c>
      <c r="T216" s="30">
        <f t="shared" si="118"/>
        <v>0.14010725453664571</v>
      </c>
      <c r="U216" s="68" t="s">
        <v>128</v>
      </c>
      <c r="V216" s="69" t="s">
        <v>129</v>
      </c>
      <c r="W216" s="69" t="s">
        <v>130</v>
      </c>
    </row>
    <row r="217" spans="1:24" ht="243" customHeight="1">
      <c r="A217" s="49">
        <v>181</v>
      </c>
      <c r="B217" s="61" t="s">
        <v>495</v>
      </c>
      <c r="C217" s="145" t="s">
        <v>312</v>
      </c>
      <c r="D217" s="200">
        <v>180</v>
      </c>
      <c r="E217" s="56" t="s">
        <v>243</v>
      </c>
      <c r="F217" s="56">
        <v>3</v>
      </c>
      <c r="G217" s="56" t="s">
        <v>104</v>
      </c>
      <c r="H217" s="54">
        <f>+(10756*100)/119</f>
        <v>9038.6554621848736</v>
      </c>
      <c r="I217" s="54">
        <f t="shared" si="109"/>
        <v>4880873.9495798321</v>
      </c>
      <c r="J217" s="54">
        <f>+(12017*100)/119</f>
        <v>10098.319327731093</v>
      </c>
      <c r="K217" s="54">
        <f t="shared" si="110"/>
        <v>5453092.4369747899</v>
      </c>
      <c r="L217" s="54">
        <f>+(10900*100)/119</f>
        <v>9159.6638655462193</v>
      </c>
      <c r="M217" s="54">
        <f t="shared" si="111"/>
        <v>4946218.4873949587</v>
      </c>
      <c r="N217" s="29">
        <f t="shared" si="112"/>
        <v>9432.212885154062</v>
      </c>
      <c r="O217" s="29">
        <f t="shared" si="113"/>
        <v>5093394.9579831939</v>
      </c>
      <c r="P217" s="29">
        <f t="shared" si="114"/>
        <v>473.59202066264169</v>
      </c>
      <c r="Q217" s="30">
        <f t="shared" si="115"/>
        <v>5.0210064852125764E-2</v>
      </c>
      <c r="R217" s="29">
        <f t="shared" si="116"/>
        <v>9159.6638655462193</v>
      </c>
      <c r="S217" s="29">
        <f t="shared" si="117"/>
        <v>4946218.4873949587</v>
      </c>
      <c r="T217" s="30">
        <f t="shared" si="118"/>
        <v>5.1704082989774636E-2</v>
      </c>
      <c r="U217" s="68" t="s">
        <v>147</v>
      </c>
      <c r="V217" s="69" t="s">
        <v>313</v>
      </c>
      <c r="W217" s="69" t="s">
        <v>149</v>
      </c>
      <c r="X217" s="201"/>
    </row>
    <row r="218" spans="1:24" ht="30.75" customHeight="1">
      <c r="A218" s="49">
        <v>182</v>
      </c>
      <c r="B218" s="61" t="s">
        <v>390</v>
      </c>
      <c r="C218" s="62" t="s">
        <v>529</v>
      </c>
      <c r="D218" s="101">
        <v>54</v>
      </c>
      <c r="E218" s="56" t="s">
        <v>243</v>
      </c>
      <c r="F218" s="56">
        <v>3</v>
      </c>
      <c r="G218" s="56" t="s">
        <v>104</v>
      </c>
      <c r="H218" s="54">
        <v>6500</v>
      </c>
      <c r="I218" s="54">
        <f t="shared" si="109"/>
        <v>1053000</v>
      </c>
      <c r="J218" s="54">
        <f>+(4622*5.35%)+4622</f>
        <v>4869.277</v>
      </c>
      <c r="K218" s="54">
        <f t="shared" si="110"/>
        <v>788822.87399999995</v>
      </c>
      <c r="L218" s="54">
        <f>+(4958*5.35%)+4958</f>
        <v>5223.2529999999997</v>
      </c>
      <c r="M218" s="54">
        <f t="shared" si="111"/>
        <v>846166.98599999992</v>
      </c>
      <c r="N218" s="29">
        <f t="shared" si="112"/>
        <v>5530.8433333333332</v>
      </c>
      <c r="O218" s="29">
        <f t="shared" si="113"/>
        <v>895996.61999999988</v>
      </c>
      <c r="P218" s="29">
        <f t="shared" si="114"/>
        <v>700.36811061628191</v>
      </c>
      <c r="Q218" s="30">
        <f t="shared" si="115"/>
        <v>0.1266295334014069</v>
      </c>
      <c r="R218" s="29">
        <f t="shared" si="116"/>
        <v>5223.2529999999997</v>
      </c>
      <c r="S218" s="29">
        <f t="shared" si="117"/>
        <v>846166.98600000003</v>
      </c>
      <c r="T218" s="30">
        <f t="shared" si="118"/>
        <v>0.13408657605064928</v>
      </c>
      <c r="U218" s="68" t="s">
        <v>276</v>
      </c>
      <c r="V218" s="69" t="s">
        <v>277</v>
      </c>
      <c r="W218" s="69" t="s">
        <v>278</v>
      </c>
    </row>
    <row r="219" spans="1:24" ht="30.75" customHeight="1">
      <c r="A219" s="49">
        <v>183</v>
      </c>
      <c r="B219" s="122" t="s">
        <v>530</v>
      </c>
      <c r="C219" s="62" t="s">
        <v>531</v>
      </c>
      <c r="D219" s="101">
        <v>54</v>
      </c>
      <c r="E219" s="56" t="s">
        <v>243</v>
      </c>
      <c r="F219" s="56">
        <v>3</v>
      </c>
      <c r="G219" s="56" t="s">
        <v>104</v>
      </c>
      <c r="H219" s="54">
        <v>5900</v>
      </c>
      <c r="I219" s="54">
        <f t="shared" si="109"/>
        <v>955800</v>
      </c>
      <c r="J219" s="103">
        <f>+(6000*100)/119</f>
        <v>5042.0168067226887</v>
      </c>
      <c r="K219" s="54">
        <f t="shared" si="110"/>
        <v>816806.72268907563</v>
      </c>
      <c r="L219" s="54">
        <v>4800</v>
      </c>
      <c r="M219" s="54">
        <f t="shared" si="111"/>
        <v>777600</v>
      </c>
      <c r="N219" s="29">
        <f t="shared" si="112"/>
        <v>5247.3389355742293</v>
      </c>
      <c r="O219" s="29">
        <f t="shared" si="113"/>
        <v>850068.90756302513</v>
      </c>
      <c r="P219" s="29">
        <f t="shared" si="114"/>
        <v>471.95895474578197</v>
      </c>
      <c r="Q219" s="30">
        <f t="shared" si="115"/>
        <v>8.9942532880074824E-2</v>
      </c>
      <c r="R219" s="29">
        <f t="shared" si="116"/>
        <v>5042.0168067226887</v>
      </c>
      <c r="S219" s="29">
        <f t="shared" si="117"/>
        <v>816806.72268907563</v>
      </c>
      <c r="T219" s="30">
        <f t="shared" si="118"/>
        <v>9.3605192691246758E-2</v>
      </c>
      <c r="U219" s="202" t="s">
        <v>173</v>
      </c>
      <c r="V219" s="203" t="s">
        <v>301</v>
      </c>
      <c r="W219" s="204" t="s">
        <v>532</v>
      </c>
    </row>
    <row r="220" spans="1:24" ht="27.75" customHeight="1">
      <c r="A220" s="49">
        <v>184</v>
      </c>
      <c r="B220" s="61" t="s">
        <v>533</v>
      </c>
      <c r="C220" s="62" t="s">
        <v>534</v>
      </c>
      <c r="D220" s="101">
        <v>1</v>
      </c>
      <c r="E220" s="56" t="s">
        <v>243</v>
      </c>
      <c r="F220" s="56">
        <v>3</v>
      </c>
      <c r="G220" s="56" t="s">
        <v>104</v>
      </c>
      <c r="H220" s="54">
        <f>+(23800*100)/119</f>
        <v>20000</v>
      </c>
      <c r="I220" s="54">
        <f t="shared" si="109"/>
        <v>60000</v>
      </c>
      <c r="J220" s="54">
        <f>+(22000*100)/119</f>
        <v>18487.394957983193</v>
      </c>
      <c r="K220" s="54">
        <f t="shared" si="110"/>
        <v>55462.184873949576</v>
      </c>
      <c r="L220" s="54">
        <f>+(25000*100)/119</f>
        <v>21008.403361344539</v>
      </c>
      <c r="M220" s="54">
        <f t="shared" si="111"/>
        <v>63025.210084033621</v>
      </c>
      <c r="N220" s="29">
        <f t="shared" si="112"/>
        <v>19831.932773109245</v>
      </c>
      <c r="O220" s="29">
        <f t="shared" si="113"/>
        <v>59495.798319327732</v>
      </c>
      <c r="P220" s="29">
        <f t="shared" si="114"/>
        <v>1036.0359668855428</v>
      </c>
      <c r="Q220" s="30">
        <f t="shared" si="115"/>
        <v>5.2240796635330336E-2</v>
      </c>
      <c r="R220" s="29">
        <f t="shared" si="116"/>
        <v>20000</v>
      </c>
      <c r="S220" s="29">
        <f t="shared" si="117"/>
        <v>60000</v>
      </c>
      <c r="T220" s="30">
        <f t="shared" si="118"/>
        <v>5.1801798344277145E-2</v>
      </c>
      <c r="U220" s="56" t="s">
        <v>535</v>
      </c>
      <c r="V220" s="56" t="s">
        <v>536</v>
      </c>
      <c r="W220" s="56" t="s">
        <v>537</v>
      </c>
    </row>
    <row r="221" spans="1:24" ht="30.75" customHeight="1">
      <c r="A221" s="49">
        <v>185</v>
      </c>
      <c r="B221" s="61" t="s">
        <v>508</v>
      </c>
      <c r="C221" s="62" t="s">
        <v>509</v>
      </c>
      <c r="D221" s="101">
        <v>6</v>
      </c>
      <c r="E221" s="56" t="s">
        <v>243</v>
      </c>
      <c r="F221" s="56">
        <v>3</v>
      </c>
      <c r="G221" s="56" t="s">
        <v>104</v>
      </c>
      <c r="H221" s="54">
        <f>+(99900*100)/119</f>
        <v>83949.579831932773</v>
      </c>
      <c r="I221" s="54">
        <f t="shared" si="109"/>
        <v>1511092.4369747899</v>
      </c>
      <c r="J221" s="54">
        <f>+(119900*100)/119</f>
        <v>100756.3025210084</v>
      </c>
      <c r="K221" s="54">
        <f t="shared" si="110"/>
        <v>1813613.4453781513</v>
      </c>
      <c r="L221" s="54">
        <f>+(99900*100)/119</f>
        <v>83949.579831932773</v>
      </c>
      <c r="M221" s="54">
        <f t="shared" si="111"/>
        <v>1511092.4369747899</v>
      </c>
      <c r="N221" s="29">
        <f t="shared" si="112"/>
        <v>89551.820728291306</v>
      </c>
      <c r="O221" s="29">
        <f t="shared" si="113"/>
        <v>1611932.7731092437</v>
      </c>
      <c r="P221" s="29">
        <f t="shared" si="114"/>
        <v>7922.7650553114563</v>
      </c>
      <c r="Q221" s="30">
        <f t="shared" si="115"/>
        <v>8.8471289482208018E-2</v>
      </c>
      <c r="R221" s="29">
        <f t="shared" si="116"/>
        <v>83949.579831932773</v>
      </c>
      <c r="S221" s="29">
        <f t="shared" si="117"/>
        <v>1511092.4369747899</v>
      </c>
      <c r="T221" s="30">
        <f t="shared" si="118"/>
        <v>9.4375279437643969E-2</v>
      </c>
      <c r="U221" s="56" t="s">
        <v>510</v>
      </c>
      <c r="V221" s="56" t="s">
        <v>511</v>
      </c>
      <c r="W221" s="56" t="s">
        <v>512</v>
      </c>
    </row>
    <row r="222" spans="1:24" ht="42" customHeight="1">
      <c r="A222" s="49">
        <v>186</v>
      </c>
      <c r="B222" s="122" t="s">
        <v>538</v>
      </c>
      <c r="C222" s="62" t="s">
        <v>539</v>
      </c>
      <c r="D222" s="101">
        <v>1</v>
      </c>
      <c r="E222" s="56" t="s">
        <v>243</v>
      </c>
      <c r="F222" s="56">
        <v>3</v>
      </c>
      <c r="G222" s="56" t="s">
        <v>104</v>
      </c>
      <c r="H222" s="54">
        <f>+(34922*100)/119</f>
        <v>29346.218487394959</v>
      </c>
      <c r="I222" s="54">
        <f t="shared" si="109"/>
        <v>88038.655462184877</v>
      </c>
      <c r="J222" s="103">
        <f>+(30504*100)/119</f>
        <v>25633.613445378152</v>
      </c>
      <c r="K222" s="54">
        <f t="shared" si="110"/>
        <v>76900.840336134454</v>
      </c>
      <c r="L222" s="54">
        <f>+(32218*100)/119</f>
        <v>27073.949579831933</v>
      </c>
      <c r="M222" s="54">
        <f t="shared" si="111"/>
        <v>81221.848739495792</v>
      </c>
      <c r="N222" s="29">
        <f t="shared" si="112"/>
        <v>27351.260504201684</v>
      </c>
      <c r="O222" s="29">
        <f t="shared" si="113"/>
        <v>82053.781512605055</v>
      </c>
      <c r="P222" s="29">
        <f t="shared" si="114"/>
        <v>1528.2964505364041</v>
      </c>
      <c r="Q222" s="30">
        <f t="shared" si="115"/>
        <v>5.5876636848295462E-2</v>
      </c>
      <c r="R222" s="29">
        <f t="shared" si="116"/>
        <v>27073.949579831933</v>
      </c>
      <c r="S222" s="29">
        <f t="shared" si="117"/>
        <v>81221.848739495792</v>
      </c>
      <c r="T222" s="30">
        <f t="shared" si="118"/>
        <v>5.644896567565711E-2</v>
      </c>
      <c r="U222" s="55" t="s">
        <v>540</v>
      </c>
      <c r="V222" s="205" t="s">
        <v>541</v>
      </c>
      <c r="W222" s="55" t="s">
        <v>542</v>
      </c>
    </row>
    <row r="223" spans="1:24" ht="45" customHeight="1">
      <c r="A223" s="49">
        <v>187</v>
      </c>
      <c r="B223" s="179" t="s">
        <v>102</v>
      </c>
      <c r="C223" s="179" t="s">
        <v>247</v>
      </c>
      <c r="D223" s="62">
        <v>1</v>
      </c>
      <c r="E223" s="56" t="s">
        <v>41</v>
      </c>
      <c r="F223" s="33">
        <v>3</v>
      </c>
      <c r="G223" s="56" t="s">
        <v>104</v>
      </c>
      <c r="H223" s="63">
        <v>2180000</v>
      </c>
      <c r="I223" s="63">
        <f t="shared" si="109"/>
        <v>6540000</v>
      </c>
      <c r="J223" s="63">
        <v>3000000</v>
      </c>
      <c r="K223" s="63">
        <f t="shared" si="110"/>
        <v>9000000</v>
      </c>
      <c r="L223" s="64">
        <v>2640000</v>
      </c>
      <c r="M223" s="63">
        <f t="shared" si="111"/>
        <v>7920000</v>
      </c>
      <c r="N223" s="29">
        <f t="shared" si="112"/>
        <v>2606666.6666666665</v>
      </c>
      <c r="O223" s="29">
        <f t="shared" si="113"/>
        <v>7820000</v>
      </c>
      <c r="P223" s="29">
        <f t="shared" si="114"/>
        <v>335592.34529741918</v>
      </c>
      <c r="Q223" s="30">
        <f t="shared" si="115"/>
        <v>0.12874386648238589</v>
      </c>
      <c r="R223" s="29">
        <f t="shared" si="116"/>
        <v>2640000</v>
      </c>
      <c r="S223" s="29">
        <f t="shared" si="117"/>
        <v>7920000</v>
      </c>
      <c r="T223" s="30">
        <f t="shared" si="118"/>
        <v>0.12711831261265877</v>
      </c>
      <c r="U223" s="65" t="s">
        <v>105</v>
      </c>
      <c r="V223" s="65" t="s">
        <v>106</v>
      </c>
      <c r="W223" s="65" t="s">
        <v>107</v>
      </c>
    </row>
    <row r="224" spans="1:24" ht="42" customHeight="1">
      <c r="A224" s="49">
        <v>188</v>
      </c>
      <c r="B224" s="61" t="s">
        <v>543</v>
      </c>
      <c r="C224" s="62" t="s">
        <v>544</v>
      </c>
      <c r="D224" s="101">
        <v>4</v>
      </c>
      <c r="E224" s="56" t="s">
        <v>243</v>
      </c>
      <c r="F224" s="56">
        <v>3</v>
      </c>
      <c r="G224" s="56" t="s">
        <v>104</v>
      </c>
      <c r="H224" s="54">
        <v>8235</v>
      </c>
      <c r="I224" s="54">
        <f t="shared" si="109"/>
        <v>98820</v>
      </c>
      <c r="J224" s="54">
        <f>+(6723*5.35%)+6723</f>
        <v>7082.6805000000004</v>
      </c>
      <c r="K224" s="54">
        <f t="shared" si="110"/>
        <v>84992.165999999997</v>
      </c>
      <c r="L224" s="54">
        <v>8403</v>
      </c>
      <c r="M224" s="54">
        <f t="shared" si="111"/>
        <v>100836</v>
      </c>
      <c r="N224" s="29">
        <f t="shared" si="112"/>
        <v>7906.893500000001</v>
      </c>
      <c r="O224" s="29">
        <f t="shared" si="113"/>
        <v>94882.722000000009</v>
      </c>
      <c r="P224" s="29">
        <f t="shared" si="114"/>
        <v>586.82836901814812</v>
      </c>
      <c r="Q224" s="30">
        <f t="shared" si="115"/>
        <v>7.4217310378361365E-2</v>
      </c>
      <c r="R224" s="29">
        <f t="shared" si="116"/>
        <v>8235</v>
      </c>
      <c r="S224" s="29">
        <f t="shared" si="117"/>
        <v>98820</v>
      </c>
      <c r="T224" s="30">
        <f t="shared" si="118"/>
        <v>7.126027553347275E-2</v>
      </c>
      <c r="U224" s="125" t="s">
        <v>107</v>
      </c>
      <c r="V224" s="74" t="s">
        <v>545</v>
      </c>
      <c r="W224" s="69" t="s">
        <v>253</v>
      </c>
    </row>
    <row r="225" spans="1:25" ht="69.75" customHeight="1">
      <c r="A225" s="49">
        <v>189</v>
      </c>
      <c r="B225" s="306" t="s">
        <v>546</v>
      </c>
      <c r="C225" s="62" t="s">
        <v>547</v>
      </c>
      <c r="D225" s="101">
        <v>3</v>
      </c>
      <c r="E225" s="56" t="s">
        <v>243</v>
      </c>
      <c r="F225" s="56">
        <v>3</v>
      </c>
      <c r="G225" s="56" t="s">
        <v>104</v>
      </c>
      <c r="H225" s="167">
        <v>672</v>
      </c>
      <c r="I225" s="54">
        <f t="shared" si="109"/>
        <v>6048</v>
      </c>
      <c r="J225" s="59">
        <v>504</v>
      </c>
      <c r="K225" s="54">
        <f t="shared" si="110"/>
        <v>4536</v>
      </c>
      <c r="L225" s="167">
        <v>294</v>
      </c>
      <c r="M225" s="54">
        <f t="shared" si="111"/>
        <v>2646</v>
      </c>
      <c r="N225" s="29">
        <f t="shared" si="112"/>
        <v>490</v>
      </c>
      <c r="O225" s="29">
        <f t="shared" si="113"/>
        <v>4410</v>
      </c>
      <c r="P225" s="29">
        <f t="shared" si="114"/>
        <v>154.63505424062166</v>
      </c>
      <c r="Q225" s="30">
        <f t="shared" si="115"/>
        <v>0.31558174334820749</v>
      </c>
      <c r="R225" s="29">
        <f t="shared" si="116"/>
        <v>504</v>
      </c>
      <c r="S225" s="29">
        <f t="shared" si="117"/>
        <v>4536</v>
      </c>
      <c r="T225" s="30">
        <f t="shared" si="118"/>
        <v>0.30681558381075724</v>
      </c>
      <c r="U225" s="206" t="s">
        <v>548</v>
      </c>
      <c r="V225" s="207" t="s">
        <v>549</v>
      </c>
      <c r="W225" s="206" t="s">
        <v>550</v>
      </c>
    </row>
    <row r="226" spans="1:25" ht="30.75" customHeight="1">
      <c r="A226" s="49">
        <v>190</v>
      </c>
      <c r="B226" s="306"/>
      <c r="C226" s="62" t="s">
        <v>551</v>
      </c>
      <c r="D226" s="101">
        <v>3</v>
      </c>
      <c r="E226" s="56" t="s">
        <v>243</v>
      </c>
      <c r="F226" s="56">
        <v>3</v>
      </c>
      <c r="G226" s="56" t="s">
        <v>104</v>
      </c>
      <c r="H226" s="59">
        <v>800</v>
      </c>
      <c r="I226" s="54">
        <f t="shared" si="109"/>
        <v>7200</v>
      </c>
      <c r="J226" s="59">
        <v>1000</v>
      </c>
      <c r="K226" s="54">
        <f t="shared" si="110"/>
        <v>9000</v>
      </c>
      <c r="L226" s="59">
        <v>800</v>
      </c>
      <c r="M226" s="54">
        <f t="shared" si="111"/>
        <v>7200</v>
      </c>
      <c r="N226" s="29">
        <f t="shared" si="112"/>
        <v>866.66666666666663</v>
      </c>
      <c r="O226" s="29">
        <f t="shared" si="113"/>
        <v>7800</v>
      </c>
      <c r="P226" s="29">
        <f t="shared" si="114"/>
        <v>94.28090415820634</v>
      </c>
      <c r="Q226" s="30">
        <f t="shared" si="115"/>
        <v>0.10878565864408424</v>
      </c>
      <c r="R226" s="29">
        <f t="shared" si="116"/>
        <v>800</v>
      </c>
      <c r="S226" s="29">
        <f t="shared" si="117"/>
        <v>7200</v>
      </c>
      <c r="T226" s="30">
        <f t="shared" si="118"/>
        <v>0.11785113019775792</v>
      </c>
      <c r="U226" s="208" t="s">
        <v>552</v>
      </c>
      <c r="V226" s="208" t="s">
        <v>553</v>
      </c>
      <c r="W226" s="208" t="s">
        <v>554</v>
      </c>
    </row>
    <row r="227" spans="1:25" ht="56.25" customHeight="1">
      <c r="A227" s="49">
        <v>191</v>
      </c>
      <c r="B227" s="306"/>
      <c r="C227" s="62" t="s">
        <v>555</v>
      </c>
      <c r="D227" s="101">
        <v>3</v>
      </c>
      <c r="E227" s="56" t="s">
        <v>243</v>
      </c>
      <c r="F227" s="56">
        <v>3</v>
      </c>
      <c r="G227" s="56" t="s">
        <v>104</v>
      </c>
      <c r="H227" s="59">
        <v>1899</v>
      </c>
      <c r="I227" s="54">
        <f t="shared" si="109"/>
        <v>17091</v>
      </c>
      <c r="J227" s="59">
        <v>1770</v>
      </c>
      <c r="K227" s="54">
        <f t="shared" si="110"/>
        <v>15930</v>
      </c>
      <c r="L227" s="59">
        <v>1599</v>
      </c>
      <c r="M227" s="54">
        <f t="shared" si="111"/>
        <v>14391</v>
      </c>
      <c r="N227" s="29">
        <f t="shared" si="112"/>
        <v>1756</v>
      </c>
      <c r="O227" s="29">
        <f t="shared" si="113"/>
        <v>15804</v>
      </c>
      <c r="P227" s="29">
        <f t="shared" si="114"/>
        <v>122.87391912037315</v>
      </c>
      <c r="Q227" s="30">
        <f t="shared" si="115"/>
        <v>6.9973758041214779E-2</v>
      </c>
      <c r="R227" s="29">
        <f t="shared" si="116"/>
        <v>1770</v>
      </c>
      <c r="S227" s="29">
        <f t="shared" si="117"/>
        <v>15930</v>
      </c>
      <c r="T227" s="30">
        <f t="shared" si="118"/>
        <v>6.942029328834641E-2</v>
      </c>
      <c r="U227" s="208" t="s">
        <v>556</v>
      </c>
      <c r="V227" s="208" t="s">
        <v>557</v>
      </c>
      <c r="W227" s="208" t="s">
        <v>558</v>
      </c>
    </row>
    <row r="228" spans="1:25" ht="172.5" customHeight="1">
      <c r="A228" s="49">
        <v>192</v>
      </c>
      <c r="B228" s="154" t="s">
        <v>559</v>
      </c>
      <c r="C228" s="154" t="s">
        <v>560</v>
      </c>
      <c r="D228" s="156">
        <v>1</v>
      </c>
      <c r="E228" s="156" t="s">
        <v>515</v>
      </c>
      <c r="F228" s="156">
        <v>3</v>
      </c>
      <c r="G228" s="156" t="s">
        <v>104</v>
      </c>
      <c r="H228" s="54">
        <v>7000000</v>
      </c>
      <c r="I228" s="54">
        <f t="shared" si="109"/>
        <v>21000000</v>
      </c>
      <c r="J228" s="54"/>
      <c r="K228" s="54"/>
      <c r="L228" s="54"/>
      <c r="M228" s="54"/>
      <c r="N228" s="29">
        <f t="shared" si="112"/>
        <v>7000000</v>
      </c>
      <c r="O228" s="29">
        <f t="shared" si="113"/>
        <v>21000000</v>
      </c>
      <c r="P228" s="29">
        <f t="shared" si="114"/>
        <v>0</v>
      </c>
      <c r="Q228" s="30">
        <f t="shared" si="115"/>
        <v>0</v>
      </c>
      <c r="R228" s="29">
        <f t="shared" si="116"/>
        <v>7000000</v>
      </c>
      <c r="S228" s="29">
        <f t="shared" si="117"/>
        <v>21000000</v>
      </c>
      <c r="T228" s="30">
        <f t="shared" si="118"/>
        <v>0</v>
      </c>
      <c r="U228" s="56" t="s">
        <v>340</v>
      </c>
      <c r="V228" s="56"/>
      <c r="W228" s="56"/>
    </row>
    <row r="229" spans="1:25" ht="15.75" customHeight="1">
      <c r="A229" s="296" t="s">
        <v>367</v>
      </c>
      <c r="B229" s="296"/>
      <c r="C229" s="296"/>
      <c r="D229" s="296"/>
      <c r="E229" s="296"/>
      <c r="F229" s="296"/>
      <c r="G229" s="296"/>
      <c r="H229" s="296"/>
      <c r="I229" s="296"/>
      <c r="J229" s="296"/>
      <c r="K229" s="296"/>
      <c r="L229" s="296"/>
      <c r="M229" s="296"/>
      <c r="N229" s="296"/>
      <c r="O229" s="296"/>
      <c r="P229" s="296"/>
      <c r="Q229" s="296"/>
      <c r="R229" s="296"/>
      <c r="S229" s="296"/>
      <c r="T229" s="296"/>
      <c r="U229" s="296"/>
      <c r="V229" s="296"/>
      <c r="W229" s="296"/>
    </row>
    <row r="230" spans="1:25" ht="57.75" customHeight="1">
      <c r="A230" s="49">
        <v>193</v>
      </c>
      <c r="B230" s="61" t="s">
        <v>561</v>
      </c>
      <c r="C230" s="62" t="s">
        <v>562</v>
      </c>
      <c r="D230" s="101">
        <v>1</v>
      </c>
      <c r="E230" s="56" t="s">
        <v>515</v>
      </c>
      <c r="F230" s="56">
        <v>3</v>
      </c>
      <c r="G230" s="56" t="s">
        <v>104</v>
      </c>
      <c r="H230" s="54">
        <f>5860001/30</f>
        <v>195333.36666666667</v>
      </c>
      <c r="I230" s="54">
        <f t="shared" ref="I230:I243" si="119">+H230*F230*D230</f>
        <v>586000.1</v>
      </c>
      <c r="J230" s="54"/>
      <c r="K230" s="54"/>
      <c r="L230" s="54"/>
      <c r="M230" s="54"/>
      <c r="N230" s="29">
        <f t="shared" ref="N230:N243" si="120">+AVERAGE(H230,J230,L230)</f>
        <v>195333.36666666667</v>
      </c>
      <c r="O230" s="29">
        <f t="shared" ref="O230:O243" si="121">+N230*D230*F230</f>
        <v>586000.1</v>
      </c>
      <c r="P230" s="29">
        <f t="shared" ref="P230:P243" si="122">+_xlfn.STDEV.P(H230,J230,L230)</f>
        <v>0</v>
      </c>
      <c r="Q230" s="30">
        <f t="shared" ref="Q230:Q243" si="123">+P230/N230</f>
        <v>0</v>
      </c>
      <c r="R230" s="29">
        <f t="shared" ref="R230:R243" si="124">+MEDIAN(H230,J230,L230)</f>
        <v>195333.36666666667</v>
      </c>
      <c r="S230" s="29">
        <f t="shared" ref="S230:S243" si="125">+R230*D230*F230</f>
        <v>586000.1</v>
      </c>
      <c r="T230" s="30">
        <f t="shared" ref="T230:T243" si="126">+P230/R230</f>
        <v>0</v>
      </c>
      <c r="U230" s="55" t="s">
        <v>43</v>
      </c>
      <c r="V230" s="56"/>
      <c r="W230" s="56"/>
    </row>
    <row r="231" spans="1:25" ht="57.75" customHeight="1">
      <c r="A231" s="49">
        <v>194</v>
      </c>
      <c r="B231" s="61" t="s">
        <v>563</v>
      </c>
      <c r="C231" s="123" t="s">
        <v>564</v>
      </c>
      <c r="D231" s="101">
        <v>3</v>
      </c>
      <c r="E231" s="56" t="s">
        <v>515</v>
      </c>
      <c r="F231" s="56">
        <v>3</v>
      </c>
      <c r="G231" s="56" t="s">
        <v>104</v>
      </c>
      <c r="H231" s="54">
        <f>5114001/30</f>
        <v>170466.7</v>
      </c>
      <c r="I231" s="54">
        <f t="shared" si="119"/>
        <v>1534200.3</v>
      </c>
      <c r="J231" s="54"/>
      <c r="K231" s="54"/>
      <c r="L231" s="54"/>
      <c r="M231" s="54"/>
      <c r="N231" s="29">
        <f t="shared" si="120"/>
        <v>170466.7</v>
      </c>
      <c r="O231" s="29">
        <f t="shared" si="121"/>
        <v>1534200.3</v>
      </c>
      <c r="P231" s="29">
        <f t="shared" si="122"/>
        <v>0</v>
      </c>
      <c r="Q231" s="30">
        <f t="shared" si="123"/>
        <v>0</v>
      </c>
      <c r="R231" s="29">
        <f t="shared" si="124"/>
        <v>170466.7</v>
      </c>
      <c r="S231" s="29">
        <f t="shared" si="125"/>
        <v>1534200.3</v>
      </c>
      <c r="T231" s="30">
        <f t="shared" si="126"/>
        <v>0</v>
      </c>
      <c r="U231" s="55" t="s">
        <v>43</v>
      </c>
      <c r="V231" s="56"/>
      <c r="W231" s="56"/>
    </row>
    <row r="232" spans="1:25" ht="57.75" customHeight="1">
      <c r="A232" s="49">
        <v>195</v>
      </c>
      <c r="B232" s="61" t="s">
        <v>565</v>
      </c>
      <c r="C232" s="62" t="s">
        <v>566</v>
      </c>
      <c r="D232" s="101">
        <v>2</v>
      </c>
      <c r="E232" s="56" t="s">
        <v>515</v>
      </c>
      <c r="F232" s="56">
        <v>3</v>
      </c>
      <c r="G232" s="56" t="s">
        <v>104</v>
      </c>
      <c r="H232" s="59">
        <f>4687001/30</f>
        <v>156233.36666666667</v>
      </c>
      <c r="I232" s="54">
        <f t="shared" si="119"/>
        <v>937400.2</v>
      </c>
      <c r="J232" s="59"/>
      <c r="K232" s="54"/>
      <c r="L232" s="59"/>
      <c r="M232" s="54"/>
      <c r="N232" s="29">
        <f t="shared" si="120"/>
        <v>156233.36666666667</v>
      </c>
      <c r="O232" s="29">
        <f t="shared" si="121"/>
        <v>937400.2</v>
      </c>
      <c r="P232" s="29">
        <f t="shared" si="122"/>
        <v>0</v>
      </c>
      <c r="Q232" s="30">
        <f t="shared" si="123"/>
        <v>0</v>
      </c>
      <c r="R232" s="29">
        <f t="shared" si="124"/>
        <v>156233.36666666667</v>
      </c>
      <c r="S232" s="29">
        <f t="shared" si="125"/>
        <v>937400.2</v>
      </c>
      <c r="T232" s="30">
        <f t="shared" si="126"/>
        <v>0</v>
      </c>
      <c r="U232" s="55" t="s">
        <v>43</v>
      </c>
      <c r="V232" s="56"/>
      <c r="W232" s="56"/>
      <c r="X232" t="s">
        <v>60</v>
      </c>
      <c r="Y232" t="s">
        <v>61</v>
      </c>
    </row>
    <row r="233" spans="1:25" ht="69.75" customHeight="1">
      <c r="A233" s="49">
        <v>196</v>
      </c>
      <c r="B233" s="61" t="s">
        <v>567</v>
      </c>
      <c r="C233" s="62" t="s">
        <v>568</v>
      </c>
      <c r="D233" s="101">
        <v>2</v>
      </c>
      <c r="E233" s="56" t="s">
        <v>515</v>
      </c>
      <c r="F233" s="56">
        <v>3</v>
      </c>
      <c r="G233" s="56" t="s">
        <v>104</v>
      </c>
      <c r="H233" s="54">
        <f>5860001/30</f>
        <v>195333.36666666667</v>
      </c>
      <c r="I233" s="54">
        <f t="shared" si="119"/>
        <v>1172000.2</v>
      </c>
      <c r="J233" s="54"/>
      <c r="K233" s="54"/>
      <c r="L233" s="54"/>
      <c r="M233" s="54"/>
      <c r="N233" s="29">
        <f t="shared" si="120"/>
        <v>195333.36666666667</v>
      </c>
      <c r="O233" s="29">
        <f t="shared" si="121"/>
        <v>1172000.2</v>
      </c>
      <c r="P233" s="29">
        <f t="shared" si="122"/>
        <v>0</v>
      </c>
      <c r="Q233" s="30">
        <f t="shared" si="123"/>
        <v>0</v>
      </c>
      <c r="R233" s="29">
        <f t="shared" si="124"/>
        <v>195333.36666666667</v>
      </c>
      <c r="S233" s="29">
        <f t="shared" si="125"/>
        <v>1172000.2</v>
      </c>
      <c r="T233" s="30">
        <f t="shared" si="126"/>
        <v>0</v>
      </c>
      <c r="U233" s="55" t="s">
        <v>43</v>
      </c>
      <c r="V233" s="56"/>
      <c r="W233" s="89"/>
      <c r="X233" s="40">
        <f>SUM(O206:O243)</f>
        <v>85284337.412983164</v>
      </c>
      <c r="Y233" s="40">
        <f>SUM(S206:S243)</f>
        <v>84882412.203394935</v>
      </c>
    </row>
    <row r="234" spans="1:25" ht="33.75" customHeight="1">
      <c r="A234" s="49">
        <v>197</v>
      </c>
      <c r="B234" s="61" t="s">
        <v>569</v>
      </c>
      <c r="C234" s="62" t="s">
        <v>570</v>
      </c>
      <c r="D234" s="101">
        <v>2</v>
      </c>
      <c r="E234" s="56" t="s">
        <v>515</v>
      </c>
      <c r="F234" s="56">
        <v>3</v>
      </c>
      <c r="G234" s="56" t="s">
        <v>104</v>
      </c>
      <c r="H234" s="54">
        <f>5860001/30</f>
        <v>195333.36666666667</v>
      </c>
      <c r="I234" s="54">
        <f t="shared" si="119"/>
        <v>1172000.2</v>
      </c>
      <c r="J234" s="54"/>
      <c r="K234" s="54"/>
      <c r="L234" s="54"/>
      <c r="M234" s="54"/>
      <c r="N234" s="29">
        <f t="shared" si="120"/>
        <v>195333.36666666667</v>
      </c>
      <c r="O234" s="29">
        <f t="shared" si="121"/>
        <v>1172000.2</v>
      </c>
      <c r="P234" s="29">
        <f t="shared" si="122"/>
        <v>0</v>
      </c>
      <c r="Q234" s="30">
        <f t="shared" si="123"/>
        <v>0</v>
      </c>
      <c r="R234" s="29">
        <f t="shared" si="124"/>
        <v>195333.36666666667</v>
      </c>
      <c r="S234" s="29">
        <f t="shared" si="125"/>
        <v>1172000.2</v>
      </c>
      <c r="T234" s="30">
        <f t="shared" si="126"/>
        <v>0</v>
      </c>
      <c r="U234" s="55" t="s">
        <v>43</v>
      </c>
      <c r="V234" s="56"/>
      <c r="W234" s="89"/>
    </row>
    <row r="235" spans="1:25" ht="39" customHeight="1">
      <c r="A235" s="49">
        <v>198</v>
      </c>
      <c r="B235" s="61" t="s">
        <v>571</v>
      </c>
      <c r="C235" s="62" t="s">
        <v>570</v>
      </c>
      <c r="D235" s="101">
        <v>2</v>
      </c>
      <c r="E235" s="56" t="s">
        <v>515</v>
      </c>
      <c r="F235" s="56">
        <v>3</v>
      </c>
      <c r="G235" s="56" t="s">
        <v>104</v>
      </c>
      <c r="H235" s="54">
        <f>5860001/30</f>
        <v>195333.36666666667</v>
      </c>
      <c r="I235" s="54">
        <f t="shared" si="119"/>
        <v>1172000.2</v>
      </c>
      <c r="J235" s="54"/>
      <c r="K235" s="54"/>
      <c r="L235" s="54"/>
      <c r="M235" s="54"/>
      <c r="N235" s="29">
        <f t="shared" si="120"/>
        <v>195333.36666666667</v>
      </c>
      <c r="O235" s="29">
        <f t="shared" si="121"/>
        <v>1172000.2</v>
      </c>
      <c r="P235" s="29">
        <f t="shared" si="122"/>
        <v>0</v>
      </c>
      <c r="Q235" s="30">
        <f t="shared" si="123"/>
        <v>0</v>
      </c>
      <c r="R235" s="29">
        <f t="shared" si="124"/>
        <v>195333.36666666667</v>
      </c>
      <c r="S235" s="29">
        <f t="shared" si="125"/>
        <v>1172000.2</v>
      </c>
      <c r="T235" s="30">
        <f t="shared" si="126"/>
        <v>0</v>
      </c>
      <c r="U235" s="55" t="s">
        <v>43</v>
      </c>
      <c r="V235" s="56"/>
      <c r="W235" s="56"/>
    </row>
    <row r="236" spans="1:25" ht="27.75" customHeight="1">
      <c r="A236" s="49">
        <v>199</v>
      </c>
      <c r="B236" s="61" t="s">
        <v>572</v>
      </c>
      <c r="C236" s="62" t="s">
        <v>573</v>
      </c>
      <c r="D236" s="115">
        <v>2</v>
      </c>
      <c r="E236" s="56" t="s">
        <v>515</v>
      </c>
      <c r="F236" s="56">
        <v>3</v>
      </c>
      <c r="G236" s="56" t="s">
        <v>104</v>
      </c>
      <c r="H236" s="54">
        <f>5860001/30</f>
        <v>195333.36666666667</v>
      </c>
      <c r="I236" s="54">
        <f t="shared" si="119"/>
        <v>1172000.2</v>
      </c>
      <c r="J236" s="54"/>
      <c r="K236" s="54"/>
      <c r="L236" s="54"/>
      <c r="M236" s="54"/>
      <c r="N236" s="29">
        <f t="shared" si="120"/>
        <v>195333.36666666667</v>
      </c>
      <c r="O236" s="29">
        <f t="shared" si="121"/>
        <v>1172000.2</v>
      </c>
      <c r="P236" s="29">
        <f t="shared" si="122"/>
        <v>0</v>
      </c>
      <c r="Q236" s="30">
        <f t="shared" si="123"/>
        <v>0</v>
      </c>
      <c r="R236" s="29">
        <f t="shared" si="124"/>
        <v>195333.36666666667</v>
      </c>
      <c r="S236" s="29">
        <f t="shared" si="125"/>
        <v>1172000.2</v>
      </c>
      <c r="T236" s="30">
        <f t="shared" si="126"/>
        <v>0</v>
      </c>
      <c r="U236" s="55" t="s">
        <v>43</v>
      </c>
      <c r="V236" s="56"/>
      <c r="W236" s="56"/>
    </row>
    <row r="237" spans="1:25" ht="27.75" customHeight="1">
      <c r="A237" s="49">
        <v>200</v>
      </c>
      <c r="B237" s="61" t="s">
        <v>574</v>
      </c>
      <c r="C237" s="62" t="s">
        <v>575</v>
      </c>
      <c r="D237" s="115">
        <v>2</v>
      </c>
      <c r="E237" s="56" t="s">
        <v>515</v>
      </c>
      <c r="F237" s="56">
        <v>3</v>
      </c>
      <c r="G237" s="56" t="s">
        <v>104</v>
      </c>
      <c r="H237" s="54">
        <f>5114001/30</f>
        <v>170466.7</v>
      </c>
      <c r="I237" s="54">
        <f t="shared" si="119"/>
        <v>1022800.2000000001</v>
      </c>
      <c r="J237" s="54"/>
      <c r="K237" s="54"/>
      <c r="L237" s="54"/>
      <c r="M237" s="54"/>
      <c r="N237" s="29">
        <f t="shared" si="120"/>
        <v>170466.7</v>
      </c>
      <c r="O237" s="29">
        <f t="shared" si="121"/>
        <v>1022800.2000000001</v>
      </c>
      <c r="P237" s="29">
        <f t="shared" si="122"/>
        <v>0</v>
      </c>
      <c r="Q237" s="30">
        <f t="shared" si="123"/>
        <v>0</v>
      </c>
      <c r="R237" s="29">
        <f t="shared" si="124"/>
        <v>170466.7</v>
      </c>
      <c r="S237" s="29">
        <f t="shared" si="125"/>
        <v>1022800.2000000001</v>
      </c>
      <c r="T237" s="30">
        <f t="shared" si="126"/>
        <v>0</v>
      </c>
      <c r="U237" s="55" t="s">
        <v>43</v>
      </c>
      <c r="V237" s="56"/>
      <c r="W237" s="56"/>
    </row>
    <row r="238" spans="1:25" ht="27.75" customHeight="1">
      <c r="A238" s="49">
        <v>201</v>
      </c>
      <c r="B238" s="61" t="s">
        <v>372</v>
      </c>
      <c r="C238" s="62" t="s">
        <v>576</v>
      </c>
      <c r="D238" s="115">
        <v>6</v>
      </c>
      <c r="E238" s="56" t="s">
        <v>515</v>
      </c>
      <c r="F238" s="56">
        <v>3</v>
      </c>
      <c r="G238" s="56" t="s">
        <v>104</v>
      </c>
      <c r="H238" s="54">
        <f>3095001/30</f>
        <v>103166.7</v>
      </c>
      <c r="I238" s="54">
        <f t="shared" si="119"/>
        <v>1857000.5999999999</v>
      </c>
      <c r="J238" s="54"/>
      <c r="K238" s="54"/>
      <c r="L238" s="54"/>
      <c r="M238" s="54"/>
      <c r="N238" s="29">
        <f t="shared" si="120"/>
        <v>103166.7</v>
      </c>
      <c r="O238" s="29">
        <f t="shared" si="121"/>
        <v>1857000.5999999999</v>
      </c>
      <c r="P238" s="29">
        <f t="shared" si="122"/>
        <v>0</v>
      </c>
      <c r="Q238" s="30">
        <f t="shared" si="123"/>
        <v>0</v>
      </c>
      <c r="R238" s="29">
        <f t="shared" si="124"/>
        <v>103166.7</v>
      </c>
      <c r="S238" s="29">
        <f t="shared" si="125"/>
        <v>1857000.5999999999</v>
      </c>
      <c r="T238" s="30">
        <f t="shared" si="126"/>
        <v>0</v>
      </c>
      <c r="U238" s="55" t="s">
        <v>43</v>
      </c>
      <c r="V238" s="56"/>
      <c r="W238" s="56"/>
    </row>
    <row r="239" spans="1:25" ht="27.75" customHeight="1">
      <c r="A239" s="49">
        <v>202</v>
      </c>
      <c r="B239" s="61" t="s">
        <v>382</v>
      </c>
      <c r="C239" s="62" t="s">
        <v>577</v>
      </c>
      <c r="D239" s="101">
        <v>5</v>
      </c>
      <c r="E239" s="56" t="s">
        <v>515</v>
      </c>
      <c r="F239" s="56">
        <v>3</v>
      </c>
      <c r="G239" s="56" t="s">
        <v>104</v>
      </c>
      <c r="H239" s="54">
        <f>4687001/30</f>
        <v>156233.36666666667</v>
      </c>
      <c r="I239" s="54">
        <f t="shared" si="119"/>
        <v>2343500.5</v>
      </c>
      <c r="J239" s="54"/>
      <c r="K239" s="54"/>
      <c r="L239" s="54"/>
      <c r="M239" s="54"/>
      <c r="N239" s="29">
        <f t="shared" si="120"/>
        <v>156233.36666666667</v>
      </c>
      <c r="O239" s="29">
        <f t="shared" si="121"/>
        <v>2343500.5</v>
      </c>
      <c r="P239" s="29">
        <f t="shared" si="122"/>
        <v>0</v>
      </c>
      <c r="Q239" s="30">
        <f t="shared" si="123"/>
        <v>0</v>
      </c>
      <c r="R239" s="29">
        <f t="shared" si="124"/>
        <v>156233.36666666667</v>
      </c>
      <c r="S239" s="29">
        <f t="shared" si="125"/>
        <v>2343500.5</v>
      </c>
      <c r="T239" s="30">
        <f t="shared" si="126"/>
        <v>0</v>
      </c>
      <c r="U239" s="55" t="s">
        <v>43</v>
      </c>
      <c r="V239" s="56"/>
      <c r="W239" s="56"/>
    </row>
    <row r="240" spans="1:25" ht="27.75" customHeight="1">
      <c r="A240" s="49">
        <v>203</v>
      </c>
      <c r="B240" s="61" t="s">
        <v>578</v>
      </c>
      <c r="C240" s="62" t="s">
        <v>579</v>
      </c>
      <c r="D240" s="101">
        <v>1</v>
      </c>
      <c r="E240" s="56" t="s">
        <v>515</v>
      </c>
      <c r="F240" s="56">
        <v>3</v>
      </c>
      <c r="G240" s="56" t="s">
        <v>104</v>
      </c>
      <c r="H240" s="59">
        <f>3244001/30</f>
        <v>108133.36666666667</v>
      </c>
      <c r="I240" s="54">
        <f t="shared" si="119"/>
        <v>324400.09999999998</v>
      </c>
      <c r="J240" s="59"/>
      <c r="K240" s="54"/>
      <c r="L240" s="59"/>
      <c r="M240" s="54"/>
      <c r="N240" s="29">
        <f t="shared" si="120"/>
        <v>108133.36666666667</v>
      </c>
      <c r="O240" s="29">
        <f t="shared" si="121"/>
        <v>324400.09999999998</v>
      </c>
      <c r="P240" s="29">
        <f t="shared" si="122"/>
        <v>0</v>
      </c>
      <c r="Q240" s="30">
        <f t="shared" si="123"/>
        <v>0</v>
      </c>
      <c r="R240" s="29">
        <f t="shared" si="124"/>
        <v>108133.36666666667</v>
      </c>
      <c r="S240" s="29">
        <f t="shared" si="125"/>
        <v>324400.09999999998</v>
      </c>
      <c r="T240" s="30">
        <f t="shared" si="126"/>
        <v>0</v>
      </c>
      <c r="U240" s="55" t="s">
        <v>43</v>
      </c>
      <c r="V240" s="56"/>
      <c r="W240" s="56"/>
    </row>
    <row r="241" spans="1:23" ht="34.5" customHeight="1">
      <c r="A241" s="49">
        <v>204</v>
      </c>
      <c r="B241" s="61" t="s">
        <v>236</v>
      </c>
      <c r="C241" s="62" t="s">
        <v>580</v>
      </c>
      <c r="D241" s="101">
        <v>1</v>
      </c>
      <c r="E241" s="56" t="s">
        <v>515</v>
      </c>
      <c r="F241" s="56">
        <v>3</v>
      </c>
      <c r="G241" s="56" t="s">
        <v>104</v>
      </c>
      <c r="H241" s="54">
        <f>4687001/30</f>
        <v>156233.36666666667</v>
      </c>
      <c r="I241" s="54">
        <f t="shared" si="119"/>
        <v>468700.1</v>
      </c>
      <c r="J241" s="59"/>
      <c r="K241" s="54"/>
      <c r="L241" s="59"/>
      <c r="M241" s="54"/>
      <c r="N241" s="29">
        <f t="shared" si="120"/>
        <v>156233.36666666667</v>
      </c>
      <c r="O241" s="29">
        <f t="shared" si="121"/>
        <v>468700.1</v>
      </c>
      <c r="P241" s="29">
        <f t="shared" si="122"/>
        <v>0</v>
      </c>
      <c r="Q241" s="30">
        <f t="shared" si="123"/>
        <v>0</v>
      </c>
      <c r="R241" s="29">
        <f t="shared" si="124"/>
        <v>156233.36666666667</v>
      </c>
      <c r="S241" s="29">
        <f t="shared" si="125"/>
        <v>468700.1</v>
      </c>
      <c r="T241" s="30">
        <f t="shared" si="126"/>
        <v>0</v>
      </c>
      <c r="U241" s="55" t="s">
        <v>43</v>
      </c>
      <c r="V241" s="56"/>
      <c r="W241" s="56"/>
    </row>
    <row r="242" spans="1:23" ht="27.75" customHeight="1">
      <c r="A242" s="49">
        <v>205</v>
      </c>
      <c r="B242" s="61" t="s">
        <v>581</v>
      </c>
      <c r="C242" s="62" t="s">
        <v>582</v>
      </c>
      <c r="D242" s="101">
        <v>1</v>
      </c>
      <c r="E242" s="56" t="s">
        <v>515</v>
      </c>
      <c r="F242" s="56">
        <v>3</v>
      </c>
      <c r="G242" s="56" t="s">
        <v>104</v>
      </c>
      <c r="H242" s="71">
        <f>5114001/30</f>
        <v>170466.7</v>
      </c>
      <c r="I242" s="54">
        <f t="shared" si="119"/>
        <v>511400.10000000003</v>
      </c>
      <c r="J242" s="71"/>
      <c r="K242" s="54"/>
      <c r="L242" s="71"/>
      <c r="M242" s="54"/>
      <c r="N242" s="29">
        <f t="shared" si="120"/>
        <v>170466.7</v>
      </c>
      <c r="O242" s="29">
        <f t="shared" si="121"/>
        <v>511400.10000000003</v>
      </c>
      <c r="P242" s="29">
        <f t="shared" si="122"/>
        <v>0</v>
      </c>
      <c r="Q242" s="30">
        <f t="shared" si="123"/>
        <v>0</v>
      </c>
      <c r="R242" s="29">
        <f t="shared" si="124"/>
        <v>170466.7</v>
      </c>
      <c r="S242" s="29">
        <f t="shared" si="125"/>
        <v>511400.10000000003</v>
      </c>
      <c r="T242" s="30">
        <f t="shared" si="126"/>
        <v>0</v>
      </c>
      <c r="U242" s="55" t="s">
        <v>43</v>
      </c>
      <c r="V242" s="89"/>
      <c r="W242" s="89"/>
    </row>
    <row r="243" spans="1:23" ht="27.75" customHeight="1">
      <c r="A243" s="49">
        <v>206</v>
      </c>
      <c r="B243" s="61" t="s">
        <v>583</v>
      </c>
      <c r="C243" s="62" t="s">
        <v>584</v>
      </c>
      <c r="D243" s="115">
        <v>5</v>
      </c>
      <c r="E243" s="56" t="s">
        <v>515</v>
      </c>
      <c r="F243" s="56">
        <v>3</v>
      </c>
      <c r="G243" s="56" t="s">
        <v>104</v>
      </c>
      <c r="H243" s="59">
        <f>3244001/30</f>
        <v>108133.36666666667</v>
      </c>
      <c r="I243" s="54">
        <f t="shared" si="119"/>
        <v>1622000.5</v>
      </c>
      <c r="J243" s="54"/>
      <c r="K243" s="54"/>
      <c r="L243" s="54"/>
      <c r="M243" s="54"/>
      <c r="N243" s="29">
        <f t="shared" si="120"/>
        <v>108133.36666666667</v>
      </c>
      <c r="O243" s="29">
        <f t="shared" si="121"/>
        <v>1622000.5</v>
      </c>
      <c r="P243" s="29">
        <f t="shared" si="122"/>
        <v>0</v>
      </c>
      <c r="Q243" s="30">
        <f t="shared" si="123"/>
        <v>0</v>
      </c>
      <c r="R243" s="29">
        <f t="shared" si="124"/>
        <v>108133.36666666667</v>
      </c>
      <c r="S243" s="29">
        <f t="shared" si="125"/>
        <v>1622000.5</v>
      </c>
      <c r="T243" s="30">
        <f t="shared" si="126"/>
        <v>0</v>
      </c>
      <c r="U243" s="55" t="s">
        <v>43</v>
      </c>
      <c r="V243" s="56"/>
      <c r="W243" s="56"/>
    </row>
    <row r="244" spans="1:23" ht="42.75" customHeight="1">
      <c r="A244" s="307" t="s">
        <v>585</v>
      </c>
      <c r="B244" s="307"/>
      <c r="C244" s="307"/>
      <c r="D244" s="307"/>
      <c r="E244" s="307"/>
      <c r="F244" s="307"/>
      <c r="G244" s="307"/>
      <c r="H244" s="307"/>
      <c r="I244" s="307"/>
      <c r="J244" s="307"/>
      <c r="K244" s="307"/>
      <c r="L244" s="307"/>
      <c r="M244" s="307"/>
      <c r="N244" s="307"/>
      <c r="O244" s="307"/>
      <c r="P244" s="307"/>
      <c r="Q244" s="307"/>
      <c r="R244" s="307"/>
      <c r="S244" s="307"/>
      <c r="T244" s="307"/>
      <c r="U244" s="307"/>
      <c r="V244" s="307"/>
      <c r="W244" s="307"/>
    </row>
    <row r="245" spans="1:23" ht="66.75" customHeight="1">
      <c r="A245" s="296" t="s">
        <v>586</v>
      </c>
      <c r="B245" s="296"/>
      <c r="C245" s="296"/>
      <c r="D245" s="296"/>
      <c r="E245" s="296"/>
      <c r="F245" s="296"/>
      <c r="G245" s="296"/>
      <c r="H245" s="296"/>
      <c r="I245" s="296"/>
      <c r="J245" s="296"/>
      <c r="K245" s="296"/>
      <c r="L245" s="296"/>
      <c r="M245" s="296"/>
      <c r="N245" s="296"/>
      <c r="O245" s="296"/>
      <c r="P245" s="296"/>
      <c r="Q245" s="296"/>
      <c r="R245" s="296"/>
      <c r="S245" s="296"/>
      <c r="T245" s="296"/>
      <c r="U245" s="296"/>
      <c r="V245" s="296"/>
      <c r="W245" s="296"/>
    </row>
    <row r="246" spans="1:23" ht="27.75" customHeight="1">
      <c r="A246" s="49">
        <v>207</v>
      </c>
      <c r="B246" s="122" t="s">
        <v>587</v>
      </c>
      <c r="C246" s="162" t="s">
        <v>588</v>
      </c>
      <c r="D246" s="55">
        <v>10</v>
      </c>
      <c r="E246" s="56" t="s">
        <v>41</v>
      </c>
      <c r="F246" s="56">
        <v>1</v>
      </c>
      <c r="G246" s="56" t="s">
        <v>104</v>
      </c>
      <c r="H246" s="54">
        <v>22900</v>
      </c>
      <c r="I246" s="54">
        <f t="shared" ref="I246:I277" si="127">+H246*F246*D246</f>
        <v>229000</v>
      </c>
      <c r="J246" s="102">
        <v>21420</v>
      </c>
      <c r="K246" s="54">
        <f t="shared" ref="K246:K277" si="128">+J246*F246*D246</f>
        <v>214200</v>
      </c>
      <c r="L246" s="54">
        <v>22015</v>
      </c>
      <c r="M246" s="54">
        <f t="shared" ref="M246:M272" si="129">+L246*F246*D246</f>
        <v>220150</v>
      </c>
      <c r="N246" s="29">
        <f t="shared" ref="N246:N277" si="130">+AVERAGE(H246,J246,L246)</f>
        <v>22111.666666666668</v>
      </c>
      <c r="O246" s="29">
        <f t="shared" ref="O246:O277" si="131">+N246*D246*F246</f>
        <v>221116.66666666669</v>
      </c>
      <c r="P246" s="29">
        <f t="shared" ref="P246:P277" si="132">+_xlfn.STDEV.P(H246,J246,L246)</f>
        <v>608.06158313849176</v>
      </c>
      <c r="Q246" s="30">
        <f t="shared" ref="Q246:Q277" si="133">+P246/N246</f>
        <v>2.7499581659990582E-2</v>
      </c>
      <c r="R246" s="29">
        <f t="shared" ref="R246:R277" si="134">+MEDIAN(H246,J246,L246)</f>
        <v>22015</v>
      </c>
      <c r="S246" s="29">
        <f t="shared" ref="S246:S277" si="135">+R246*D246*F246</f>
        <v>220150</v>
      </c>
      <c r="T246" s="30">
        <f t="shared" ref="T246:T277" si="136">+P246/R246</f>
        <v>2.7620330826186316E-2</v>
      </c>
      <c r="U246" s="113" t="s">
        <v>406</v>
      </c>
      <c r="V246" s="113" t="s">
        <v>407</v>
      </c>
      <c r="W246" s="91" t="s">
        <v>408</v>
      </c>
    </row>
    <row r="247" spans="1:23" ht="27.75" customHeight="1">
      <c r="A247" s="49">
        <v>208</v>
      </c>
      <c r="B247" s="122" t="s">
        <v>409</v>
      </c>
      <c r="C247" s="32" t="s">
        <v>589</v>
      </c>
      <c r="D247" s="55">
        <v>50</v>
      </c>
      <c r="E247" s="56" t="s">
        <v>41</v>
      </c>
      <c r="F247" s="56">
        <v>1</v>
      </c>
      <c r="G247" s="56" t="s">
        <v>104</v>
      </c>
      <c r="H247" s="102">
        <v>1800</v>
      </c>
      <c r="I247" s="54">
        <f t="shared" si="127"/>
        <v>90000</v>
      </c>
      <c r="J247" s="54">
        <v>1505</v>
      </c>
      <c r="K247" s="54">
        <f t="shared" si="128"/>
        <v>75250</v>
      </c>
      <c r="L247" s="54">
        <v>1328</v>
      </c>
      <c r="M247" s="54">
        <f t="shared" si="129"/>
        <v>66400</v>
      </c>
      <c r="N247" s="29">
        <f t="shared" si="130"/>
        <v>1544.3333333333333</v>
      </c>
      <c r="O247" s="29">
        <f t="shared" si="131"/>
        <v>77216.666666666657</v>
      </c>
      <c r="P247" s="29">
        <f t="shared" si="132"/>
        <v>194.69006708669608</v>
      </c>
      <c r="Q247" s="30">
        <f t="shared" si="133"/>
        <v>0.12606738641486903</v>
      </c>
      <c r="R247" s="29">
        <f t="shared" si="134"/>
        <v>1505</v>
      </c>
      <c r="S247" s="29">
        <f t="shared" si="135"/>
        <v>75250</v>
      </c>
      <c r="T247" s="30">
        <f t="shared" si="136"/>
        <v>0.12936217082172496</v>
      </c>
      <c r="U247" s="68" t="s">
        <v>258</v>
      </c>
      <c r="V247" s="69" t="s">
        <v>259</v>
      </c>
      <c r="W247" s="69" t="s">
        <v>260</v>
      </c>
    </row>
    <row r="248" spans="1:23" ht="30.75" customHeight="1">
      <c r="A248" s="49">
        <v>210</v>
      </c>
      <c r="B248" s="209" t="s">
        <v>590</v>
      </c>
      <c r="C248" s="32" t="s">
        <v>591</v>
      </c>
      <c r="D248" s="55">
        <v>1</v>
      </c>
      <c r="E248" s="56" t="s">
        <v>41</v>
      </c>
      <c r="F248" s="56">
        <v>1</v>
      </c>
      <c r="G248" s="56" t="s">
        <v>104</v>
      </c>
      <c r="H248" s="54">
        <v>4999000</v>
      </c>
      <c r="I248" s="54">
        <f t="shared" si="127"/>
        <v>4999000</v>
      </c>
      <c r="J248" s="54">
        <v>4999000</v>
      </c>
      <c r="K248" s="54">
        <f t="shared" si="128"/>
        <v>4999000</v>
      </c>
      <c r="L248" s="54">
        <v>4999000</v>
      </c>
      <c r="M248" s="54">
        <f t="shared" si="129"/>
        <v>4999000</v>
      </c>
      <c r="N248" s="29">
        <f t="shared" si="130"/>
        <v>4999000</v>
      </c>
      <c r="O248" s="29">
        <f t="shared" si="131"/>
        <v>4999000</v>
      </c>
      <c r="P248" s="29">
        <f t="shared" si="132"/>
        <v>0</v>
      </c>
      <c r="Q248" s="30">
        <f t="shared" si="133"/>
        <v>0</v>
      </c>
      <c r="R248" s="29">
        <f t="shared" si="134"/>
        <v>4999000</v>
      </c>
      <c r="S248" s="29">
        <f t="shared" si="135"/>
        <v>4999000</v>
      </c>
      <c r="T248" s="30">
        <f t="shared" si="136"/>
        <v>0</v>
      </c>
      <c r="U248" s="56" t="s">
        <v>592</v>
      </c>
      <c r="V248" s="56" t="s">
        <v>162</v>
      </c>
      <c r="W248" s="56" t="s">
        <v>593</v>
      </c>
    </row>
    <row r="249" spans="1:23" ht="29.25" customHeight="1">
      <c r="A249" s="49">
        <v>211</v>
      </c>
      <c r="B249" s="209" t="s">
        <v>594</v>
      </c>
      <c r="C249" s="32" t="s">
        <v>595</v>
      </c>
      <c r="D249" s="55">
        <v>1</v>
      </c>
      <c r="E249" s="56" t="s">
        <v>41</v>
      </c>
      <c r="F249" s="56">
        <v>1</v>
      </c>
      <c r="G249" s="56" t="s">
        <v>104</v>
      </c>
      <c r="H249" s="59">
        <v>278067</v>
      </c>
      <c r="I249" s="210">
        <f t="shared" si="127"/>
        <v>278067</v>
      </c>
      <c r="J249" s="59">
        <v>285630</v>
      </c>
      <c r="K249" s="210">
        <f t="shared" si="128"/>
        <v>285630</v>
      </c>
      <c r="L249" s="59">
        <v>327647</v>
      </c>
      <c r="M249" s="210">
        <f t="shared" si="129"/>
        <v>327647</v>
      </c>
      <c r="N249" s="29">
        <f t="shared" si="130"/>
        <v>297114.66666666669</v>
      </c>
      <c r="O249" s="29">
        <f t="shared" si="131"/>
        <v>297114.66666666669</v>
      </c>
      <c r="P249" s="29">
        <f t="shared" si="132"/>
        <v>21809.283594123142</v>
      </c>
      <c r="Q249" s="30">
        <f t="shared" si="133"/>
        <v>7.3403591410689278E-2</v>
      </c>
      <c r="R249" s="29">
        <f t="shared" si="134"/>
        <v>285630</v>
      </c>
      <c r="S249" s="29">
        <f t="shared" si="135"/>
        <v>285630</v>
      </c>
      <c r="T249" s="30">
        <f t="shared" si="136"/>
        <v>7.635501730953731E-2</v>
      </c>
      <c r="U249" s="56" t="s">
        <v>286</v>
      </c>
      <c r="V249" s="56" t="s">
        <v>511</v>
      </c>
      <c r="W249" s="56" t="s">
        <v>596</v>
      </c>
    </row>
    <row r="250" spans="1:23" ht="15.75" customHeight="1">
      <c r="A250" s="49">
        <v>212</v>
      </c>
      <c r="B250" s="209" t="s">
        <v>597</v>
      </c>
      <c r="C250" s="32" t="s">
        <v>598</v>
      </c>
      <c r="D250" s="55">
        <v>1</v>
      </c>
      <c r="E250" s="56" t="s">
        <v>41</v>
      </c>
      <c r="F250" s="56">
        <v>1</v>
      </c>
      <c r="G250" s="56" t="s">
        <v>104</v>
      </c>
      <c r="H250" s="59">
        <v>1092353</v>
      </c>
      <c r="I250" s="210">
        <f t="shared" si="127"/>
        <v>1092353</v>
      </c>
      <c r="J250" s="59">
        <v>1092353</v>
      </c>
      <c r="K250" s="210">
        <f t="shared" si="128"/>
        <v>1092353</v>
      </c>
      <c r="L250" s="59">
        <v>1092353</v>
      </c>
      <c r="M250" s="210">
        <f t="shared" si="129"/>
        <v>1092353</v>
      </c>
      <c r="N250" s="29">
        <f t="shared" si="130"/>
        <v>1092353</v>
      </c>
      <c r="O250" s="29">
        <f t="shared" si="131"/>
        <v>1092353</v>
      </c>
      <c r="P250" s="29">
        <f t="shared" si="132"/>
        <v>0</v>
      </c>
      <c r="Q250" s="30">
        <f t="shared" si="133"/>
        <v>0</v>
      </c>
      <c r="R250" s="29">
        <f t="shared" si="134"/>
        <v>1092353</v>
      </c>
      <c r="S250" s="29">
        <f t="shared" si="135"/>
        <v>1092353</v>
      </c>
      <c r="T250" s="30">
        <f t="shared" si="136"/>
        <v>0</v>
      </c>
      <c r="U250" s="56" t="s">
        <v>599</v>
      </c>
      <c r="V250" s="56" t="s">
        <v>600</v>
      </c>
      <c r="W250" s="56" t="s">
        <v>511</v>
      </c>
    </row>
    <row r="251" spans="1:23" ht="29.25" customHeight="1">
      <c r="A251" s="49">
        <v>213</v>
      </c>
      <c r="B251" s="209" t="s">
        <v>601</v>
      </c>
      <c r="C251" s="32" t="s">
        <v>602</v>
      </c>
      <c r="D251" s="55">
        <v>1</v>
      </c>
      <c r="E251" s="56" t="s">
        <v>41</v>
      </c>
      <c r="F251" s="56">
        <v>1</v>
      </c>
      <c r="G251" s="56" t="s">
        <v>104</v>
      </c>
      <c r="H251" s="59">
        <v>222689</v>
      </c>
      <c r="I251" s="210">
        <f t="shared" si="127"/>
        <v>222689</v>
      </c>
      <c r="J251" s="59">
        <v>243613</v>
      </c>
      <c r="K251" s="210">
        <f t="shared" si="128"/>
        <v>243613</v>
      </c>
      <c r="L251" s="59">
        <v>226807</v>
      </c>
      <c r="M251" s="210">
        <f t="shared" si="129"/>
        <v>226807</v>
      </c>
      <c r="N251" s="29">
        <f t="shared" si="130"/>
        <v>231036.33333333334</v>
      </c>
      <c r="O251" s="29">
        <f t="shared" si="131"/>
        <v>231036.33333333334</v>
      </c>
      <c r="P251" s="29">
        <f t="shared" si="132"/>
        <v>9050.5576009928191</v>
      </c>
      <c r="Q251" s="30">
        <f t="shared" si="133"/>
        <v>3.9173741508158826E-2</v>
      </c>
      <c r="R251" s="29">
        <f t="shared" si="134"/>
        <v>226807</v>
      </c>
      <c r="S251" s="29">
        <f t="shared" si="135"/>
        <v>226807</v>
      </c>
      <c r="T251" s="30">
        <f t="shared" si="136"/>
        <v>3.9904225182612614E-2</v>
      </c>
      <c r="U251" s="56" t="s">
        <v>603</v>
      </c>
      <c r="V251" s="56" t="s">
        <v>287</v>
      </c>
      <c r="W251" s="56" t="s">
        <v>604</v>
      </c>
    </row>
    <row r="252" spans="1:23" ht="23.25" customHeight="1">
      <c r="A252" s="49">
        <v>214</v>
      </c>
      <c r="B252" s="209" t="s">
        <v>605</v>
      </c>
      <c r="C252" s="32" t="s">
        <v>606</v>
      </c>
      <c r="D252" s="55">
        <v>1</v>
      </c>
      <c r="E252" s="56" t="s">
        <v>41</v>
      </c>
      <c r="F252" s="56">
        <v>1</v>
      </c>
      <c r="G252" s="56" t="s">
        <v>104</v>
      </c>
      <c r="H252" s="59">
        <v>2063017</v>
      </c>
      <c r="I252" s="210">
        <f t="shared" si="127"/>
        <v>2063017</v>
      </c>
      <c r="J252" s="59">
        <v>2045370</v>
      </c>
      <c r="K252" s="210">
        <f t="shared" si="128"/>
        <v>2045370</v>
      </c>
      <c r="L252" s="59">
        <v>2310924</v>
      </c>
      <c r="M252" s="210">
        <f t="shared" si="129"/>
        <v>2310924</v>
      </c>
      <c r="N252" s="29">
        <f t="shared" si="130"/>
        <v>2139770.3333333335</v>
      </c>
      <c r="O252" s="29">
        <f t="shared" si="131"/>
        <v>2139770.3333333335</v>
      </c>
      <c r="P252" s="29">
        <f t="shared" si="132"/>
        <v>121238.16055553174</v>
      </c>
      <c r="Q252" s="30">
        <f t="shared" si="133"/>
        <v>5.6659426793092778E-2</v>
      </c>
      <c r="R252" s="29">
        <f t="shared" si="134"/>
        <v>2063017</v>
      </c>
      <c r="S252" s="29">
        <f t="shared" si="135"/>
        <v>2063017</v>
      </c>
      <c r="T252" s="30">
        <f t="shared" si="136"/>
        <v>5.876740742104003E-2</v>
      </c>
      <c r="U252" s="56" t="s">
        <v>607</v>
      </c>
      <c r="V252" s="56" t="s">
        <v>608</v>
      </c>
      <c r="W252" s="56" t="s">
        <v>609</v>
      </c>
    </row>
    <row r="253" spans="1:23" ht="32.25" customHeight="1">
      <c r="A253" s="49">
        <v>215</v>
      </c>
      <c r="B253" s="209" t="s">
        <v>610</v>
      </c>
      <c r="C253" s="32" t="s">
        <v>611</v>
      </c>
      <c r="D253" s="55">
        <v>3</v>
      </c>
      <c r="E253" s="56" t="s">
        <v>41</v>
      </c>
      <c r="F253" s="56">
        <v>1</v>
      </c>
      <c r="G253" s="56" t="s">
        <v>104</v>
      </c>
      <c r="H253" s="59">
        <v>112521</v>
      </c>
      <c r="I253" s="210">
        <f t="shared" si="127"/>
        <v>337563</v>
      </c>
      <c r="J253" s="59">
        <v>131849</v>
      </c>
      <c r="K253" s="210">
        <f t="shared" si="128"/>
        <v>395547</v>
      </c>
      <c r="L253" s="59">
        <v>131849</v>
      </c>
      <c r="M253" s="210">
        <f t="shared" si="129"/>
        <v>395547</v>
      </c>
      <c r="N253" s="29">
        <f t="shared" si="130"/>
        <v>125406.33333333333</v>
      </c>
      <c r="O253" s="29">
        <f t="shared" si="131"/>
        <v>376219</v>
      </c>
      <c r="P253" s="29">
        <f t="shared" si="132"/>
        <v>9111.3065778490618</v>
      </c>
      <c r="Q253" s="30">
        <f t="shared" si="133"/>
        <v>7.2654277783809923E-2</v>
      </c>
      <c r="R253" s="29">
        <f t="shared" si="134"/>
        <v>131849</v>
      </c>
      <c r="S253" s="29">
        <f t="shared" si="135"/>
        <v>395547</v>
      </c>
      <c r="T253" s="30">
        <f t="shared" si="136"/>
        <v>6.9104100735303736E-2</v>
      </c>
      <c r="U253" s="56" t="s">
        <v>286</v>
      </c>
      <c r="V253" s="56" t="s">
        <v>287</v>
      </c>
      <c r="W253" s="56" t="s">
        <v>511</v>
      </c>
    </row>
    <row r="254" spans="1:23" ht="20.25" customHeight="1">
      <c r="A254" s="49">
        <v>216</v>
      </c>
      <c r="B254" s="209" t="s">
        <v>612</v>
      </c>
      <c r="C254" s="32" t="s">
        <v>613</v>
      </c>
      <c r="D254" s="55">
        <v>2</v>
      </c>
      <c r="E254" s="56" t="s">
        <v>41</v>
      </c>
      <c r="F254" s="56">
        <v>1</v>
      </c>
      <c r="G254" s="56" t="s">
        <v>104</v>
      </c>
      <c r="H254" s="59">
        <v>236134</v>
      </c>
      <c r="I254" s="59">
        <f t="shared" si="127"/>
        <v>472268</v>
      </c>
      <c r="J254" s="59">
        <v>295966</v>
      </c>
      <c r="K254" s="59">
        <f t="shared" si="128"/>
        <v>591932</v>
      </c>
      <c r="L254" s="59">
        <v>291092</v>
      </c>
      <c r="M254" s="210">
        <f t="shared" si="129"/>
        <v>582184</v>
      </c>
      <c r="N254" s="29">
        <f t="shared" si="130"/>
        <v>274397.33333333331</v>
      </c>
      <c r="O254" s="29">
        <f t="shared" si="131"/>
        <v>548794.66666666663</v>
      </c>
      <c r="P254" s="29">
        <f t="shared" si="132"/>
        <v>27129.331940826622</v>
      </c>
      <c r="Q254" s="30">
        <f t="shared" si="133"/>
        <v>9.8868788596682022E-2</v>
      </c>
      <c r="R254" s="29">
        <f t="shared" si="134"/>
        <v>291092</v>
      </c>
      <c r="S254" s="29">
        <f t="shared" si="135"/>
        <v>582184</v>
      </c>
      <c r="T254" s="30">
        <f t="shared" si="136"/>
        <v>9.3198480002290071E-2</v>
      </c>
      <c r="U254" s="56" t="s">
        <v>526</v>
      </c>
      <c r="V254" s="56" t="s">
        <v>614</v>
      </c>
      <c r="W254" s="56" t="s">
        <v>615</v>
      </c>
    </row>
    <row r="255" spans="1:23" ht="29.25" customHeight="1">
      <c r="A255" s="49">
        <v>217</v>
      </c>
      <c r="B255" s="209" t="s">
        <v>616</v>
      </c>
      <c r="C255" s="32" t="s">
        <v>617</v>
      </c>
      <c r="D255" s="55">
        <v>2</v>
      </c>
      <c r="E255" s="56" t="s">
        <v>41</v>
      </c>
      <c r="F255" s="56">
        <v>1</v>
      </c>
      <c r="G255" s="56" t="s">
        <v>104</v>
      </c>
      <c r="H255" s="54">
        <f>+(170000*100)/119</f>
        <v>142857.14285714287</v>
      </c>
      <c r="I255" s="54">
        <f t="shared" si="127"/>
        <v>285714.28571428574</v>
      </c>
      <c r="J255" s="54">
        <f>+(170000*100)/119</f>
        <v>142857.14285714287</v>
      </c>
      <c r="K255" s="54">
        <f t="shared" si="128"/>
        <v>285714.28571428574</v>
      </c>
      <c r="L255" s="54">
        <f>+(180000*100)/119</f>
        <v>151260.50420168068</v>
      </c>
      <c r="M255" s="54">
        <f t="shared" si="129"/>
        <v>302521.00840336137</v>
      </c>
      <c r="N255" s="29">
        <f t="shared" si="130"/>
        <v>145658.26330532215</v>
      </c>
      <c r="O255" s="29">
        <f t="shared" si="131"/>
        <v>291316.5266106443</v>
      </c>
      <c r="P255" s="29">
        <f t="shared" si="132"/>
        <v>3961.3825276557282</v>
      </c>
      <c r="Q255" s="30">
        <f t="shared" si="133"/>
        <v>2.7196414661021052E-2</v>
      </c>
      <c r="R255" s="29">
        <f t="shared" si="134"/>
        <v>142857.14285714287</v>
      </c>
      <c r="S255" s="29">
        <f t="shared" si="135"/>
        <v>285714.28571428574</v>
      </c>
      <c r="T255" s="30">
        <f t="shared" si="136"/>
        <v>2.7729677693590096E-2</v>
      </c>
      <c r="U255" s="56" t="s">
        <v>618</v>
      </c>
      <c r="V255" s="56" t="s">
        <v>619</v>
      </c>
      <c r="W255" s="56" t="s">
        <v>620</v>
      </c>
    </row>
    <row r="256" spans="1:23" ht="14.25" customHeight="1">
      <c r="A256" s="49">
        <v>218</v>
      </c>
      <c r="B256" s="122" t="s">
        <v>621</v>
      </c>
      <c r="C256" s="32" t="s">
        <v>622</v>
      </c>
      <c r="D256" s="55">
        <v>4</v>
      </c>
      <c r="E256" s="56" t="s">
        <v>41</v>
      </c>
      <c r="F256" s="56">
        <v>1</v>
      </c>
      <c r="G256" s="56" t="s">
        <v>104</v>
      </c>
      <c r="H256" s="54">
        <f>+(139900*100)/119</f>
        <v>117563.02521008403</v>
      </c>
      <c r="I256" s="54">
        <f t="shared" si="127"/>
        <v>470252.10084033612</v>
      </c>
      <c r="J256" s="54">
        <f>+(149900*100)/119</f>
        <v>125966.38655462184</v>
      </c>
      <c r="K256" s="54">
        <f t="shared" si="128"/>
        <v>503865.54621848738</v>
      </c>
      <c r="L256" s="102">
        <f>+(146900*100)/119</f>
        <v>123445.37815126051</v>
      </c>
      <c r="M256" s="54">
        <f t="shared" si="129"/>
        <v>493781.51260504202</v>
      </c>
      <c r="N256" s="29">
        <f t="shared" si="130"/>
        <v>122324.92997198879</v>
      </c>
      <c r="O256" s="29">
        <f t="shared" si="131"/>
        <v>489299.71988795517</v>
      </c>
      <c r="P256" s="29">
        <f t="shared" si="132"/>
        <v>3520.9538067161166</v>
      </c>
      <c r="Q256" s="30">
        <f t="shared" si="133"/>
        <v>2.8783615960559963E-2</v>
      </c>
      <c r="R256" s="29">
        <f t="shared" si="134"/>
        <v>123445.37815126051</v>
      </c>
      <c r="S256" s="29">
        <f t="shared" si="135"/>
        <v>493781.51260504202</v>
      </c>
      <c r="T256" s="30">
        <f t="shared" si="136"/>
        <v>2.8522362355290529E-2</v>
      </c>
      <c r="U256" s="56" t="s">
        <v>623</v>
      </c>
      <c r="V256" s="56" t="s">
        <v>624</v>
      </c>
      <c r="W256" s="56" t="s">
        <v>332</v>
      </c>
    </row>
    <row r="257" spans="1:25" ht="47.25" customHeight="1">
      <c r="A257" s="49">
        <v>219</v>
      </c>
      <c r="B257" s="209" t="s">
        <v>625</v>
      </c>
      <c r="C257" s="32" t="s">
        <v>626</v>
      </c>
      <c r="D257" s="55">
        <v>1</v>
      </c>
      <c r="E257" s="56" t="s">
        <v>41</v>
      </c>
      <c r="F257" s="56">
        <v>1</v>
      </c>
      <c r="G257" s="56" t="s">
        <v>104</v>
      </c>
      <c r="H257" s="54">
        <f>+(238900*100)/119</f>
        <v>200756.30252100842</v>
      </c>
      <c r="I257" s="54">
        <f t="shared" si="127"/>
        <v>200756.30252100842</v>
      </c>
      <c r="J257" s="54">
        <f>+(243000*100)/119</f>
        <v>204201.68067226891</v>
      </c>
      <c r="K257" s="54">
        <f t="shared" si="128"/>
        <v>204201.68067226891</v>
      </c>
      <c r="L257" s="54">
        <f>+(219900*100)/119</f>
        <v>184789.91596638656</v>
      </c>
      <c r="M257" s="54">
        <f t="shared" si="129"/>
        <v>184789.91596638656</v>
      </c>
      <c r="N257" s="29">
        <f t="shared" si="130"/>
        <v>196582.63305322127</v>
      </c>
      <c r="O257" s="29">
        <f t="shared" si="131"/>
        <v>196582.63305322127</v>
      </c>
      <c r="P257" s="29">
        <f t="shared" si="132"/>
        <v>8456.5079423636307</v>
      </c>
      <c r="Q257" s="30">
        <f t="shared" si="133"/>
        <v>4.3017573887486699E-2</v>
      </c>
      <c r="R257" s="29">
        <f t="shared" si="134"/>
        <v>200756.30252100842</v>
      </c>
      <c r="S257" s="29">
        <f t="shared" si="135"/>
        <v>200756.30252100842</v>
      </c>
      <c r="T257" s="30">
        <f t="shared" si="136"/>
        <v>4.2123250110559729E-2</v>
      </c>
      <c r="U257" s="56" t="s">
        <v>627</v>
      </c>
      <c r="V257" s="56" t="s">
        <v>628</v>
      </c>
      <c r="W257" s="56" t="s">
        <v>629</v>
      </c>
    </row>
    <row r="258" spans="1:25" ht="129.75" customHeight="1">
      <c r="A258" s="49">
        <v>223</v>
      </c>
      <c r="B258" s="122" t="s">
        <v>630</v>
      </c>
      <c r="C258" s="32" t="s">
        <v>631</v>
      </c>
      <c r="D258" s="55">
        <v>3</v>
      </c>
      <c r="E258" s="56" t="s">
        <v>41</v>
      </c>
      <c r="F258" s="56">
        <v>1</v>
      </c>
      <c r="G258" s="56" t="s">
        <v>104</v>
      </c>
      <c r="H258" s="54">
        <f>+(18000*100)/119</f>
        <v>15126.050420168067</v>
      </c>
      <c r="I258" s="54">
        <f t="shared" si="127"/>
        <v>45378.151260504201</v>
      </c>
      <c r="J258" s="102">
        <f>+(12000*100)/119</f>
        <v>10084.033613445377</v>
      </c>
      <c r="K258" s="54">
        <f t="shared" si="128"/>
        <v>30252.100840336134</v>
      </c>
      <c r="L258" s="211">
        <f>+(18000*100)/119</f>
        <v>15126.050420168067</v>
      </c>
      <c r="M258" s="63">
        <f t="shared" si="129"/>
        <v>45378.151260504201</v>
      </c>
      <c r="N258" s="29">
        <f t="shared" si="130"/>
        <v>13445.378151260504</v>
      </c>
      <c r="O258" s="29">
        <f t="shared" si="131"/>
        <v>40336.134453781509</v>
      </c>
      <c r="P258" s="29">
        <f t="shared" si="132"/>
        <v>2376.8295165934469</v>
      </c>
      <c r="Q258" s="30">
        <f t="shared" si="133"/>
        <v>0.17677669529663761</v>
      </c>
      <c r="R258" s="29">
        <f t="shared" si="134"/>
        <v>15126.050420168067</v>
      </c>
      <c r="S258" s="29">
        <f t="shared" si="135"/>
        <v>45378.151260504201</v>
      </c>
      <c r="T258" s="30">
        <f t="shared" si="136"/>
        <v>0.15713484026367788</v>
      </c>
      <c r="U258" s="56" t="s">
        <v>632</v>
      </c>
      <c r="V258" s="56" t="s">
        <v>633</v>
      </c>
      <c r="W258" s="23" t="s">
        <v>634</v>
      </c>
      <c r="Y258" s="23"/>
    </row>
    <row r="259" spans="1:25" ht="29.25" customHeight="1">
      <c r="A259" s="49">
        <v>224</v>
      </c>
      <c r="B259" s="209" t="s">
        <v>635</v>
      </c>
      <c r="C259" s="32" t="s">
        <v>636</v>
      </c>
      <c r="D259" s="55">
        <v>5</v>
      </c>
      <c r="E259" s="56" t="s">
        <v>41</v>
      </c>
      <c r="F259" s="56">
        <v>1</v>
      </c>
      <c r="G259" s="56" t="s">
        <v>104</v>
      </c>
      <c r="H259" s="54">
        <f>+(35000*100)/119</f>
        <v>29411.764705882353</v>
      </c>
      <c r="I259" s="54">
        <f t="shared" si="127"/>
        <v>147058.82352941178</v>
      </c>
      <c r="J259" s="54">
        <f>+(41700*100)/119</f>
        <v>35042.016806722691</v>
      </c>
      <c r="K259" s="54">
        <f t="shared" si="128"/>
        <v>175210.08403361344</v>
      </c>
      <c r="L259" s="54">
        <f>+(42000*100)/119</f>
        <v>35294.117647058825</v>
      </c>
      <c r="M259" s="54">
        <f t="shared" si="129"/>
        <v>176470.58823529413</v>
      </c>
      <c r="N259" s="29">
        <f t="shared" si="130"/>
        <v>33249.299719887953</v>
      </c>
      <c r="O259" s="29">
        <f t="shared" si="131"/>
        <v>166246.49859943977</v>
      </c>
      <c r="P259" s="29">
        <f t="shared" si="132"/>
        <v>2715.4981060833984</v>
      </c>
      <c r="Q259" s="30">
        <f t="shared" si="133"/>
        <v>8.1670836046484688E-2</v>
      </c>
      <c r="R259" s="29">
        <f t="shared" si="134"/>
        <v>35042.016806722691</v>
      </c>
      <c r="S259" s="29">
        <f t="shared" si="135"/>
        <v>175210.08403361344</v>
      </c>
      <c r="T259" s="30">
        <f t="shared" si="136"/>
        <v>7.7492631804298412E-2</v>
      </c>
      <c r="U259" s="107" t="s">
        <v>637</v>
      </c>
      <c r="V259" s="107" t="s">
        <v>638</v>
      </c>
      <c r="W259" s="107" t="s">
        <v>639</v>
      </c>
    </row>
    <row r="260" spans="1:25" ht="15.75" customHeight="1">
      <c r="A260" s="49">
        <v>225</v>
      </c>
      <c r="B260" s="209" t="s">
        <v>640</v>
      </c>
      <c r="C260" s="32" t="s">
        <v>641</v>
      </c>
      <c r="D260" s="55">
        <v>5</v>
      </c>
      <c r="E260" s="56" t="s">
        <v>41</v>
      </c>
      <c r="F260" s="56">
        <v>1</v>
      </c>
      <c r="G260" s="56" t="s">
        <v>104</v>
      </c>
      <c r="H260" s="54">
        <f>+(25100*100)/119</f>
        <v>21092.436974789915</v>
      </c>
      <c r="I260" s="54">
        <f t="shared" si="127"/>
        <v>105462.18487394958</v>
      </c>
      <c r="J260" s="54">
        <f>+(25100*100)/119</f>
        <v>21092.436974789915</v>
      </c>
      <c r="K260" s="54">
        <f t="shared" si="128"/>
        <v>105462.18487394958</v>
      </c>
      <c r="L260" s="54">
        <f>+(23176*100)/119</f>
        <v>19475.63025210084</v>
      </c>
      <c r="M260" s="54">
        <f t="shared" si="129"/>
        <v>97378.151260504208</v>
      </c>
      <c r="N260" s="29">
        <f t="shared" si="130"/>
        <v>20553.501400560224</v>
      </c>
      <c r="O260" s="29">
        <f t="shared" si="131"/>
        <v>102767.50700280113</v>
      </c>
      <c r="P260" s="29">
        <f t="shared" si="132"/>
        <v>762.16999832096155</v>
      </c>
      <c r="Q260" s="30">
        <f t="shared" si="133"/>
        <v>3.7082246156861003E-2</v>
      </c>
      <c r="R260" s="29">
        <f t="shared" si="134"/>
        <v>21092.436974789915</v>
      </c>
      <c r="S260" s="29">
        <f t="shared" si="135"/>
        <v>105462.18487394958</v>
      </c>
      <c r="T260" s="30">
        <f t="shared" si="136"/>
        <v>3.6134752908444E-2</v>
      </c>
      <c r="U260" s="107" t="s">
        <v>642</v>
      </c>
      <c r="V260" s="107" t="s">
        <v>643</v>
      </c>
      <c r="W260" s="107" t="s">
        <v>644</v>
      </c>
    </row>
    <row r="261" spans="1:25" ht="15.75" customHeight="1">
      <c r="A261" s="49">
        <v>226</v>
      </c>
      <c r="B261" s="209" t="s">
        <v>645</v>
      </c>
      <c r="C261" s="32" t="s">
        <v>646</v>
      </c>
      <c r="D261" s="55">
        <v>1</v>
      </c>
      <c r="E261" s="56" t="s">
        <v>41</v>
      </c>
      <c r="F261" s="56">
        <v>1</v>
      </c>
      <c r="G261" s="56" t="s">
        <v>104</v>
      </c>
      <c r="H261" s="54">
        <f>+(220900*100)/119</f>
        <v>185630.25210084033</v>
      </c>
      <c r="I261" s="54">
        <f t="shared" si="127"/>
        <v>185630.25210084033</v>
      </c>
      <c r="J261" s="54">
        <f>+(219899*100)/119</f>
        <v>184789.0756302521</v>
      </c>
      <c r="K261" s="54">
        <f t="shared" si="128"/>
        <v>184789.0756302521</v>
      </c>
      <c r="L261" s="54">
        <f>+(209900*100)/119</f>
        <v>176386.55462184874</v>
      </c>
      <c r="M261" s="54">
        <f t="shared" si="129"/>
        <v>176386.55462184874</v>
      </c>
      <c r="N261" s="29">
        <f t="shared" si="130"/>
        <v>182268.62745098039</v>
      </c>
      <c r="O261" s="29">
        <f t="shared" si="131"/>
        <v>182268.62745098039</v>
      </c>
      <c r="P261" s="29">
        <f t="shared" si="132"/>
        <v>4173.4062857634181</v>
      </c>
      <c r="Q261" s="30">
        <f t="shared" si="133"/>
        <v>2.2897008355899428E-2</v>
      </c>
      <c r="R261" s="29">
        <f t="shared" si="134"/>
        <v>184789.0756302521</v>
      </c>
      <c r="S261" s="29">
        <f t="shared" si="135"/>
        <v>184789.0756302521</v>
      </c>
      <c r="T261" s="30">
        <f t="shared" si="136"/>
        <v>2.2584702431836742E-2</v>
      </c>
      <c r="U261" s="107" t="s">
        <v>647</v>
      </c>
      <c r="V261" s="107" t="s">
        <v>648</v>
      </c>
      <c r="W261" s="107" t="s">
        <v>649</v>
      </c>
    </row>
    <row r="262" spans="1:25" ht="29.25" customHeight="1">
      <c r="A262" s="49">
        <v>227</v>
      </c>
      <c r="B262" s="209" t="s">
        <v>650</v>
      </c>
      <c r="C262" s="32" t="s">
        <v>651</v>
      </c>
      <c r="D262" s="55">
        <v>1</v>
      </c>
      <c r="E262" s="56" t="s">
        <v>41</v>
      </c>
      <c r="F262" s="56">
        <v>1</v>
      </c>
      <c r="G262" s="56" t="s">
        <v>104</v>
      </c>
      <c r="H262" s="54">
        <f>+(12900*100)/119</f>
        <v>10840.336134453781</v>
      </c>
      <c r="I262" s="54">
        <f t="shared" si="127"/>
        <v>10840.336134453781</v>
      </c>
      <c r="J262" s="54">
        <f>+(12950*100)/119</f>
        <v>10882.35294117647</v>
      </c>
      <c r="K262" s="54">
        <f t="shared" si="128"/>
        <v>10882.35294117647</v>
      </c>
      <c r="L262" s="54">
        <f>+(12800*100)/119</f>
        <v>10756.302521008403</v>
      </c>
      <c r="M262" s="54">
        <f t="shared" si="129"/>
        <v>10756.302521008403</v>
      </c>
      <c r="N262" s="29">
        <f t="shared" si="130"/>
        <v>10826.330532212885</v>
      </c>
      <c r="O262" s="29">
        <f t="shared" si="131"/>
        <v>10826.330532212885</v>
      </c>
      <c r="P262" s="29">
        <f t="shared" si="132"/>
        <v>52.404165080867344</v>
      </c>
      <c r="Q262" s="30">
        <f t="shared" si="133"/>
        <v>4.8404364641318606E-3</v>
      </c>
      <c r="R262" s="29">
        <f t="shared" si="134"/>
        <v>10840.336134453781</v>
      </c>
      <c r="S262" s="29">
        <f t="shared" si="135"/>
        <v>10840.336134453781</v>
      </c>
      <c r="T262" s="30">
        <f t="shared" si="136"/>
        <v>4.8341826702505541E-3</v>
      </c>
      <c r="U262" s="107" t="s">
        <v>652</v>
      </c>
      <c r="V262" s="107" t="s">
        <v>653</v>
      </c>
      <c r="W262" s="107" t="s">
        <v>654</v>
      </c>
    </row>
    <row r="263" spans="1:25" ht="29.25" customHeight="1">
      <c r="A263" s="49">
        <v>228</v>
      </c>
      <c r="B263" s="209" t="s">
        <v>655</v>
      </c>
      <c r="C263" s="32" t="s">
        <v>656</v>
      </c>
      <c r="D263" s="55">
        <v>1</v>
      </c>
      <c r="E263" s="56" t="s">
        <v>41</v>
      </c>
      <c r="F263" s="56">
        <v>1</v>
      </c>
      <c r="G263" s="56" t="s">
        <v>104</v>
      </c>
      <c r="H263" s="54">
        <f>+(83500*100)/119</f>
        <v>70168.067226890751</v>
      </c>
      <c r="I263" s="54">
        <f t="shared" si="127"/>
        <v>70168.067226890751</v>
      </c>
      <c r="J263" s="54">
        <f>+(84500*100)/119</f>
        <v>71008.403361344535</v>
      </c>
      <c r="K263" s="54">
        <f t="shared" si="128"/>
        <v>71008.403361344535</v>
      </c>
      <c r="L263" s="54">
        <f>+(90000*100)/119</f>
        <v>75630.252100840342</v>
      </c>
      <c r="M263" s="54">
        <f t="shared" si="129"/>
        <v>75630.252100840342</v>
      </c>
      <c r="N263" s="29">
        <f t="shared" si="130"/>
        <v>72268.907563025205</v>
      </c>
      <c r="O263" s="29">
        <f t="shared" si="131"/>
        <v>72268.907563025205</v>
      </c>
      <c r="P263" s="29">
        <f t="shared" si="132"/>
        <v>2401.4605321403756</v>
      </c>
      <c r="Q263" s="30">
        <f t="shared" si="133"/>
        <v>3.3229512014500549E-2</v>
      </c>
      <c r="R263" s="29">
        <f t="shared" si="134"/>
        <v>71008.403361344535</v>
      </c>
      <c r="S263" s="29">
        <f t="shared" si="135"/>
        <v>71008.403361344535</v>
      </c>
      <c r="T263" s="30">
        <f t="shared" si="136"/>
        <v>3.3819385008840797E-2</v>
      </c>
      <c r="U263" s="107" t="s">
        <v>657</v>
      </c>
      <c r="V263" s="107" t="s">
        <v>658</v>
      </c>
      <c r="W263" s="107" t="s">
        <v>659</v>
      </c>
    </row>
    <row r="264" spans="1:25" ht="57" customHeight="1">
      <c r="A264" s="49">
        <v>229</v>
      </c>
      <c r="B264" s="209" t="s">
        <v>660</v>
      </c>
      <c r="C264" s="32" t="s">
        <v>661</v>
      </c>
      <c r="D264" s="55">
        <v>1</v>
      </c>
      <c r="E264" s="56" t="s">
        <v>41</v>
      </c>
      <c r="F264" s="56">
        <v>1</v>
      </c>
      <c r="G264" s="56" t="s">
        <v>104</v>
      </c>
      <c r="H264" s="54">
        <f>+(21900*100)/119</f>
        <v>18403.361344537814</v>
      </c>
      <c r="I264" s="54">
        <f t="shared" si="127"/>
        <v>18403.361344537814</v>
      </c>
      <c r="J264" s="54">
        <f>+(19000*100)/119</f>
        <v>15966.386554621849</v>
      </c>
      <c r="K264" s="54">
        <f t="shared" si="128"/>
        <v>15966.386554621849</v>
      </c>
      <c r="L264" s="54">
        <f>+(24900*100)/119</f>
        <v>20924.36974789916</v>
      </c>
      <c r="M264" s="54">
        <f t="shared" si="129"/>
        <v>20924.36974789916</v>
      </c>
      <c r="N264" s="29">
        <f t="shared" si="130"/>
        <v>18431.372549019608</v>
      </c>
      <c r="O264" s="29">
        <f t="shared" si="131"/>
        <v>18431.372549019608</v>
      </c>
      <c r="P264" s="29">
        <f t="shared" si="132"/>
        <v>2024.1850717243335</v>
      </c>
      <c r="Q264" s="30">
        <f t="shared" si="133"/>
        <v>0.10982280708291596</v>
      </c>
      <c r="R264" s="29">
        <f t="shared" si="134"/>
        <v>18403.361344537814</v>
      </c>
      <c r="S264" s="29">
        <f t="shared" si="135"/>
        <v>18403.361344537814</v>
      </c>
      <c r="T264" s="30">
        <f t="shared" si="136"/>
        <v>0.10998996508456425</v>
      </c>
      <c r="U264" s="107" t="s">
        <v>332</v>
      </c>
      <c r="V264" s="107" t="s">
        <v>662</v>
      </c>
      <c r="W264" s="107" t="s">
        <v>435</v>
      </c>
    </row>
    <row r="265" spans="1:25" ht="216.75" customHeight="1">
      <c r="A265" s="49">
        <v>230</v>
      </c>
      <c r="B265" s="122" t="s">
        <v>663</v>
      </c>
      <c r="C265" s="32" t="s">
        <v>664</v>
      </c>
      <c r="D265" s="55">
        <v>2</v>
      </c>
      <c r="E265" s="56" t="s">
        <v>41</v>
      </c>
      <c r="F265" s="56">
        <v>1</v>
      </c>
      <c r="G265" s="56" t="s">
        <v>104</v>
      </c>
      <c r="H265" s="54">
        <f>+(27000*100)/119</f>
        <v>22689.0756302521</v>
      </c>
      <c r="I265" s="54">
        <f t="shared" si="127"/>
        <v>45378.151260504201</v>
      </c>
      <c r="J265" s="211">
        <f>+(24900*100)/119</f>
        <v>20924.36974789916</v>
      </c>
      <c r="K265" s="54">
        <f t="shared" si="128"/>
        <v>41848.73949579832</v>
      </c>
      <c r="L265" s="54">
        <f>+(26351*100)/119</f>
        <v>22143.697478991595</v>
      </c>
      <c r="M265" s="54">
        <f t="shared" si="129"/>
        <v>44287.39495798319</v>
      </c>
      <c r="N265" s="29">
        <f t="shared" si="130"/>
        <v>21919.047619047618</v>
      </c>
      <c r="O265" s="29">
        <f t="shared" si="131"/>
        <v>43838.095238095237</v>
      </c>
      <c r="P265" s="29">
        <f t="shared" si="132"/>
        <v>737.74312714855967</v>
      </c>
      <c r="Q265" s="30">
        <f t="shared" si="133"/>
        <v>3.3657626917488061E-2</v>
      </c>
      <c r="R265" s="29">
        <f t="shared" si="134"/>
        <v>22143.697478991595</v>
      </c>
      <c r="S265" s="29">
        <f t="shared" si="135"/>
        <v>44287.39495798319</v>
      </c>
      <c r="T265" s="30">
        <f t="shared" si="136"/>
        <v>3.3316167177973741E-2</v>
      </c>
      <c r="U265" s="107" t="s">
        <v>332</v>
      </c>
      <c r="V265" s="107" t="s">
        <v>665</v>
      </c>
      <c r="W265" s="107" t="s">
        <v>666</v>
      </c>
    </row>
    <row r="266" spans="1:25" ht="170.25" customHeight="1">
      <c r="A266" s="49">
        <v>231</v>
      </c>
      <c r="B266" s="209" t="s">
        <v>667</v>
      </c>
      <c r="C266" s="32" t="s">
        <v>668</v>
      </c>
      <c r="D266" s="55">
        <v>2</v>
      </c>
      <c r="E266" s="56" t="s">
        <v>41</v>
      </c>
      <c r="F266" s="56">
        <v>1</v>
      </c>
      <c r="G266" s="56" t="s">
        <v>104</v>
      </c>
      <c r="H266" s="54">
        <f>+(57250*100)/119</f>
        <v>48109.243697478989</v>
      </c>
      <c r="I266" s="54">
        <f t="shared" si="127"/>
        <v>96218.487394957978</v>
      </c>
      <c r="J266" s="54">
        <f>+(65500*100)/119</f>
        <v>55042.016806722691</v>
      </c>
      <c r="K266" s="54">
        <f t="shared" si="128"/>
        <v>110084.03361344538</v>
      </c>
      <c r="L266" s="54">
        <f>+(75000*100)/119</f>
        <v>63025.210084033613</v>
      </c>
      <c r="M266" s="54">
        <f t="shared" si="129"/>
        <v>126050.42016806723</v>
      </c>
      <c r="N266" s="29">
        <f t="shared" si="130"/>
        <v>55392.156862745098</v>
      </c>
      <c r="O266" s="29">
        <f t="shared" si="131"/>
        <v>110784.3137254902</v>
      </c>
      <c r="P266" s="29">
        <f t="shared" si="132"/>
        <v>6094.4489417463683</v>
      </c>
      <c r="Q266" s="30">
        <f t="shared" si="133"/>
        <v>0.11002368001028842</v>
      </c>
      <c r="R266" s="29">
        <f t="shared" si="134"/>
        <v>55042.016806722691</v>
      </c>
      <c r="S266" s="29">
        <f t="shared" si="135"/>
        <v>110084.03361344538</v>
      </c>
      <c r="T266" s="30">
        <f t="shared" si="136"/>
        <v>0.11072357619355996</v>
      </c>
      <c r="U266" s="107" t="s">
        <v>669</v>
      </c>
      <c r="V266" s="107" t="s">
        <v>670</v>
      </c>
      <c r="W266" s="107" t="s">
        <v>671</v>
      </c>
      <c r="X266" s="212" t="s">
        <v>60</v>
      </c>
      <c r="Y266" s="212" t="s">
        <v>61</v>
      </c>
    </row>
    <row r="267" spans="1:25" ht="216.75" customHeight="1">
      <c r="A267" s="49">
        <v>232</v>
      </c>
      <c r="B267" s="209" t="s">
        <v>672</v>
      </c>
      <c r="C267" s="32" t="s">
        <v>673</v>
      </c>
      <c r="D267" s="55">
        <v>1</v>
      </c>
      <c r="E267" s="56" t="s">
        <v>41</v>
      </c>
      <c r="F267" s="56">
        <v>1</v>
      </c>
      <c r="G267" s="56" t="s">
        <v>104</v>
      </c>
      <c r="H267" s="54">
        <f>+(167900*100)/119</f>
        <v>141092.43697478992</v>
      </c>
      <c r="I267" s="54">
        <f t="shared" si="127"/>
        <v>141092.43697478992</v>
      </c>
      <c r="J267" s="54">
        <f>+(179900*100)/119</f>
        <v>151176.4705882353</v>
      </c>
      <c r="K267" s="54">
        <f t="shared" si="128"/>
        <v>151176.4705882353</v>
      </c>
      <c r="L267" s="54">
        <f>+(150000*100)/119</f>
        <v>126050.42016806723</v>
      </c>
      <c r="M267" s="54">
        <f t="shared" si="129"/>
        <v>126050.42016806723</v>
      </c>
      <c r="N267" s="29">
        <f t="shared" si="130"/>
        <v>139439.77591036414</v>
      </c>
      <c r="O267" s="29">
        <f t="shared" si="131"/>
        <v>139439.77591036414</v>
      </c>
      <c r="P267" s="29">
        <f t="shared" si="132"/>
        <v>10324.019529705432</v>
      </c>
      <c r="Q267" s="30">
        <f t="shared" si="133"/>
        <v>7.4039272239952575E-2</v>
      </c>
      <c r="R267" s="29">
        <f t="shared" si="134"/>
        <v>141092.43697478992</v>
      </c>
      <c r="S267" s="29">
        <f t="shared" si="135"/>
        <v>141092.43697478992</v>
      </c>
      <c r="T267" s="30">
        <f t="shared" si="136"/>
        <v>7.3172026446393479E-2</v>
      </c>
      <c r="U267" s="56" t="s">
        <v>435</v>
      </c>
      <c r="V267" s="56" t="s">
        <v>332</v>
      </c>
      <c r="W267" s="56" t="s">
        <v>674</v>
      </c>
      <c r="X267" s="40">
        <f>SUM(O246:O277)</f>
        <v>67339319.092436969</v>
      </c>
      <c r="Y267" s="40">
        <f>SUM(S246:S277)</f>
        <v>68527232.957983196</v>
      </c>
    </row>
    <row r="268" spans="1:25" ht="126.75" customHeight="1">
      <c r="A268" s="49">
        <v>233</v>
      </c>
      <c r="B268" s="209" t="s">
        <v>675</v>
      </c>
      <c r="C268" s="32" t="s">
        <v>676</v>
      </c>
      <c r="D268" s="55">
        <v>5</v>
      </c>
      <c r="E268" s="56" t="s">
        <v>41</v>
      </c>
      <c r="F268" s="56">
        <v>1</v>
      </c>
      <c r="G268" s="56" t="s">
        <v>104</v>
      </c>
      <c r="H268" s="54">
        <f>+(2200000*100)/119</f>
        <v>1848739.4957983193</v>
      </c>
      <c r="I268" s="54">
        <f t="shared" si="127"/>
        <v>9243697.478991596</v>
      </c>
      <c r="J268" s="54">
        <f>+(2320500*100)/119</f>
        <v>1950000</v>
      </c>
      <c r="K268" s="54">
        <f t="shared" si="128"/>
        <v>9750000</v>
      </c>
      <c r="L268" s="54">
        <f>+(2284800*100)/119</f>
        <v>1920000</v>
      </c>
      <c r="M268" s="54">
        <f t="shared" si="129"/>
        <v>9600000</v>
      </c>
      <c r="N268" s="29">
        <f t="shared" si="130"/>
        <v>1906246.4985994399</v>
      </c>
      <c r="O268" s="29">
        <f t="shared" si="131"/>
        <v>9531232.4929971993</v>
      </c>
      <c r="P268" s="29">
        <f t="shared" si="132"/>
        <v>42467.96069490548</v>
      </c>
      <c r="Q268" s="30">
        <f t="shared" si="133"/>
        <v>2.2278315383717478E-2</v>
      </c>
      <c r="R268" s="29">
        <f t="shared" si="134"/>
        <v>1920000</v>
      </c>
      <c r="S268" s="29">
        <f t="shared" si="135"/>
        <v>9600000</v>
      </c>
      <c r="T268" s="30">
        <f t="shared" si="136"/>
        <v>2.2118729528596604E-2</v>
      </c>
      <c r="U268" s="56" t="s">
        <v>677</v>
      </c>
      <c r="V268" s="56" t="s">
        <v>678</v>
      </c>
      <c r="W268" s="56" t="s">
        <v>679</v>
      </c>
    </row>
    <row r="269" spans="1:25" ht="387.75" customHeight="1">
      <c r="A269" s="49">
        <v>234</v>
      </c>
      <c r="B269" s="209" t="s">
        <v>680</v>
      </c>
      <c r="C269" s="32" t="s">
        <v>681</v>
      </c>
      <c r="D269" s="55">
        <v>5</v>
      </c>
      <c r="E269" s="56" t="s">
        <v>41</v>
      </c>
      <c r="F269" s="56">
        <v>1</v>
      </c>
      <c r="G269" s="56" t="s">
        <v>104</v>
      </c>
      <c r="H269" s="54">
        <f>+(620000*100)/119</f>
        <v>521008.40336134454</v>
      </c>
      <c r="I269" s="54">
        <f t="shared" si="127"/>
        <v>2605042.0168067226</v>
      </c>
      <c r="J269" s="54">
        <f>+(399000*100)/119</f>
        <v>335294.1176470588</v>
      </c>
      <c r="K269" s="54">
        <f t="shared" si="128"/>
        <v>1676470.588235294</v>
      </c>
      <c r="L269" s="54">
        <f>+(500000*100)/119</f>
        <v>420168.06722689077</v>
      </c>
      <c r="M269" s="54">
        <f t="shared" si="129"/>
        <v>2100840.3361344538</v>
      </c>
      <c r="N269" s="29">
        <f t="shared" si="130"/>
        <v>425490.19607843133</v>
      </c>
      <c r="O269" s="29">
        <f t="shared" si="131"/>
        <v>2127450.9803921566</v>
      </c>
      <c r="P269" s="29">
        <f t="shared" si="132"/>
        <v>75910.880955790242</v>
      </c>
      <c r="Q269" s="30">
        <f t="shared" si="133"/>
        <v>0.17840806123250244</v>
      </c>
      <c r="R269" s="29">
        <f t="shared" si="134"/>
        <v>420168.06722689077</v>
      </c>
      <c r="S269" s="29">
        <f t="shared" si="135"/>
        <v>2100840.3361344538</v>
      </c>
      <c r="T269" s="30">
        <f t="shared" si="136"/>
        <v>0.18066789667478078</v>
      </c>
      <c r="U269" s="65" t="s">
        <v>632</v>
      </c>
      <c r="V269" s="65" t="s">
        <v>682</v>
      </c>
      <c r="W269" s="65" t="s">
        <v>683</v>
      </c>
      <c r="X269" t="s">
        <v>60</v>
      </c>
      <c r="Y269" t="s">
        <v>61</v>
      </c>
    </row>
    <row r="270" spans="1:25" ht="186" customHeight="1">
      <c r="A270" s="49">
        <v>235</v>
      </c>
      <c r="B270" s="209" t="s">
        <v>684</v>
      </c>
      <c r="C270" s="32" t="s">
        <v>685</v>
      </c>
      <c r="D270" s="55">
        <v>80</v>
      </c>
      <c r="E270" s="56" t="s">
        <v>41</v>
      </c>
      <c r="F270" s="56">
        <v>1</v>
      </c>
      <c r="G270" s="56" t="s">
        <v>104</v>
      </c>
      <c r="H270" s="54">
        <f>+(479900*100)/119</f>
        <v>403277.31092436973</v>
      </c>
      <c r="I270" s="54">
        <f t="shared" si="127"/>
        <v>32262184.87394958</v>
      </c>
      <c r="J270" s="54">
        <f>+(479900*100)/119</f>
        <v>403277.31092436973</v>
      </c>
      <c r="K270" s="54">
        <f t="shared" si="128"/>
        <v>32262184.87394958</v>
      </c>
      <c r="L270" s="54">
        <f>+(420990*100)/119</f>
        <v>353773.10924369749</v>
      </c>
      <c r="M270" s="54">
        <f t="shared" si="129"/>
        <v>28301848.739495799</v>
      </c>
      <c r="N270" s="29">
        <f t="shared" si="130"/>
        <v>386775.91036414565</v>
      </c>
      <c r="O270" s="29">
        <f t="shared" si="131"/>
        <v>30942072.829131652</v>
      </c>
      <c r="P270" s="29">
        <f t="shared" si="132"/>
        <v>23336.504470419881</v>
      </c>
      <c r="Q270" s="30">
        <f t="shared" si="133"/>
        <v>6.0335982270583489E-2</v>
      </c>
      <c r="R270" s="29">
        <f t="shared" si="134"/>
        <v>403277.31092436973</v>
      </c>
      <c r="S270" s="29">
        <f t="shared" si="135"/>
        <v>32262184.87394958</v>
      </c>
      <c r="T270" s="30">
        <f t="shared" si="136"/>
        <v>5.7867139653677138E-2</v>
      </c>
      <c r="U270" s="56" t="s">
        <v>435</v>
      </c>
      <c r="V270" s="56" t="s">
        <v>287</v>
      </c>
      <c r="W270" s="56" t="s">
        <v>686</v>
      </c>
      <c r="X270" s="40">
        <f>SUM(O279:O280)</f>
        <v>45659327.731092438</v>
      </c>
      <c r="Y270" s="40">
        <f>SUM(S279:S280)</f>
        <v>45495798.319327734</v>
      </c>
    </row>
    <row r="271" spans="1:25" s="121" customFormat="1" ht="42" customHeight="1">
      <c r="A271" s="49">
        <v>236</v>
      </c>
      <c r="B271" s="209" t="s">
        <v>687</v>
      </c>
      <c r="C271" s="32" t="s">
        <v>688</v>
      </c>
      <c r="D271" s="55">
        <v>20</v>
      </c>
      <c r="E271" s="56" t="s">
        <v>41</v>
      </c>
      <c r="F271" s="56">
        <v>1</v>
      </c>
      <c r="G271" s="56" t="s">
        <v>104</v>
      </c>
      <c r="H271" s="54">
        <f>+(42600*100)/119</f>
        <v>35798.319327731093</v>
      </c>
      <c r="I271" s="54">
        <f t="shared" si="127"/>
        <v>715966.38655462186</v>
      </c>
      <c r="J271" s="54">
        <f>+(45000*100)/119</f>
        <v>37815.126050420171</v>
      </c>
      <c r="K271" s="54">
        <f t="shared" si="128"/>
        <v>756302.52100840339</v>
      </c>
      <c r="L271" s="54">
        <f>+(42600*100)/119</f>
        <v>35798.319327731093</v>
      </c>
      <c r="M271" s="54">
        <f t="shared" si="129"/>
        <v>715966.38655462186</v>
      </c>
      <c r="N271" s="29">
        <f t="shared" si="130"/>
        <v>36470.588235294119</v>
      </c>
      <c r="O271" s="29">
        <f t="shared" si="131"/>
        <v>729411.76470588241</v>
      </c>
      <c r="P271" s="29">
        <f t="shared" si="132"/>
        <v>950.73180663737594</v>
      </c>
      <c r="Q271" s="30">
        <f t="shared" si="133"/>
        <v>2.6068452762637726E-2</v>
      </c>
      <c r="R271" s="29">
        <f t="shared" si="134"/>
        <v>35798.319327731093</v>
      </c>
      <c r="S271" s="29">
        <f t="shared" si="135"/>
        <v>715966.38655462186</v>
      </c>
      <c r="T271" s="30">
        <f t="shared" si="136"/>
        <v>2.655800117132576E-2</v>
      </c>
      <c r="U271" s="56" t="s">
        <v>689</v>
      </c>
      <c r="V271" s="56" t="s">
        <v>690</v>
      </c>
      <c r="W271" s="56" t="s">
        <v>691</v>
      </c>
      <c r="X271" s="120"/>
    </row>
    <row r="272" spans="1:25" ht="408" customHeight="1">
      <c r="A272" s="49">
        <v>237</v>
      </c>
      <c r="B272" s="209" t="s">
        <v>692</v>
      </c>
      <c r="C272" s="32" t="s">
        <v>693</v>
      </c>
      <c r="D272" s="55">
        <v>3</v>
      </c>
      <c r="E272" s="56" t="s">
        <v>41</v>
      </c>
      <c r="F272" s="56">
        <v>1</v>
      </c>
      <c r="G272" s="56" t="s">
        <v>104</v>
      </c>
      <c r="H272" s="54">
        <f>+(146700*100)/119</f>
        <v>123277.31092436975</v>
      </c>
      <c r="I272" s="54">
        <f t="shared" si="127"/>
        <v>369831.93277310929</v>
      </c>
      <c r="J272" s="54">
        <f>+(182300*100)/119</f>
        <v>153193.27731092437</v>
      </c>
      <c r="K272" s="54">
        <f t="shared" si="128"/>
        <v>459579.83193277312</v>
      </c>
      <c r="L272" s="54">
        <f>+(203700*100)/119</f>
        <v>171176.4705882353</v>
      </c>
      <c r="M272" s="54">
        <f t="shared" si="129"/>
        <v>513529.4117647059</v>
      </c>
      <c r="N272" s="29">
        <f t="shared" si="130"/>
        <v>149215.68627450979</v>
      </c>
      <c r="O272" s="29">
        <f t="shared" si="131"/>
        <v>447647.0588235294</v>
      </c>
      <c r="P272" s="29">
        <f t="shared" si="132"/>
        <v>19755.983008797626</v>
      </c>
      <c r="Q272" s="30">
        <f t="shared" si="133"/>
        <v>0.13239883488156098</v>
      </c>
      <c r="R272" s="29">
        <f t="shared" si="134"/>
        <v>153193.27731092437</v>
      </c>
      <c r="S272" s="29">
        <f t="shared" si="135"/>
        <v>459579.83193277312</v>
      </c>
      <c r="T272" s="30">
        <f t="shared" si="136"/>
        <v>0.12896116171403826</v>
      </c>
      <c r="U272" s="56" t="s">
        <v>694</v>
      </c>
      <c r="V272" s="56" t="s">
        <v>695</v>
      </c>
      <c r="W272" s="56" t="s">
        <v>696</v>
      </c>
      <c r="X272" t="s">
        <v>60</v>
      </c>
      <c r="Y272" t="s">
        <v>61</v>
      </c>
    </row>
    <row r="273" spans="1:25" ht="170.25" customHeight="1">
      <c r="A273" s="49">
        <v>238</v>
      </c>
      <c r="B273" s="209" t="s">
        <v>697</v>
      </c>
      <c r="C273" s="32" t="s">
        <v>698</v>
      </c>
      <c r="D273" s="91">
        <v>100</v>
      </c>
      <c r="E273" s="56" t="s">
        <v>41</v>
      </c>
      <c r="F273" s="56">
        <v>1</v>
      </c>
      <c r="G273" s="56" t="s">
        <v>104</v>
      </c>
      <c r="H273" s="54">
        <f>+(37000*100)/119</f>
        <v>31092.436974789915</v>
      </c>
      <c r="I273" s="54">
        <f t="shared" si="127"/>
        <v>3109243.6974789915</v>
      </c>
      <c r="J273" s="54">
        <f>+(39900*100)/119</f>
        <v>33529.411764705881</v>
      </c>
      <c r="K273" s="54">
        <f t="shared" si="128"/>
        <v>3352941.176470588</v>
      </c>
      <c r="L273" s="54">
        <f>+(44900*100)/119</f>
        <v>37731.092436974788</v>
      </c>
      <c r="M273" s="63">
        <f>+L273*D273*F273</f>
        <v>3773109.2436974789</v>
      </c>
      <c r="N273" s="29">
        <f t="shared" si="130"/>
        <v>34117.647058823524</v>
      </c>
      <c r="O273" s="29">
        <f t="shared" si="131"/>
        <v>3411764.7058823523</v>
      </c>
      <c r="P273" s="29">
        <f t="shared" si="132"/>
        <v>2741.9521217961383</v>
      </c>
      <c r="Q273" s="30">
        <f t="shared" si="133"/>
        <v>8.0367562190576475E-2</v>
      </c>
      <c r="R273" s="29">
        <f t="shared" si="134"/>
        <v>33529.411764705881</v>
      </c>
      <c r="S273" s="29">
        <f t="shared" si="135"/>
        <v>3352941.176470588</v>
      </c>
      <c r="T273" s="30">
        <f t="shared" si="136"/>
        <v>8.1777519421990089E-2</v>
      </c>
      <c r="U273" s="56" t="s">
        <v>317</v>
      </c>
      <c r="V273" s="56" t="s">
        <v>332</v>
      </c>
      <c r="W273" s="56" t="s">
        <v>699</v>
      </c>
      <c r="X273" s="40">
        <f>SUM(O282:O283)</f>
        <v>45659327.731092438</v>
      </c>
      <c r="Y273" s="40">
        <f>SUM(S282:S283)</f>
        <v>45495798.319327734</v>
      </c>
    </row>
    <row r="274" spans="1:25" ht="44.25" customHeight="1">
      <c r="A274" s="49">
        <v>239</v>
      </c>
      <c r="B274" s="209" t="s">
        <v>700</v>
      </c>
      <c r="C274" s="32" t="s">
        <v>701</v>
      </c>
      <c r="D274" s="91">
        <v>40</v>
      </c>
      <c r="E274" s="56" t="s">
        <v>41</v>
      </c>
      <c r="F274" s="56">
        <v>1</v>
      </c>
      <c r="G274" s="56" t="s">
        <v>104</v>
      </c>
      <c r="H274" s="63">
        <f>+(5250*100)/119</f>
        <v>4411.7647058823532</v>
      </c>
      <c r="I274" s="54">
        <f t="shared" si="127"/>
        <v>176470.58823529413</v>
      </c>
      <c r="J274" s="63">
        <f>+(3800*100)/119</f>
        <v>3193.2773109243699</v>
      </c>
      <c r="K274" s="54">
        <f t="shared" si="128"/>
        <v>127731.0924369748</v>
      </c>
      <c r="L274" s="63">
        <f>+(4567*100)/119</f>
        <v>3837.8151260504201</v>
      </c>
      <c r="M274" s="54">
        <f>+L274*F274*D274</f>
        <v>153512.6050420168</v>
      </c>
      <c r="N274" s="29">
        <f t="shared" si="130"/>
        <v>3814.2857142857142</v>
      </c>
      <c r="O274" s="29">
        <f t="shared" si="131"/>
        <v>152571.42857142858</v>
      </c>
      <c r="P274" s="29">
        <f t="shared" si="132"/>
        <v>497.72355635859174</v>
      </c>
      <c r="Q274" s="30">
        <f t="shared" si="133"/>
        <v>0.13048932189176563</v>
      </c>
      <c r="R274" s="29">
        <f t="shared" si="134"/>
        <v>3837.8151260504201</v>
      </c>
      <c r="S274" s="29">
        <f t="shared" si="135"/>
        <v>153512.6050420168</v>
      </c>
      <c r="T274" s="30">
        <f t="shared" si="136"/>
        <v>0.12968929977375174</v>
      </c>
      <c r="U274" s="56" t="s">
        <v>702</v>
      </c>
      <c r="V274" s="56" t="s">
        <v>703</v>
      </c>
      <c r="W274" s="56" t="s">
        <v>704</v>
      </c>
    </row>
    <row r="275" spans="1:25" s="113" customFormat="1" ht="42" customHeight="1">
      <c r="A275" s="49">
        <v>240</v>
      </c>
      <c r="B275" s="209" t="s">
        <v>705</v>
      </c>
      <c r="C275" s="32" t="s">
        <v>706</v>
      </c>
      <c r="D275" s="91">
        <v>100</v>
      </c>
      <c r="E275" s="56" t="s">
        <v>41</v>
      </c>
      <c r="F275" s="56">
        <v>1</v>
      </c>
      <c r="G275" s="56" t="s">
        <v>104</v>
      </c>
      <c r="H275" s="213">
        <f>+(32300*100)/119</f>
        <v>27142.857142857141</v>
      </c>
      <c r="I275" s="213">
        <f t="shared" si="127"/>
        <v>2714285.7142857141</v>
      </c>
      <c r="J275" s="213">
        <f>+(30000*100)/119</f>
        <v>25210.084033613446</v>
      </c>
      <c r="K275" s="213">
        <f t="shared" si="128"/>
        <v>2521008.4033613447</v>
      </c>
      <c r="L275" s="213">
        <f>+(27500*100)/119</f>
        <v>23109.243697478993</v>
      </c>
      <c r="M275" s="54">
        <f>+L275*F275*D275</f>
        <v>2310924.3697478995</v>
      </c>
      <c r="N275" s="29">
        <f t="shared" si="130"/>
        <v>25154.061624649858</v>
      </c>
      <c r="O275" s="29">
        <f t="shared" si="131"/>
        <v>2515406.1624649856</v>
      </c>
      <c r="P275" s="29">
        <f t="shared" si="132"/>
        <v>1647.1922048167112</v>
      </c>
      <c r="Q275" s="30">
        <f t="shared" si="133"/>
        <v>6.5484144445385958E-2</v>
      </c>
      <c r="R275" s="29">
        <f t="shared" si="134"/>
        <v>25210.084033613446</v>
      </c>
      <c r="S275" s="29">
        <f t="shared" si="135"/>
        <v>2521008.4033613447</v>
      </c>
      <c r="T275" s="30">
        <f t="shared" si="136"/>
        <v>6.5338624124396213E-2</v>
      </c>
      <c r="U275" s="56" t="s">
        <v>418</v>
      </c>
      <c r="V275" s="56" t="s">
        <v>106</v>
      </c>
      <c r="W275" s="56" t="s">
        <v>107</v>
      </c>
      <c r="X275" s="214"/>
    </row>
    <row r="276" spans="1:25" ht="15.75" customHeight="1">
      <c r="A276" s="49">
        <v>241</v>
      </c>
      <c r="B276" s="209" t="s">
        <v>707</v>
      </c>
      <c r="C276" s="32" t="s">
        <v>708</v>
      </c>
      <c r="D276" s="91">
        <v>40</v>
      </c>
      <c r="E276" s="56" t="s">
        <v>41</v>
      </c>
      <c r="F276" s="56">
        <v>1</v>
      </c>
      <c r="G276" s="56" t="s">
        <v>104</v>
      </c>
      <c r="H276" s="213">
        <f>+(50000*100)/119</f>
        <v>42016.806722689078</v>
      </c>
      <c r="I276" s="213">
        <f t="shared" si="127"/>
        <v>1680672.2689075631</v>
      </c>
      <c r="J276" s="213">
        <f>+(44900*100)/119</f>
        <v>37731.092436974788</v>
      </c>
      <c r="K276" s="213">
        <f t="shared" si="128"/>
        <v>1509243.6974789915</v>
      </c>
      <c r="L276" s="213">
        <f>+(39000*100)/119</f>
        <v>32773.10924369748</v>
      </c>
      <c r="M276" s="54">
        <f>+L276*F276*D276</f>
        <v>1310924.3697478992</v>
      </c>
      <c r="N276" s="29">
        <f t="shared" si="130"/>
        <v>37507.002801120449</v>
      </c>
      <c r="O276" s="29">
        <f t="shared" si="131"/>
        <v>1500280.112044818</v>
      </c>
      <c r="P276" s="29">
        <f t="shared" si="132"/>
        <v>3777.0489269138939</v>
      </c>
      <c r="Q276" s="30">
        <f t="shared" si="133"/>
        <v>0.10070249939568783</v>
      </c>
      <c r="R276" s="29">
        <f t="shared" si="134"/>
        <v>37731.092436974788</v>
      </c>
      <c r="S276" s="29">
        <f t="shared" si="135"/>
        <v>1509243.6974789915</v>
      </c>
      <c r="T276" s="30">
        <f t="shared" si="136"/>
        <v>0.10010441476676023</v>
      </c>
      <c r="U276" s="56" t="s">
        <v>709</v>
      </c>
      <c r="V276" s="56" t="s">
        <v>435</v>
      </c>
      <c r="W276" s="56" t="s">
        <v>710</v>
      </c>
    </row>
    <row r="277" spans="1:25" ht="93" customHeight="1">
      <c r="A277" s="49">
        <v>242</v>
      </c>
      <c r="B277" s="209" t="s">
        <v>711</v>
      </c>
      <c r="C277" s="32" t="s">
        <v>712</v>
      </c>
      <c r="D277" s="91">
        <v>100</v>
      </c>
      <c r="E277" s="56" t="s">
        <v>41</v>
      </c>
      <c r="F277" s="56">
        <v>1</v>
      </c>
      <c r="G277" s="56" t="s">
        <v>104</v>
      </c>
      <c r="H277" s="213">
        <f>+(51800*100)/119</f>
        <v>43529.411764705881</v>
      </c>
      <c r="I277" s="213">
        <f t="shared" si="127"/>
        <v>4352941.176470588</v>
      </c>
      <c r="J277" s="213">
        <f>+(47900*100)/119</f>
        <v>40252.100840336134</v>
      </c>
      <c r="K277" s="213">
        <f t="shared" si="128"/>
        <v>4025210.0840336136</v>
      </c>
      <c r="L277" s="213">
        <f>+(47900*100)/119</f>
        <v>40252.100840336134</v>
      </c>
      <c r="M277" s="213">
        <f>+L277*F277*D277</f>
        <v>4025210.0840336136</v>
      </c>
      <c r="N277" s="29">
        <f t="shared" si="130"/>
        <v>41344.537815126052</v>
      </c>
      <c r="O277" s="29">
        <f t="shared" si="131"/>
        <v>4134453.781512605</v>
      </c>
      <c r="P277" s="29">
        <f t="shared" si="132"/>
        <v>1544.9391857857338</v>
      </c>
      <c r="Q277" s="30">
        <f t="shared" si="133"/>
        <v>3.7367431526118357E-2</v>
      </c>
      <c r="R277" s="29">
        <f t="shared" si="134"/>
        <v>40252.100840336134</v>
      </c>
      <c r="S277" s="29">
        <f t="shared" si="135"/>
        <v>4025210.0840336136</v>
      </c>
      <c r="T277" s="30">
        <f t="shared" si="136"/>
        <v>3.8381578937056855E-2</v>
      </c>
      <c r="U277" s="56" t="s">
        <v>713</v>
      </c>
      <c r="V277" s="56" t="s">
        <v>714</v>
      </c>
      <c r="W277" s="56" t="s">
        <v>332</v>
      </c>
    </row>
    <row r="278" spans="1:25" ht="33" customHeight="1">
      <c r="A278" s="303" t="s">
        <v>715</v>
      </c>
      <c r="B278" s="303"/>
      <c r="C278" s="303"/>
      <c r="D278" s="303"/>
      <c r="E278" s="303"/>
      <c r="F278" s="303"/>
      <c r="G278" s="303"/>
      <c r="H278" s="303"/>
      <c r="I278" s="303"/>
      <c r="J278" s="303"/>
      <c r="K278" s="303"/>
      <c r="L278" s="303"/>
      <c r="M278" s="303"/>
      <c r="N278" s="303"/>
      <c r="O278" s="303"/>
      <c r="P278" s="303"/>
      <c r="Q278" s="303"/>
      <c r="R278" s="303"/>
      <c r="S278" s="303"/>
      <c r="T278" s="303"/>
      <c r="U278" s="303"/>
      <c r="V278" s="303"/>
      <c r="W278" s="303"/>
    </row>
    <row r="279" spans="1:25" ht="123.75" customHeight="1">
      <c r="A279" s="49">
        <v>243</v>
      </c>
      <c r="B279" s="215" t="s">
        <v>716</v>
      </c>
      <c r="C279" s="109" t="s">
        <v>717</v>
      </c>
      <c r="D279" s="110">
        <v>1</v>
      </c>
      <c r="E279" s="110" t="s">
        <v>197</v>
      </c>
      <c r="F279" s="111">
        <v>1</v>
      </c>
      <c r="G279" s="111" t="s">
        <v>198</v>
      </c>
      <c r="H279" s="216">
        <v>40000000</v>
      </c>
      <c r="I279" s="113">
        <f>+H279*F279*D279</f>
        <v>40000000</v>
      </c>
      <c r="J279" s="113"/>
      <c r="K279" s="113"/>
      <c r="L279" s="113"/>
      <c r="M279" s="113"/>
      <c r="N279" s="29">
        <f>+AVERAGE(H279,J279,L279)</f>
        <v>40000000</v>
      </c>
      <c r="O279" s="29">
        <f>+N279*D279*F279</f>
        <v>40000000</v>
      </c>
      <c r="P279" s="29">
        <f>+_xlfn.STDEV.P(H279,J279,L279)</f>
        <v>0</v>
      </c>
      <c r="Q279" s="30">
        <f>+P279/N279</f>
        <v>0</v>
      </c>
      <c r="R279" s="29">
        <f>+MEDIAN(H279,J279,L279)</f>
        <v>40000000</v>
      </c>
      <c r="S279" s="29">
        <f>+R279*D279*F279</f>
        <v>40000000</v>
      </c>
      <c r="T279" s="30">
        <f>+P279/R279</f>
        <v>0</v>
      </c>
      <c r="U279" s="56"/>
      <c r="V279" s="56"/>
      <c r="W279" s="56"/>
    </row>
    <row r="280" spans="1:25" ht="123.75" customHeight="1">
      <c r="A280" s="49">
        <v>244</v>
      </c>
      <c r="B280" s="217" t="s">
        <v>718</v>
      </c>
      <c r="C280" s="123" t="s">
        <v>719</v>
      </c>
      <c r="D280" s="218">
        <v>600</v>
      </c>
      <c r="E280" s="123" t="s">
        <v>41</v>
      </c>
      <c r="F280" s="219">
        <v>1</v>
      </c>
      <c r="G280" s="219" t="s">
        <v>198</v>
      </c>
      <c r="H280" s="54">
        <f>+(10756*100)/119</f>
        <v>9038.6554621848736</v>
      </c>
      <c r="I280" s="54">
        <f>+H280*F280*D280</f>
        <v>5423193.2773109246</v>
      </c>
      <c r="J280" s="54">
        <f>+(12017*100)/119</f>
        <v>10098.319327731093</v>
      </c>
      <c r="K280" s="54">
        <f>+J280*F280*D280</f>
        <v>6058991.5966386553</v>
      </c>
      <c r="L280" s="54">
        <f>+(10900*100)/119</f>
        <v>9159.6638655462193</v>
      </c>
      <c r="M280" s="54">
        <f>+L280*F280*D280</f>
        <v>5495798.3193277316</v>
      </c>
      <c r="N280" s="29">
        <f>+AVERAGE(H280,J280,L280)</f>
        <v>9432.212885154062</v>
      </c>
      <c r="O280" s="29">
        <f>+N280*D280*F280</f>
        <v>5659327.7310924372</v>
      </c>
      <c r="P280" s="29">
        <f>+_xlfn.STDEV.P(H280,J280,L280)</f>
        <v>473.59202066264169</v>
      </c>
      <c r="Q280" s="30">
        <f>+P280/N280</f>
        <v>5.0210064852125764E-2</v>
      </c>
      <c r="R280" s="29">
        <f>+MEDIAN(H280,J280,L280)</f>
        <v>9159.6638655462193</v>
      </c>
      <c r="S280" s="29">
        <f>+R280*D280*F280</f>
        <v>5495798.3193277316</v>
      </c>
      <c r="T280" s="30">
        <f>+P280/R280</f>
        <v>5.1704082989774636E-2</v>
      </c>
      <c r="U280" s="68" t="s">
        <v>147</v>
      </c>
      <c r="V280" s="69" t="s">
        <v>313</v>
      </c>
      <c r="W280" s="69" t="s">
        <v>149</v>
      </c>
    </row>
    <row r="281" spans="1:25" ht="15.75" customHeight="1">
      <c r="A281" s="303" t="s">
        <v>720</v>
      </c>
      <c r="B281" s="303"/>
      <c r="C281" s="303"/>
      <c r="D281" s="303"/>
      <c r="E281" s="303"/>
      <c r="F281" s="303"/>
      <c r="G281" s="303"/>
      <c r="H281" s="303"/>
      <c r="I281" s="303"/>
      <c r="J281" s="303"/>
      <c r="K281" s="303"/>
      <c r="L281" s="303"/>
      <c r="M281" s="303"/>
      <c r="N281" s="303"/>
      <c r="O281" s="303"/>
      <c r="P281" s="303"/>
      <c r="Q281" s="303"/>
      <c r="R281" s="303"/>
      <c r="S281" s="303"/>
      <c r="T281" s="303"/>
      <c r="U281" s="303"/>
      <c r="V281" s="303"/>
      <c r="W281" s="303"/>
      <c r="X281" t="s">
        <v>60</v>
      </c>
      <c r="Y281" t="s">
        <v>61</v>
      </c>
    </row>
    <row r="282" spans="1:25" ht="201.75" customHeight="1">
      <c r="A282" s="49">
        <v>245</v>
      </c>
      <c r="B282" s="215" t="s">
        <v>721</v>
      </c>
      <c r="C282" s="109" t="s">
        <v>722</v>
      </c>
      <c r="D282" s="110">
        <v>1</v>
      </c>
      <c r="E282" s="110" t="s">
        <v>197</v>
      </c>
      <c r="F282" s="111">
        <v>1</v>
      </c>
      <c r="G282" s="111" t="s">
        <v>198</v>
      </c>
      <c r="H282" s="216">
        <v>40000000</v>
      </c>
      <c r="I282" s="220">
        <f>+H282*F282*D282</f>
        <v>40000000</v>
      </c>
      <c r="J282" s="113"/>
      <c r="K282" s="113"/>
      <c r="L282" s="113"/>
      <c r="M282" s="113"/>
      <c r="N282" s="29">
        <f>+AVERAGE(H282,J282,L282)</f>
        <v>40000000</v>
      </c>
      <c r="O282" s="29">
        <f>+N282*D282*F282</f>
        <v>40000000</v>
      </c>
      <c r="P282" s="29">
        <f>+_xlfn.STDEV.P(H282,J282,L282)</f>
        <v>0</v>
      </c>
      <c r="Q282" s="30">
        <f>+P282/N282</f>
        <v>0</v>
      </c>
      <c r="R282" s="29">
        <f>+MEDIAN(H282,J282,L282)</f>
        <v>40000000</v>
      </c>
      <c r="S282" s="29">
        <f>+R282*D282*F282</f>
        <v>40000000</v>
      </c>
      <c r="T282" s="30">
        <f>+P282/R282</f>
        <v>0</v>
      </c>
      <c r="U282" s="56"/>
      <c r="V282" s="56"/>
      <c r="W282" s="56"/>
      <c r="X282" s="40">
        <f>SUM(O287:O292)</f>
        <v>235800030</v>
      </c>
      <c r="Y282" s="40">
        <f>SUM(S287:S292)</f>
        <v>235800030</v>
      </c>
    </row>
    <row r="283" spans="1:25" ht="26.25" customHeight="1">
      <c r="A283" s="49">
        <v>246</v>
      </c>
      <c r="B283" s="108" t="s">
        <v>723</v>
      </c>
      <c r="C283" s="123" t="s">
        <v>719</v>
      </c>
      <c r="D283" s="57">
        <v>600</v>
      </c>
      <c r="E283" s="62" t="s">
        <v>41</v>
      </c>
      <c r="F283" s="221">
        <v>1</v>
      </c>
      <c r="G283" s="221" t="s">
        <v>198</v>
      </c>
      <c r="H283" s="54">
        <f>+(10756*100)/119</f>
        <v>9038.6554621848736</v>
      </c>
      <c r="I283" s="54">
        <f>+H283*F283*D283</f>
        <v>5423193.2773109246</v>
      </c>
      <c r="J283" s="54">
        <f>+(12017*100)/119</f>
        <v>10098.319327731093</v>
      </c>
      <c r="K283" s="54">
        <f>+J283*F283*D283</f>
        <v>6058991.5966386553</v>
      </c>
      <c r="L283" s="54">
        <f>+(10900*100)/119</f>
        <v>9159.6638655462193</v>
      </c>
      <c r="M283" s="54">
        <f>+L283*F283*D283</f>
        <v>5495798.3193277316</v>
      </c>
      <c r="N283" s="29">
        <f>+AVERAGE(H283,J283,L283)</f>
        <v>9432.212885154062</v>
      </c>
      <c r="O283" s="29">
        <f>+N283*D283*F283</f>
        <v>5659327.7310924372</v>
      </c>
      <c r="P283" s="29">
        <f>+_xlfn.STDEV.P(H283,J283,L283)</f>
        <v>473.59202066264169</v>
      </c>
      <c r="Q283" s="30">
        <f>+P283/N283</f>
        <v>5.0210064852125764E-2</v>
      </c>
      <c r="R283" s="29">
        <f>+MEDIAN(H283,J283,L283)</f>
        <v>9159.6638655462193</v>
      </c>
      <c r="S283" s="29">
        <f>+R283*D283*F283</f>
        <v>5495798.3193277316</v>
      </c>
      <c r="T283" s="30">
        <f>+P283/R283</f>
        <v>5.1704082989774636E-2</v>
      </c>
      <c r="U283" s="68" t="s">
        <v>147</v>
      </c>
      <c r="V283" s="69" t="s">
        <v>313</v>
      </c>
      <c r="W283" s="69" t="s">
        <v>149</v>
      </c>
    </row>
    <row r="284" spans="1:25" ht="15.75" customHeight="1">
      <c r="A284" s="301" t="s">
        <v>66</v>
      </c>
      <c r="B284" s="301"/>
      <c r="C284" s="301"/>
      <c r="D284" s="301"/>
      <c r="E284" s="301"/>
      <c r="F284" s="301"/>
      <c r="G284" s="301"/>
      <c r="H284" s="301"/>
      <c r="I284" s="301"/>
      <c r="J284" s="301"/>
      <c r="K284" s="301"/>
      <c r="L284" s="301"/>
      <c r="M284" s="301"/>
      <c r="N284" s="301"/>
      <c r="O284" s="301"/>
      <c r="P284" s="301"/>
      <c r="Q284" s="301"/>
      <c r="R284" s="301"/>
      <c r="S284" s="301"/>
      <c r="T284" s="301"/>
      <c r="U284" s="301"/>
      <c r="V284" s="301"/>
      <c r="W284" s="301"/>
    </row>
    <row r="285" spans="1:25" ht="15.75" customHeight="1">
      <c r="A285" s="304" t="s">
        <v>724</v>
      </c>
      <c r="B285" s="304"/>
      <c r="C285" s="304"/>
      <c r="D285" s="304"/>
      <c r="E285" s="304"/>
      <c r="F285" s="304"/>
      <c r="G285" s="304"/>
      <c r="H285" s="304"/>
      <c r="I285" s="304"/>
      <c r="J285" s="304"/>
      <c r="K285" s="304"/>
      <c r="L285" s="304"/>
      <c r="M285" s="304"/>
      <c r="N285" s="304"/>
      <c r="O285" s="304"/>
      <c r="P285" s="304"/>
      <c r="Q285" s="304"/>
      <c r="R285" s="304"/>
      <c r="S285" s="304"/>
      <c r="T285" s="304"/>
      <c r="U285" s="304"/>
      <c r="V285" s="304"/>
      <c r="W285" s="304"/>
    </row>
    <row r="286" spans="1:25" ht="46.5" customHeight="1">
      <c r="A286" s="300" t="s">
        <v>586</v>
      </c>
      <c r="B286" s="300"/>
      <c r="C286" s="300"/>
      <c r="D286" s="300"/>
      <c r="E286" s="300"/>
      <c r="F286" s="300"/>
      <c r="G286" s="300"/>
      <c r="H286" s="300"/>
      <c r="I286" s="300"/>
      <c r="J286" s="300"/>
      <c r="K286" s="300"/>
      <c r="L286" s="300"/>
      <c r="M286" s="300"/>
      <c r="N286" s="300"/>
      <c r="O286" s="300"/>
      <c r="P286" s="300"/>
      <c r="Q286" s="300"/>
      <c r="R286" s="300"/>
      <c r="S286" s="300"/>
      <c r="T286" s="300"/>
      <c r="U286" s="300"/>
      <c r="V286" s="300"/>
      <c r="W286" s="300"/>
    </row>
    <row r="287" spans="1:25" ht="63" customHeight="1">
      <c r="A287" s="121">
        <v>247</v>
      </c>
      <c r="B287" s="61" t="s">
        <v>725</v>
      </c>
      <c r="C287" s="62" t="s">
        <v>726</v>
      </c>
      <c r="D287" s="62">
        <v>2</v>
      </c>
      <c r="E287" s="121" t="s">
        <v>515</v>
      </c>
      <c r="F287" s="62">
        <v>2</v>
      </c>
      <c r="G287" s="62" t="s">
        <v>42</v>
      </c>
      <c r="H287" s="54">
        <v>5860001</v>
      </c>
      <c r="I287" s="54">
        <f>+H287*F287*D287</f>
        <v>23440004</v>
      </c>
      <c r="J287" s="113"/>
      <c r="K287" s="113"/>
      <c r="L287" s="113"/>
      <c r="M287" s="113"/>
      <c r="N287" s="29">
        <f>+AVERAGE(H287,J287,L287)</f>
        <v>5860001</v>
      </c>
      <c r="O287" s="29">
        <f>+N287*D287*F287</f>
        <v>23440004</v>
      </c>
      <c r="P287" s="29">
        <f>+_xlfn.STDEV.P(H287,J287,L287)</f>
        <v>0</v>
      </c>
      <c r="Q287" s="30">
        <f>+P287/N287</f>
        <v>0</v>
      </c>
      <c r="R287" s="29">
        <f>+MEDIAN(H287,J287,L287)</f>
        <v>5860001</v>
      </c>
      <c r="S287" s="29">
        <f>+R287*D287*F287</f>
        <v>23440004</v>
      </c>
      <c r="T287" s="30">
        <f>+P287/R287</f>
        <v>0</v>
      </c>
      <c r="U287" s="55" t="s">
        <v>43</v>
      </c>
      <c r="V287" s="56"/>
      <c r="W287" s="56"/>
    </row>
    <row r="288" spans="1:25" ht="45.75" customHeight="1">
      <c r="A288" s="121">
        <v>248</v>
      </c>
      <c r="B288" s="61" t="s">
        <v>727</v>
      </c>
      <c r="C288" s="123" t="s">
        <v>728</v>
      </c>
      <c r="D288" s="62">
        <v>2</v>
      </c>
      <c r="E288" s="121" t="s">
        <v>515</v>
      </c>
      <c r="F288" s="62">
        <v>2</v>
      </c>
      <c r="G288" s="62" t="s">
        <v>42</v>
      </c>
      <c r="H288" s="54">
        <v>5860001</v>
      </c>
      <c r="I288" s="54">
        <f>+H288*F288*D288</f>
        <v>23440004</v>
      </c>
      <c r="J288" s="113"/>
      <c r="K288" s="113"/>
      <c r="L288" s="113"/>
      <c r="M288" s="113"/>
      <c r="N288" s="29">
        <f>+AVERAGE(H288,J288,L288)</f>
        <v>5860001</v>
      </c>
      <c r="O288" s="29">
        <f>+N288*D288*F288</f>
        <v>23440004</v>
      </c>
      <c r="P288" s="29">
        <f>+_xlfn.STDEV.P(H288,J288,L288)</f>
        <v>0</v>
      </c>
      <c r="Q288" s="30">
        <f>+P288/N288</f>
        <v>0</v>
      </c>
      <c r="R288" s="29">
        <f>+MEDIAN(H288,J288,L288)</f>
        <v>5860001</v>
      </c>
      <c r="S288" s="29">
        <f>+R288*D288*F288</f>
        <v>23440004</v>
      </c>
      <c r="T288" s="30">
        <f>+P288/R288</f>
        <v>0</v>
      </c>
      <c r="U288" s="55" t="s">
        <v>43</v>
      </c>
      <c r="V288" s="56"/>
      <c r="W288" s="56"/>
    </row>
    <row r="289" spans="1:25" ht="65.25" customHeight="1">
      <c r="A289" s="121">
        <v>249</v>
      </c>
      <c r="B289" s="61" t="s">
        <v>729</v>
      </c>
      <c r="C289" s="62" t="s">
        <v>730</v>
      </c>
      <c r="D289" s="62">
        <v>2</v>
      </c>
      <c r="E289" s="121" t="s">
        <v>515</v>
      </c>
      <c r="F289" s="62">
        <v>2</v>
      </c>
      <c r="G289" s="62" t="s">
        <v>42</v>
      </c>
      <c r="H289" s="54">
        <v>5860001</v>
      </c>
      <c r="I289" s="54">
        <f>+H289*F289*D289</f>
        <v>23440004</v>
      </c>
      <c r="J289" s="113"/>
      <c r="K289" s="113"/>
      <c r="L289" s="113"/>
      <c r="M289" s="113"/>
      <c r="N289" s="29">
        <f>+AVERAGE(H289,J289,L289)</f>
        <v>5860001</v>
      </c>
      <c r="O289" s="29">
        <f>+N289*D289*F289</f>
        <v>23440004</v>
      </c>
      <c r="P289" s="29">
        <f>+_xlfn.STDEV.P(H289,J289,L289)</f>
        <v>0</v>
      </c>
      <c r="Q289" s="30">
        <f>+P289/N289</f>
        <v>0</v>
      </c>
      <c r="R289" s="29">
        <f>+MEDIAN(H289,J289,L289)</f>
        <v>5860001</v>
      </c>
      <c r="S289" s="29">
        <f>+R289*D289*F289</f>
        <v>23440004</v>
      </c>
      <c r="T289" s="30">
        <f>+P289/R289</f>
        <v>0</v>
      </c>
      <c r="U289" s="55" t="s">
        <v>43</v>
      </c>
      <c r="V289" s="56"/>
      <c r="W289" s="56"/>
    </row>
    <row r="290" spans="1:25" ht="57.75" customHeight="1">
      <c r="A290" s="121">
        <v>250</v>
      </c>
      <c r="B290" s="61" t="s">
        <v>731</v>
      </c>
      <c r="C290" s="19" t="s">
        <v>732</v>
      </c>
      <c r="D290" s="62">
        <v>6</v>
      </c>
      <c r="E290" s="121" t="s">
        <v>515</v>
      </c>
      <c r="F290" s="62">
        <v>3</v>
      </c>
      <c r="G290" s="62" t="s">
        <v>42</v>
      </c>
      <c r="H290" s="54">
        <v>5860001</v>
      </c>
      <c r="I290" s="54">
        <f>+H290*F290*D290</f>
        <v>105480018</v>
      </c>
      <c r="J290" s="113"/>
      <c r="K290" s="113"/>
      <c r="L290" s="113"/>
      <c r="M290" s="113"/>
      <c r="N290" s="29">
        <f>+AVERAGE(H290,J290,L290)</f>
        <v>5860001</v>
      </c>
      <c r="O290" s="29">
        <f>+N290*D290*F290</f>
        <v>105480018</v>
      </c>
      <c r="P290" s="29">
        <f>+_xlfn.STDEV.P(H290,J290,L290)</f>
        <v>0</v>
      </c>
      <c r="Q290" s="30">
        <f>+P290/N290</f>
        <v>0</v>
      </c>
      <c r="R290" s="29">
        <f>+MEDIAN(H290,J290,L290)</f>
        <v>5860001</v>
      </c>
      <c r="S290" s="29">
        <f>+R290*D290*F290</f>
        <v>105480018</v>
      </c>
      <c r="T290" s="30">
        <f>+P290/R290</f>
        <v>0</v>
      </c>
      <c r="U290" s="55" t="s">
        <v>43</v>
      </c>
      <c r="V290" s="56"/>
      <c r="W290" s="56"/>
    </row>
    <row r="291" spans="1:25" ht="15.75" customHeight="1">
      <c r="A291" s="300" t="s">
        <v>733</v>
      </c>
      <c r="B291" s="300"/>
      <c r="C291" s="300"/>
      <c r="D291" s="300"/>
      <c r="E291" s="300"/>
      <c r="F291" s="300"/>
      <c r="G291" s="300"/>
      <c r="H291" s="300"/>
      <c r="I291" s="300"/>
      <c r="J291" s="300"/>
      <c r="K291" s="300"/>
      <c r="L291" s="300"/>
      <c r="M291" s="300"/>
      <c r="N291" s="300"/>
      <c r="O291" s="300"/>
      <c r="P291" s="300"/>
      <c r="Q291" s="300"/>
      <c r="R291" s="300"/>
      <c r="S291" s="300"/>
      <c r="T291" s="300"/>
      <c r="U291" s="300"/>
      <c r="V291" s="300"/>
      <c r="W291" s="300"/>
    </row>
    <row r="292" spans="1:25" ht="108.75" customHeight="1">
      <c r="A292" s="222">
        <v>251</v>
      </c>
      <c r="B292" s="223" t="s">
        <v>734</v>
      </c>
      <c r="C292" s="153" t="s">
        <v>735</v>
      </c>
      <c r="D292" s="224">
        <v>3</v>
      </c>
      <c r="E292" s="172" t="s">
        <v>41</v>
      </c>
      <c r="F292" s="222">
        <v>1</v>
      </c>
      <c r="G292" s="222" t="s">
        <v>72</v>
      </c>
      <c r="H292" s="54">
        <v>20000000</v>
      </c>
      <c r="I292" s="54">
        <f>+H292*F292*D292</f>
        <v>60000000</v>
      </c>
      <c r="J292" s="225"/>
      <c r="K292" s="225"/>
      <c r="L292" s="225"/>
      <c r="M292" s="225"/>
      <c r="N292" s="29">
        <f>+AVERAGE(H292,J292,L292)</f>
        <v>20000000</v>
      </c>
      <c r="O292" s="29">
        <f>+N292*D292*F292</f>
        <v>60000000</v>
      </c>
      <c r="P292" s="29">
        <f>+_xlfn.STDEV.P(H292,J292,L292)</f>
        <v>0</v>
      </c>
      <c r="Q292" s="30">
        <f>+P292/N292</f>
        <v>0</v>
      </c>
      <c r="R292" s="29">
        <f>+MEDIAN(H292,J292,L292)</f>
        <v>20000000</v>
      </c>
      <c r="S292" s="29">
        <f>+R292*D292*F292</f>
        <v>60000000</v>
      </c>
      <c r="T292" s="30">
        <f>+P292/R292</f>
        <v>0</v>
      </c>
      <c r="U292" s="225"/>
      <c r="V292" s="225"/>
      <c r="W292" s="225"/>
      <c r="X292" s="212" t="s">
        <v>60</v>
      </c>
      <c r="Y292" s="212" t="s">
        <v>61</v>
      </c>
    </row>
    <row r="293" spans="1:25" ht="15.75" customHeight="1">
      <c r="A293" s="301" t="s">
        <v>736</v>
      </c>
      <c r="B293" s="301"/>
      <c r="C293" s="301"/>
      <c r="D293" s="301"/>
      <c r="E293" s="301"/>
      <c r="F293" s="301"/>
      <c r="G293" s="301"/>
      <c r="H293" s="301"/>
      <c r="I293" s="301"/>
      <c r="J293" s="301"/>
      <c r="K293" s="301"/>
      <c r="L293" s="301"/>
      <c r="M293" s="301"/>
      <c r="N293" s="301"/>
      <c r="O293" s="301"/>
      <c r="P293" s="301"/>
      <c r="Q293" s="301"/>
      <c r="R293" s="301"/>
      <c r="S293" s="301"/>
      <c r="T293" s="301"/>
      <c r="U293" s="301"/>
      <c r="V293" s="301"/>
      <c r="W293" s="301"/>
      <c r="X293" s="40">
        <f>SUM(O296:O303)</f>
        <v>24448834.733893562</v>
      </c>
      <c r="Y293" s="40">
        <f>SUM(S296:S303)</f>
        <v>24240571.428571433</v>
      </c>
    </row>
    <row r="294" spans="1:25" ht="15.75" customHeight="1">
      <c r="A294" s="300" t="s">
        <v>238</v>
      </c>
      <c r="B294" s="300"/>
      <c r="C294" s="300"/>
      <c r="D294" s="300"/>
      <c r="E294" s="300"/>
      <c r="F294" s="300"/>
      <c r="G294" s="300"/>
      <c r="H294" s="300"/>
      <c r="I294" s="300"/>
      <c r="J294" s="300"/>
      <c r="K294" s="300"/>
      <c r="L294" s="300"/>
      <c r="M294" s="300"/>
      <c r="N294" s="300"/>
      <c r="O294" s="300"/>
      <c r="P294" s="300"/>
      <c r="Q294" s="300"/>
      <c r="R294" s="300"/>
      <c r="S294" s="300"/>
      <c r="T294" s="300"/>
      <c r="U294" s="300"/>
      <c r="V294" s="300"/>
      <c r="W294" s="300"/>
    </row>
    <row r="295" spans="1:25" ht="15.75" customHeight="1">
      <c r="A295" s="302" t="s">
        <v>737</v>
      </c>
      <c r="B295" s="302"/>
      <c r="C295" s="302"/>
      <c r="D295" s="302"/>
      <c r="E295" s="302"/>
      <c r="F295" s="302"/>
      <c r="G295" s="302"/>
      <c r="H295" s="302"/>
      <c r="I295" s="302"/>
      <c r="J295" s="302"/>
      <c r="K295" s="302"/>
      <c r="L295" s="302"/>
      <c r="M295" s="302"/>
      <c r="N295" s="302"/>
      <c r="O295" s="302"/>
      <c r="P295" s="302"/>
      <c r="Q295" s="302"/>
      <c r="R295" s="302"/>
      <c r="S295" s="302"/>
      <c r="T295" s="302"/>
      <c r="U295" s="302"/>
      <c r="V295" s="302"/>
      <c r="W295" s="302"/>
    </row>
    <row r="296" spans="1:25" ht="29.25" customHeight="1">
      <c r="A296" s="121">
        <v>252</v>
      </c>
      <c r="B296" s="61" t="s">
        <v>738</v>
      </c>
      <c r="C296" s="123" t="s">
        <v>739</v>
      </c>
      <c r="D296" s="226">
        <v>60</v>
      </c>
      <c r="E296" s="226" t="s">
        <v>145</v>
      </c>
      <c r="F296" s="49"/>
      <c r="G296" s="49"/>
      <c r="H296" s="227">
        <f>+(34900*100)/119</f>
        <v>29327.731092436974</v>
      </c>
      <c r="I296" s="227">
        <f t="shared" ref="I296:I303" si="137">+H296*D296</f>
        <v>1759663.8655462184</v>
      </c>
      <c r="J296" s="227">
        <f>+(33661*100)/119</f>
        <v>28286.55462184874</v>
      </c>
      <c r="K296" s="227">
        <f t="shared" ref="K296:K303" si="138">+J296*D296</f>
        <v>1697193.2773109244</v>
      </c>
      <c r="L296" s="227">
        <f>+(38500*100)/119</f>
        <v>32352.941176470587</v>
      </c>
      <c r="M296" s="227">
        <f t="shared" ref="M296:M303" si="139">+L296*D296</f>
        <v>1941176.4705882352</v>
      </c>
      <c r="N296" s="29">
        <f t="shared" ref="N296:N303" si="140">+AVERAGE(H296,J296,L296)</f>
        <v>29989.0756302521</v>
      </c>
      <c r="O296" s="29">
        <f t="shared" ref="O296:O303" si="141">+N296*D296</f>
        <v>1799344.5378151261</v>
      </c>
      <c r="P296" s="29">
        <f t="shared" ref="P296:P303" si="142">+_xlfn.STDEV.P(H296,J296,L296)</f>
        <v>1724.7042937222143</v>
      </c>
      <c r="Q296" s="30">
        <f t="shared" ref="Q296:Q303" si="143">+P296/N296</f>
        <v>5.7511085536173817E-2</v>
      </c>
      <c r="R296" s="29">
        <f t="shared" ref="R296:R303" si="144">+MEDIAN(H296,J296,L296)</f>
        <v>29327.731092436974</v>
      </c>
      <c r="S296" s="29">
        <f t="shared" ref="S296:S303" si="145">+R296*D296</f>
        <v>1759663.8655462184</v>
      </c>
      <c r="T296" s="30">
        <f t="shared" ref="T296:T303" si="146">+P296/R296</f>
        <v>5.8807968754425073E-2</v>
      </c>
      <c r="U296" s="56" t="s">
        <v>287</v>
      </c>
      <c r="V296" s="56" t="s">
        <v>704</v>
      </c>
      <c r="W296" s="56" t="s">
        <v>740</v>
      </c>
    </row>
    <row r="297" spans="1:25" ht="35.25" customHeight="1">
      <c r="A297" s="121">
        <v>253</v>
      </c>
      <c r="B297" s="61" t="s">
        <v>741</v>
      </c>
      <c r="C297" s="123" t="s">
        <v>742</v>
      </c>
      <c r="D297" s="226">
        <v>20</v>
      </c>
      <c r="E297" s="226" t="s">
        <v>145</v>
      </c>
      <c r="F297" s="49"/>
      <c r="G297" s="49"/>
      <c r="H297" s="227">
        <f>+(42600*100)/119</f>
        <v>35798.319327731093</v>
      </c>
      <c r="I297" s="227">
        <f t="shared" si="137"/>
        <v>715966.38655462186</v>
      </c>
      <c r="J297" s="227">
        <f>+(45000*100)/119</f>
        <v>37815.126050420171</v>
      </c>
      <c r="K297" s="227">
        <f t="shared" si="138"/>
        <v>756302.52100840339</v>
      </c>
      <c r="L297" s="227">
        <f>+(41000*100)/119</f>
        <v>34453.781512605041</v>
      </c>
      <c r="M297" s="227">
        <f t="shared" si="139"/>
        <v>689075.63025210076</v>
      </c>
      <c r="N297" s="29">
        <f t="shared" si="140"/>
        <v>36022.408963585433</v>
      </c>
      <c r="O297" s="29">
        <f t="shared" si="141"/>
        <v>720448.17927170871</v>
      </c>
      <c r="P297" s="29">
        <f t="shared" si="142"/>
        <v>1381.3812891807247</v>
      </c>
      <c r="Q297" s="30">
        <f t="shared" si="143"/>
        <v>3.8347832055794617E-2</v>
      </c>
      <c r="R297" s="29">
        <f t="shared" si="144"/>
        <v>35798.319327731093</v>
      </c>
      <c r="S297" s="29">
        <f t="shared" si="145"/>
        <v>715966.38655462186</v>
      </c>
      <c r="T297" s="30">
        <f t="shared" si="146"/>
        <v>3.8587881082747945E-2</v>
      </c>
      <c r="U297" s="56" t="s">
        <v>743</v>
      </c>
      <c r="V297" s="56" t="s">
        <v>744</v>
      </c>
      <c r="W297" s="56" t="s">
        <v>745</v>
      </c>
    </row>
    <row r="298" spans="1:25" ht="174.75" customHeight="1">
      <c r="A298" s="121">
        <v>254</v>
      </c>
      <c r="B298" s="61" t="s">
        <v>746</v>
      </c>
      <c r="C298" s="123" t="s">
        <v>747</v>
      </c>
      <c r="D298" s="226">
        <v>40</v>
      </c>
      <c r="E298" s="226" t="s">
        <v>145</v>
      </c>
      <c r="F298" s="49"/>
      <c r="G298" s="49"/>
      <c r="H298" s="63">
        <f>+(5250*100)/119</f>
        <v>4411.7647058823532</v>
      </c>
      <c r="I298" s="54">
        <f t="shared" si="137"/>
        <v>176470.58823529413</v>
      </c>
      <c r="J298" s="63">
        <f>+(3800*100)/119</f>
        <v>3193.2773109243699</v>
      </c>
      <c r="K298" s="54">
        <f t="shared" si="138"/>
        <v>127731.0924369748</v>
      </c>
      <c r="L298" s="63">
        <f>+(4567*100)/119</f>
        <v>3837.8151260504201</v>
      </c>
      <c r="M298" s="54">
        <f t="shared" si="139"/>
        <v>153512.6050420168</v>
      </c>
      <c r="N298" s="29">
        <f t="shared" si="140"/>
        <v>3814.2857142857142</v>
      </c>
      <c r="O298" s="29">
        <f t="shared" si="141"/>
        <v>152571.42857142858</v>
      </c>
      <c r="P298" s="29">
        <f t="shared" si="142"/>
        <v>497.72355635859174</v>
      </c>
      <c r="Q298" s="30">
        <f t="shared" si="143"/>
        <v>0.13048932189176563</v>
      </c>
      <c r="R298" s="29">
        <f t="shared" si="144"/>
        <v>3837.8151260504201</v>
      </c>
      <c r="S298" s="29">
        <f t="shared" si="145"/>
        <v>153512.6050420168</v>
      </c>
      <c r="T298" s="30">
        <f t="shared" si="146"/>
        <v>0.12968929977375174</v>
      </c>
      <c r="U298" s="56" t="s">
        <v>702</v>
      </c>
      <c r="V298" s="56" t="s">
        <v>703</v>
      </c>
      <c r="W298" s="56" t="s">
        <v>704</v>
      </c>
    </row>
    <row r="299" spans="1:25" ht="63" customHeight="1">
      <c r="A299" s="121">
        <v>255</v>
      </c>
      <c r="B299" s="61" t="s">
        <v>748</v>
      </c>
      <c r="C299" s="123" t="s">
        <v>749</v>
      </c>
      <c r="D299" s="62">
        <v>210</v>
      </c>
      <c r="E299" s="62" t="s">
        <v>145</v>
      </c>
      <c r="F299" s="49"/>
      <c r="G299" s="49"/>
      <c r="H299" s="227">
        <f>+(85000*100)/119</f>
        <v>71428.571428571435</v>
      </c>
      <c r="I299" s="227">
        <f t="shared" si="137"/>
        <v>15000000.000000002</v>
      </c>
      <c r="J299" s="227">
        <f>+(75000*100)/119</f>
        <v>63025.210084033613</v>
      </c>
      <c r="K299" s="227">
        <f t="shared" si="138"/>
        <v>13235294.117647059</v>
      </c>
      <c r="L299" s="227">
        <f>+(95000*100)/119</f>
        <v>79831.932773109249</v>
      </c>
      <c r="M299" s="227">
        <f t="shared" si="139"/>
        <v>16764705.882352943</v>
      </c>
      <c r="N299" s="29">
        <f t="shared" si="140"/>
        <v>71428.571428571435</v>
      </c>
      <c r="O299" s="29">
        <f t="shared" si="141"/>
        <v>15000000.000000002</v>
      </c>
      <c r="P299" s="29">
        <f t="shared" si="142"/>
        <v>6861.3158061153472</v>
      </c>
      <c r="Q299" s="30">
        <f t="shared" si="143"/>
        <v>9.6058421285614856E-2</v>
      </c>
      <c r="R299" s="29">
        <f t="shared" si="144"/>
        <v>71428.571428571435</v>
      </c>
      <c r="S299" s="29">
        <f t="shared" si="145"/>
        <v>15000000.000000002</v>
      </c>
      <c r="T299" s="30">
        <f t="shared" si="146"/>
        <v>9.6058421285614856E-2</v>
      </c>
      <c r="U299" s="85" t="s">
        <v>750</v>
      </c>
      <c r="V299" s="85" t="s">
        <v>751</v>
      </c>
      <c r="W299" s="85" t="s">
        <v>752</v>
      </c>
      <c r="Y299" s="19"/>
    </row>
    <row r="300" spans="1:25" ht="29.25" customHeight="1">
      <c r="A300" s="121">
        <v>256</v>
      </c>
      <c r="B300" s="61" t="s">
        <v>753</v>
      </c>
      <c r="C300" s="123" t="s">
        <v>754</v>
      </c>
      <c r="D300" s="226">
        <v>21</v>
      </c>
      <c r="E300" s="226" t="s">
        <v>145</v>
      </c>
      <c r="F300" s="49"/>
      <c r="G300" s="49"/>
      <c r="H300" s="227">
        <f>+(20000*100)/119</f>
        <v>16806.722689075632</v>
      </c>
      <c r="I300" s="227">
        <f t="shared" si="137"/>
        <v>352941.17647058825</v>
      </c>
      <c r="J300" s="227">
        <f>+(15400*100)/119</f>
        <v>12941.176470588236</v>
      </c>
      <c r="K300" s="227">
        <f t="shared" si="138"/>
        <v>271764.70588235295</v>
      </c>
      <c r="L300" s="227">
        <f>+(17900*100)/119</f>
        <v>15042.01680672269</v>
      </c>
      <c r="M300" s="227">
        <f t="shared" si="139"/>
        <v>315882.3529411765</v>
      </c>
      <c r="N300" s="29">
        <f t="shared" si="140"/>
        <v>14929.97198879552</v>
      </c>
      <c r="O300" s="29">
        <f t="shared" si="141"/>
        <v>313529.4117647059</v>
      </c>
      <c r="P300" s="29">
        <f t="shared" si="142"/>
        <v>1580.0901709994873</v>
      </c>
      <c r="Q300" s="30">
        <f t="shared" si="143"/>
        <v>0.10583343171610074</v>
      </c>
      <c r="R300" s="29">
        <f t="shared" si="144"/>
        <v>15042.01680672269</v>
      </c>
      <c r="S300" s="29">
        <f t="shared" si="145"/>
        <v>315882.3529411765</v>
      </c>
      <c r="T300" s="30">
        <f t="shared" si="146"/>
        <v>0.1050451007535972</v>
      </c>
      <c r="U300" s="56" t="s">
        <v>755</v>
      </c>
      <c r="V300" s="56" t="s">
        <v>153</v>
      </c>
      <c r="W300" s="56" t="s">
        <v>756</v>
      </c>
    </row>
    <row r="301" spans="1:25" ht="29.25" customHeight="1">
      <c r="A301" s="121">
        <v>257</v>
      </c>
      <c r="B301" s="61" t="s">
        <v>757</v>
      </c>
      <c r="C301" s="123" t="s">
        <v>758</v>
      </c>
      <c r="D301" s="226">
        <v>30</v>
      </c>
      <c r="E301" s="226" t="s">
        <v>145</v>
      </c>
      <c r="F301" s="49"/>
      <c r="G301" s="49"/>
      <c r="H301" s="227">
        <f>+(69900*100)/119</f>
        <v>58739.495798319331</v>
      </c>
      <c r="I301" s="227">
        <f t="shared" si="137"/>
        <v>1762184.8739495799</v>
      </c>
      <c r="J301" s="227">
        <f>+(69900*100)/119</f>
        <v>58739.495798319331</v>
      </c>
      <c r="K301" s="227">
        <f t="shared" si="138"/>
        <v>1762184.8739495799</v>
      </c>
      <c r="L301" s="227">
        <f>+(69900*100)/119</f>
        <v>58739.495798319331</v>
      </c>
      <c r="M301" s="227">
        <f t="shared" si="139"/>
        <v>1762184.8739495799</v>
      </c>
      <c r="N301" s="29">
        <f t="shared" si="140"/>
        <v>58739.495798319324</v>
      </c>
      <c r="O301" s="29">
        <f t="shared" si="141"/>
        <v>1762184.8739495797</v>
      </c>
      <c r="P301" s="29">
        <f t="shared" si="142"/>
        <v>7.2759576141834259E-12</v>
      </c>
      <c r="Q301" s="30">
        <f t="shared" si="143"/>
        <v>1.2386823406120568E-16</v>
      </c>
      <c r="R301" s="29">
        <f t="shared" si="144"/>
        <v>58739.495798319331</v>
      </c>
      <c r="S301" s="29">
        <f t="shared" si="145"/>
        <v>1762184.8739495799</v>
      </c>
      <c r="T301" s="30">
        <f t="shared" si="146"/>
        <v>1.2386823406120568E-16</v>
      </c>
      <c r="U301" s="56" t="s">
        <v>759</v>
      </c>
      <c r="V301" s="56" t="s">
        <v>760</v>
      </c>
      <c r="W301" s="56" t="s">
        <v>761</v>
      </c>
      <c r="X301" s="212" t="s">
        <v>60</v>
      </c>
      <c r="Y301" s="212" t="s">
        <v>61</v>
      </c>
    </row>
    <row r="302" spans="1:25" ht="29.25" customHeight="1">
      <c r="A302" s="121">
        <v>258</v>
      </c>
      <c r="B302" s="61" t="s">
        <v>762</v>
      </c>
      <c r="C302" s="123" t="s">
        <v>762</v>
      </c>
      <c r="D302" s="226">
        <v>50</v>
      </c>
      <c r="E302" s="226" t="s">
        <v>145</v>
      </c>
      <c r="F302" s="49"/>
      <c r="G302" s="49"/>
      <c r="H302" s="228">
        <f>+(59900*100)/119</f>
        <v>50336.134453781509</v>
      </c>
      <c r="I302" s="227">
        <f t="shared" si="137"/>
        <v>2516806.7226890754</v>
      </c>
      <c r="J302" s="228">
        <f>+(69900*100)/119</f>
        <v>58739.495798319331</v>
      </c>
      <c r="K302" s="227">
        <f t="shared" si="138"/>
        <v>2936974.7899159663</v>
      </c>
      <c r="L302" s="228">
        <f>+(58900*100)/119</f>
        <v>49495.798319327732</v>
      </c>
      <c r="M302" s="227">
        <f t="shared" si="139"/>
        <v>2474789.9159663864</v>
      </c>
      <c r="N302" s="29">
        <f t="shared" si="140"/>
        <v>52857.142857142862</v>
      </c>
      <c r="O302" s="29">
        <f t="shared" si="141"/>
        <v>2642857.1428571432</v>
      </c>
      <c r="P302" s="29">
        <f t="shared" si="142"/>
        <v>4173.5754693981362</v>
      </c>
      <c r="Q302" s="30">
        <f t="shared" si="143"/>
        <v>7.8959535907532297E-2</v>
      </c>
      <c r="R302" s="29">
        <f t="shared" si="144"/>
        <v>50336.134453781509</v>
      </c>
      <c r="S302" s="29">
        <f t="shared" si="145"/>
        <v>2516806.7226890754</v>
      </c>
      <c r="T302" s="30">
        <f t="shared" si="146"/>
        <v>8.2914103649144949E-2</v>
      </c>
      <c r="U302" s="56" t="s">
        <v>763</v>
      </c>
      <c r="V302" s="56" t="s">
        <v>332</v>
      </c>
      <c r="W302" s="56" t="s">
        <v>764</v>
      </c>
      <c r="X302" s="40">
        <f>SUM(O305:O312)</f>
        <v>24881803.921568632</v>
      </c>
      <c r="Y302" s="40">
        <f>SUM(S305:S312)</f>
        <v>24676789.915966384</v>
      </c>
    </row>
    <row r="303" spans="1:25" ht="15" customHeight="1">
      <c r="A303" s="121">
        <v>259</v>
      </c>
      <c r="B303" s="229" t="s">
        <v>765</v>
      </c>
      <c r="C303" s="123" t="s">
        <v>766</v>
      </c>
      <c r="D303" s="226">
        <v>30</v>
      </c>
      <c r="E303" s="226" t="s">
        <v>145</v>
      </c>
      <c r="F303" s="49"/>
      <c r="G303" s="49"/>
      <c r="H303" s="230">
        <f>+(95000*100)/119</f>
        <v>79831.932773109249</v>
      </c>
      <c r="I303" s="230">
        <f t="shared" si="137"/>
        <v>2394957.9831932774</v>
      </c>
      <c r="J303" s="230">
        <f>+(79990*100)/119</f>
        <v>67218.487394957978</v>
      </c>
      <c r="K303" s="230">
        <f t="shared" si="138"/>
        <v>2016554.6218487392</v>
      </c>
      <c r="L303" s="230">
        <f>+(69900*100)/119</f>
        <v>58739.495798319331</v>
      </c>
      <c r="M303" s="230">
        <f t="shared" si="139"/>
        <v>1762184.8739495799</v>
      </c>
      <c r="N303" s="29">
        <f t="shared" si="140"/>
        <v>68596.638655462186</v>
      </c>
      <c r="O303" s="29">
        <f t="shared" si="141"/>
        <v>2057899.1596638656</v>
      </c>
      <c r="P303" s="29">
        <f t="shared" si="142"/>
        <v>8665.9179185470839</v>
      </c>
      <c r="Q303" s="30">
        <f t="shared" si="143"/>
        <v>0.12633152423215765</v>
      </c>
      <c r="R303" s="29">
        <f t="shared" si="144"/>
        <v>67218.487394957978</v>
      </c>
      <c r="S303" s="29">
        <f t="shared" si="145"/>
        <v>2016554.6218487392</v>
      </c>
      <c r="T303" s="30">
        <f t="shared" si="146"/>
        <v>0.12892164424391836</v>
      </c>
      <c r="U303" s="56" t="s">
        <v>317</v>
      </c>
      <c r="V303" s="56" t="s">
        <v>332</v>
      </c>
      <c r="W303" s="56" t="s">
        <v>759</v>
      </c>
    </row>
    <row r="304" spans="1:25" ht="15" customHeight="1">
      <c r="A304" s="295" t="s">
        <v>767</v>
      </c>
      <c r="B304" s="295"/>
      <c r="C304" s="295"/>
      <c r="D304" s="295"/>
      <c r="E304" s="295"/>
      <c r="F304" s="295"/>
      <c r="G304" s="295"/>
      <c r="H304" s="295"/>
      <c r="I304" s="295"/>
      <c r="J304" s="295"/>
      <c r="K304" s="295"/>
      <c r="L304" s="295"/>
      <c r="M304" s="295"/>
      <c r="N304" s="295"/>
      <c r="O304" s="295"/>
      <c r="P304" s="295"/>
      <c r="Q304" s="295"/>
      <c r="R304" s="295"/>
      <c r="S304" s="295"/>
      <c r="T304" s="295"/>
      <c r="U304" s="295"/>
      <c r="V304" s="295"/>
      <c r="W304" s="295"/>
    </row>
    <row r="305" spans="1:25" ht="195.75" customHeight="1">
      <c r="A305" s="121">
        <v>260</v>
      </c>
      <c r="B305" s="61" t="s">
        <v>738</v>
      </c>
      <c r="C305" s="123" t="s">
        <v>739</v>
      </c>
      <c r="D305" s="226">
        <v>60</v>
      </c>
      <c r="E305" s="226" t="s">
        <v>145</v>
      </c>
      <c r="F305" s="49"/>
      <c r="G305" s="49"/>
      <c r="H305" s="227">
        <f>+(34900*100)/119</f>
        <v>29327.731092436974</v>
      </c>
      <c r="I305" s="227">
        <f t="shared" ref="I305:I312" si="147">+H305*D305</f>
        <v>1759663.8655462184</v>
      </c>
      <c r="J305" s="227">
        <f>+(33661*100)/119</f>
        <v>28286.55462184874</v>
      </c>
      <c r="K305" s="227">
        <f t="shared" ref="K305:K312" si="148">+J305*D305</f>
        <v>1697193.2773109244</v>
      </c>
      <c r="L305" s="227">
        <f>+(38500*100)/119</f>
        <v>32352.941176470587</v>
      </c>
      <c r="M305" s="227">
        <f t="shared" ref="M305:M312" si="149">+L305*D305</f>
        <v>1941176.4705882352</v>
      </c>
      <c r="N305" s="29">
        <f t="shared" ref="N305:N312" si="150">+AVERAGE(H305,J305,L305)</f>
        <v>29989.0756302521</v>
      </c>
      <c r="O305" s="29">
        <f t="shared" ref="O305:O312" si="151">+N305*D305</f>
        <v>1799344.5378151261</v>
      </c>
      <c r="P305" s="29">
        <f t="shared" ref="P305:P312" si="152">+_xlfn.STDEV.P(H305,J305,L305)</f>
        <v>1724.7042937222143</v>
      </c>
      <c r="Q305" s="30">
        <f t="shared" ref="Q305:Q312" si="153">+P305/N305</f>
        <v>5.7511085536173817E-2</v>
      </c>
      <c r="R305" s="29">
        <f t="shared" ref="R305:R312" si="154">+MEDIAN(H305,J305,L305)</f>
        <v>29327.731092436974</v>
      </c>
      <c r="S305" s="29">
        <f t="shared" ref="S305:S312" si="155">+R305*D305</f>
        <v>1759663.8655462184</v>
      </c>
      <c r="T305" s="30">
        <f t="shared" ref="T305:T312" si="156">+P305/R305</f>
        <v>5.8807968754425073E-2</v>
      </c>
      <c r="U305" s="56"/>
      <c r="V305" s="56"/>
      <c r="W305" s="56"/>
      <c r="Y305" s="19"/>
    </row>
    <row r="306" spans="1:25" ht="29.25" customHeight="1">
      <c r="A306" s="121">
        <v>261</v>
      </c>
      <c r="B306" s="61" t="s">
        <v>741</v>
      </c>
      <c r="C306" s="123" t="s">
        <v>742</v>
      </c>
      <c r="D306" s="226">
        <v>20</v>
      </c>
      <c r="E306" s="226" t="s">
        <v>145</v>
      </c>
      <c r="F306" s="49"/>
      <c r="G306" s="49"/>
      <c r="H306" s="227">
        <f>+(42600*100)/119</f>
        <v>35798.319327731093</v>
      </c>
      <c r="I306" s="227">
        <f t="shared" si="147"/>
        <v>715966.38655462186</v>
      </c>
      <c r="J306" s="227">
        <f>+(45000*100)/119</f>
        <v>37815.126050420171</v>
      </c>
      <c r="K306" s="227">
        <f t="shared" si="148"/>
        <v>756302.52100840339</v>
      </c>
      <c r="L306" s="227">
        <f>+(41000*100)/119</f>
        <v>34453.781512605041</v>
      </c>
      <c r="M306" s="227">
        <f t="shared" si="149"/>
        <v>689075.63025210076</v>
      </c>
      <c r="N306" s="29">
        <f t="shared" si="150"/>
        <v>36022.408963585433</v>
      </c>
      <c r="O306" s="29">
        <f t="shared" si="151"/>
        <v>720448.17927170871</v>
      </c>
      <c r="P306" s="29">
        <f t="shared" si="152"/>
        <v>1381.3812891807247</v>
      </c>
      <c r="Q306" s="30">
        <f t="shared" si="153"/>
        <v>3.8347832055794617E-2</v>
      </c>
      <c r="R306" s="29">
        <f t="shared" si="154"/>
        <v>35798.319327731093</v>
      </c>
      <c r="S306" s="29">
        <f t="shared" si="155"/>
        <v>715966.38655462186</v>
      </c>
      <c r="T306" s="30">
        <f t="shared" si="156"/>
        <v>3.8587881082747945E-2</v>
      </c>
      <c r="U306" s="56" t="s">
        <v>743</v>
      </c>
      <c r="V306" s="56" t="s">
        <v>744</v>
      </c>
      <c r="W306" s="56" t="s">
        <v>745</v>
      </c>
      <c r="Y306" s="19"/>
    </row>
    <row r="307" spans="1:25" ht="42.75" customHeight="1">
      <c r="A307" s="121">
        <v>262</v>
      </c>
      <c r="B307" s="61" t="s">
        <v>746</v>
      </c>
      <c r="C307" s="123" t="s">
        <v>747</v>
      </c>
      <c r="D307" s="226">
        <v>40</v>
      </c>
      <c r="E307" s="226" t="s">
        <v>145</v>
      </c>
      <c r="F307" s="49"/>
      <c r="G307" s="49"/>
      <c r="H307" s="63">
        <f>+(5250*100)/119</f>
        <v>4411.7647058823532</v>
      </c>
      <c r="I307" s="54">
        <f t="shared" si="147"/>
        <v>176470.58823529413</v>
      </c>
      <c r="J307" s="63">
        <f>+(3800*100)/119</f>
        <v>3193.2773109243699</v>
      </c>
      <c r="K307" s="54">
        <f t="shared" si="148"/>
        <v>127731.0924369748</v>
      </c>
      <c r="L307" s="63">
        <f>+(4567*100)/119</f>
        <v>3837.8151260504201</v>
      </c>
      <c r="M307" s="54">
        <f t="shared" si="149"/>
        <v>153512.6050420168</v>
      </c>
      <c r="N307" s="29">
        <f t="shared" si="150"/>
        <v>3814.2857142857142</v>
      </c>
      <c r="O307" s="29">
        <f t="shared" si="151"/>
        <v>152571.42857142858</v>
      </c>
      <c r="P307" s="29">
        <f t="shared" si="152"/>
        <v>497.72355635859174</v>
      </c>
      <c r="Q307" s="30">
        <f t="shared" si="153"/>
        <v>0.13048932189176563</v>
      </c>
      <c r="R307" s="29">
        <f t="shared" si="154"/>
        <v>3837.8151260504201</v>
      </c>
      <c r="S307" s="29">
        <f t="shared" si="155"/>
        <v>153512.6050420168</v>
      </c>
      <c r="T307" s="30">
        <f t="shared" si="156"/>
        <v>0.12968929977375174</v>
      </c>
      <c r="U307" s="56" t="s">
        <v>702</v>
      </c>
      <c r="V307" s="56" t="s">
        <v>703</v>
      </c>
      <c r="W307" s="56" t="s">
        <v>704</v>
      </c>
    </row>
    <row r="308" spans="1:25" ht="143.25" customHeight="1">
      <c r="A308" s="121">
        <v>263</v>
      </c>
      <c r="B308" s="61" t="s">
        <v>748</v>
      </c>
      <c r="C308" s="123" t="s">
        <v>768</v>
      </c>
      <c r="D308" s="226">
        <v>210</v>
      </c>
      <c r="E308" s="226" t="s">
        <v>145</v>
      </c>
      <c r="F308" s="49"/>
      <c r="G308" s="49"/>
      <c r="H308" s="227">
        <f>+(85000*100)/119</f>
        <v>71428.571428571435</v>
      </c>
      <c r="I308" s="227">
        <f t="shared" si="147"/>
        <v>15000000.000000002</v>
      </c>
      <c r="J308" s="227">
        <f>+(75000*100)/119</f>
        <v>63025.210084033613</v>
      </c>
      <c r="K308" s="227">
        <f t="shared" si="148"/>
        <v>13235294.117647059</v>
      </c>
      <c r="L308" s="227">
        <f>+(95000*100)/119</f>
        <v>79831.932773109249</v>
      </c>
      <c r="M308" s="227">
        <f t="shared" si="149"/>
        <v>16764705.882352943</v>
      </c>
      <c r="N308" s="29">
        <f t="shared" si="150"/>
        <v>71428.571428571435</v>
      </c>
      <c r="O308" s="29">
        <f t="shared" si="151"/>
        <v>15000000.000000002</v>
      </c>
      <c r="P308" s="29">
        <f t="shared" si="152"/>
        <v>6861.3158061153472</v>
      </c>
      <c r="Q308" s="30">
        <f t="shared" si="153"/>
        <v>9.6058421285614856E-2</v>
      </c>
      <c r="R308" s="29">
        <f t="shared" si="154"/>
        <v>71428.571428571435</v>
      </c>
      <c r="S308" s="29">
        <f t="shared" si="155"/>
        <v>15000000.000000002</v>
      </c>
      <c r="T308" s="30">
        <f t="shared" si="156"/>
        <v>9.6058421285614856E-2</v>
      </c>
      <c r="U308" s="56" t="s">
        <v>750</v>
      </c>
      <c r="V308" s="56" t="s">
        <v>751</v>
      </c>
      <c r="W308" s="56" t="s">
        <v>752</v>
      </c>
    </row>
    <row r="309" spans="1:25" ht="43.5" customHeight="1">
      <c r="A309" s="121">
        <v>264</v>
      </c>
      <c r="B309" s="61" t="s">
        <v>753</v>
      </c>
      <c r="C309" s="123" t="s">
        <v>754</v>
      </c>
      <c r="D309" s="226">
        <v>50</v>
      </c>
      <c r="E309" s="226" t="s">
        <v>145</v>
      </c>
      <c r="F309" s="49"/>
      <c r="G309" s="49"/>
      <c r="H309" s="227">
        <f>+(20000*100)/119</f>
        <v>16806.722689075632</v>
      </c>
      <c r="I309" s="227">
        <f t="shared" si="147"/>
        <v>840336.13445378165</v>
      </c>
      <c r="J309" s="227">
        <f>+(15400*100)/119</f>
        <v>12941.176470588236</v>
      </c>
      <c r="K309" s="227">
        <f t="shared" si="148"/>
        <v>647058.82352941181</v>
      </c>
      <c r="L309" s="227">
        <f>+(17900*100)/119</f>
        <v>15042.01680672269</v>
      </c>
      <c r="M309" s="227">
        <f t="shared" si="149"/>
        <v>752100.84033613442</v>
      </c>
      <c r="N309" s="29">
        <f t="shared" si="150"/>
        <v>14929.97198879552</v>
      </c>
      <c r="O309" s="29">
        <f t="shared" si="151"/>
        <v>746498.59943977604</v>
      </c>
      <c r="P309" s="29">
        <f t="shared" si="152"/>
        <v>1580.0901709994873</v>
      </c>
      <c r="Q309" s="30">
        <f t="shared" si="153"/>
        <v>0.10583343171610074</v>
      </c>
      <c r="R309" s="29">
        <f t="shared" si="154"/>
        <v>15042.01680672269</v>
      </c>
      <c r="S309" s="29">
        <f t="shared" si="155"/>
        <v>752100.84033613442</v>
      </c>
      <c r="T309" s="30">
        <f t="shared" si="156"/>
        <v>0.1050451007535972</v>
      </c>
      <c r="U309" s="56" t="s">
        <v>755</v>
      </c>
      <c r="V309" s="56" t="s">
        <v>153</v>
      </c>
      <c r="W309" s="56" t="s">
        <v>756</v>
      </c>
    </row>
    <row r="310" spans="1:25" ht="15.75" customHeight="1">
      <c r="A310" s="121">
        <v>265</v>
      </c>
      <c r="B310" s="61" t="s">
        <v>757</v>
      </c>
      <c r="C310" s="123" t="s">
        <v>758</v>
      </c>
      <c r="D310" s="226">
        <v>30</v>
      </c>
      <c r="E310" s="226" t="s">
        <v>145</v>
      </c>
      <c r="F310" s="49"/>
      <c r="G310" s="49"/>
      <c r="H310" s="227">
        <f>+(69900*100)/119</f>
        <v>58739.495798319331</v>
      </c>
      <c r="I310" s="227">
        <f t="shared" si="147"/>
        <v>1762184.8739495799</v>
      </c>
      <c r="J310" s="227">
        <f>+(69900*100)/119</f>
        <v>58739.495798319331</v>
      </c>
      <c r="K310" s="227">
        <f t="shared" si="148"/>
        <v>1762184.8739495799</v>
      </c>
      <c r="L310" s="227">
        <f>+(69900*100)/119</f>
        <v>58739.495798319331</v>
      </c>
      <c r="M310" s="227">
        <f t="shared" si="149"/>
        <v>1762184.8739495799</v>
      </c>
      <c r="N310" s="29">
        <f t="shared" si="150"/>
        <v>58739.495798319324</v>
      </c>
      <c r="O310" s="29">
        <f t="shared" si="151"/>
        <v>1762184.8739495797</v>
      </c>
      <c r="P310" s="29">
        <f t="shared" si="152"/>
        <v>7.2759576141834259E-12</v>
      </c>
      <c r="Q310" s="30">
        <f t="shared" si="153"/>
        <v>1.2386823406120568E-16</v>
      </c>
      <c r="R310" s="29">
        <f t="shared" si="154"/>
        <v>58739.495798319331</v>
      </c>
      <c r="S310" s="29">
        <f t="shared" si="155"/>
        <v>1762184.8739495799</v>
      </c>
      <c r="T310" s="30">
        <f t="shared" si="156"/>
        <v>1.2386823406120568E-16</v>
      </c>
      <c r="U310" s="56" t="s">
        <v>759</v>
      </c>
      <c r="V310" s="56" t="s">
        <v>760</v>
      </c>
      <c r="W310" s="56" t="s">
        <v>761</v>
      </c>
      <c r="X310" s="212" t="s">
        <v>60</v>
      </c>
      <c r="Y310" s="212" t="s">
        <v>61</v>
      </c>
    </row>
    <row r="311" spans="1:25" ht="98.25" customHeight="1">
      <c r="A311" s="121">
        <v>266</v>
      </c>
      <c r="B311" s="61" t="s">
        <v>762</v>
      </c>
      <c r="C311" s="123" t="s">
        <v>762</v>
      </c>
      <c r="D311" s="226">
        <v>50</v>
      </c>
      <c r="E311" s="226" t="s">
        <v>145</v>
      </c>
      <c r="F311" s="49"/>
      <c r="G311" s="49"/>
      <c r="H311" s="228">
        <f>+(59900*100)/119</f>
        <v>50336.134453781509</v>
      </c>
      <c r="I311" s="227">
        <f t="shared" si="147"/>
        <v>2516806.7226890754</v>
      </c>
      <c r="J311" s="228">
        <f>+(69900*100)/119</f>
        <v>58739.495798319331</v>
      </c>
      <c r="K311" s="227">
        <f t="shared" si="148"/>
        <v>2936974.7899159663</v>
      </c>
      <c r="L311" s="228">
        <f>+(58900*100)/119</f>
        <v>49495.798319327732</v>
      </c>
      <c r="M311" s="227">
        <f t="shared" si="149"/>
        <v>2474789.9159663864</v>
      </c>
      <c r="N311" s="29">
        <f t="shared" si="150"/>
        <v>52857.142857142862</v>
      </c>
      <c r="O311" s="29">
        <f t="shared" si="151"/>
        <v>2642857.1428571432</v>
      </c>
      <c r="P311" s="29">
        <f t="shared" si="152"/>
        <v>4173.5754693981362</v>
      </c>
      <c r="Q311" s="30">
        <f t="shared" si="153"/>
        <v>7.8959535907532297E-2</v>
      </c>
      <c r="R311" s="29">
        <f t="shared" si="154"/>
        <v>50336.134453781509</v>
      </c>
      <c r="S311" s="29">
        <f t="shared" si="155"/>
        <v>2516806.7226890754</v>
      </c>
      <c r="T311" s="30">
        <f t="shared" si="156"/>
        <v>8.2914103649144949E-2</v>
      </c>
      <c r="U311" s="56" t="s">
        <v>763</v>
      </c>
      <c r="V311" s="56" t="s">
        <v>332</v>
      </c>
      <c r="W311" s="56" t="s">
        <v>764</v>
      </c>
      <c r="X311" s="40">
        <f>SUM(O315:O321)</f>
        <v>9682109.2436974812</v>
      </c>
      <c r="Y311" s="40">
        <f>SUM(S315:S321)</f>
        <v>9714428.5714285709</v>
      </c>
    </row>
    <row r="312" spans="1:25" ht="81.75" customHeight="1">
      <c r="A312" s="121">
        <v>267</v>
      </c>
      <c r="B312" s="229" t="s">
        <v>765</v>
      </c>
      <c r="C312" s="123" t="s">
        <v>766</v>
      </c>
      <c r="D312" s="226">
        <v>30</v>
      </c>
      <c r="E312" s="226" t="s">
        <v>145</v>
      </c>
      <c r="F312" s="49"/>
      <c r="G312" s="49"/>
      <c r="H312" s="230">
        <f>+(95000*100)/119</f>
        <v>79831.932773109249</v>
      </c>
      <c r="I312" s="230">
        <f t="shared" si="147"/>
        <v>2394957.9831932774</v>
      </c>
      <c r="J312" s="230">
        <f>+(79990*100)/119</f>
        <v>67218.487394957978</v>
      </c>
      <c r="K312" s="230">
        <f t="shared" si="148"/>
        <v>2016554.6218487392</v>
      </c>
      <c r="L312" s="230">
        <f>+(69900*100)/119</f>
        <v>58739.495798319331</v>
      </c>
      <c r="M312" s="230">
        <f t="shared" si="149"/>
        <v>1762184.8739495799</v>
      </c>
      <c r="N312" s="29">
        <f t="shared" si="150"/>
        <v>68596.638655462186</v>
      </c>
      <c r="O312" s="29">
        <f t="shared" si="151"/>
        <v>2057899.1596638656</v>
      </c>
      <c r="P312" s="29">
        <f t="shared" si="152"/>
        <v>8665.9179185470839</v>
      </c>
      <c r="Q312" s="30">
        <f t="shared" si="153"/>
        <v>0.12633152423215765</v>
      </c>
      <c r="R312" s="29">
        <f t="shared" si="154"/>
        <v>67218.487394957978</v>
      </c>
      <c r="S312" s="29">
        <f t="shared" si="155"/>
        <v>2016554.6218487392</v>
      </c>
      <c r="T312" s="30">
        <f t="shared" si="156"/>
        <v>0.12892164424391836</v>
      </c>
      <c r="U312" s="56" t="s">
        <v>317</v>
      </c>
      <c r="V312" s="56" t="s">
        <v>332</v>
      </c>
      <c r="W312" s="56" t="s">
        <v>759</v>
      </c>
    </row>
    <row r="313" spans="1:25" ht="15" customHeight="1">
      <c r="A313" s="295" t="s">
        <v>769</v>
      </c>
      <c r="B313" s="295"/>
      <c r="C313" s="295"/>
      <c r="D313" s="295"/>
      <c r="E313" s="295"/>
      <c r="F313" s="295"/>
      <c r="G313" s="295"/>
      <c r="H313" s="295"/>
      <c r="I313" s="295"/>
      <c r="J313" s="295"/>
      <c r="K313" s="295"/>
      <c r="L313" s="295"/>
      <c r="M313" s="295"/>
      <c r="N313" s="295"/>
      <c r="O313" s="295"/>
      <c r="P313" s="295"/>
      <c r="Q313" s="295"/>
      <c r="R313" s="295"/>
      <c r="S313" s="295"/>
      <c r="T313" s="295"/>
      <c r="U313" s="295"/>
      <c r="V313" s="295"/>
      <c r="W313" s="295"/>
    </row>
    <row r="314" spans="1:25" ht="40.5" customHeight="1">
      <c r="A314" s="296" t="s">
        <v>238</v>
      </c>
      <c r="B314" s="296"/>
      <c r="C314" s="296"/>
      <c r="D314" s="296"/>
      <c r="E314" s="296"/>
      <c r="F314" s="296"/>
      <c r="G314" s="296"/>
      <c r="H314" s="296"/>
      <c r="I314" s="296"/>
      <c r="J314" s="296"/>
      <c r="K314" s="296"/>
      <c r="L314" s="296"/>
      <c r="M314" s="296"/>
      <c r="N314" s="296"/>
      <c r="O314" s="296"/>
      <c r="P314" s="296"/>
      <c r="Q314" s="296"/>
      <c r="R314" s="296"/>
      <c r="S314" s="296"/>
      <c r="T314" s="296"/>
      <c r="U314" s="296"/>
      <c r="V314" s="296"/>
      <c r="W314" s="296"/>
    </row>
    <row r="315" spans="1:25" ht="129" customHeight="1">
      <c r="A315" s="49">
        <v>268</v>
      </c>
      <c r="B315" s="61" t="s">
        <v>770</v>
      </c>
      <c r="C315" s="62" t="s">
        <v>771</v>
      </c>
      <c r="D315" s="226">
        <v>64</v>
      </c>
      <c r="E315" s="226" t="s">
        <v>772</v>
      </c>
      <c r="F315" s="49"/>
      <c r="G315" s="49"/>
      <c r="H315" s="231">
        <f>+(85000*100)/119</f>
        <v>71428.571428571435</v>
      </c>
      <c r="I315" s="232">
        <f t="shared" ref="I315:I321" si="157">+H315*D315</f>
        <v>4571428.5714285718</v>
      </c>
      <c r="J315" s="231">
        <f>+(75000*100)/119</f>
        <v>63025.210084033613</v>
      </c>
      <c r="K315" s="231">
        <f t="shared" ref="K315:K321" si="158">+J315*D315</f>
        <v>4033613.4453781513</v>
      </c>
      <c r="L315" s="231">
        <f>+(95000*100)/119</f>
        <v>79831.932773109249</v>
      </c>
      <c r="M315" s="231">
        <f t="shared" ref="M315:M321" si="159">+L315*D315</f>
        <v>5109243.6974789919</v>
      </c>
      <c r="N315" s="29">
        <f t="shared" ref="N315:N321" si="160">+AVERAGE(H315,J315,L315)</f>
        <v>71428.571428571435</v>
      </c>
      <c r="O315" s="29">
        <f t="shared" ref="O315:O321" si="161">+N315*D315</f>
        <v>4571428.5714285718</v>
      </c>
      <c r="P315" s="29">
        <f t="shared" ref="P315:P321" si="162">+_xlfn.STDEV.P(H315,J315,L315)</f>
        <v>6861.3158061153472</v>
      </c>
      <c r="Q315" s="30">
        <f t="shared" ref="Q315:Q321" si="163">+P315/N315</f>
        <v>9.6058421285614856E-2</v>
      </c>
      <c r="R315" s="29">
        <f t="shared" ref="R315:R321" si="164">+MEDIAN(H315,J315,L315)</f>
        <v>71428.571428571435</v>
      </c>
      <c r="S315" s="29">
        <f t="shared" ref="S315:S321" si="165">+R315*D315</f>
        <v>4571428.5714285718</v>
      </c>
      <c r="T315" s="30">
        <f t="shared" ref="T315:T321" si="166">+P315/R315</f>
        <v>9.6058421285614856E-2</v>
      </c>
      <c r="U315" s="56" t="s">
        <v>750</v>
      </c>
      <c r="V315" s="56" t="s">
        <v>751</v>
      </c>
      <c r="W315" s="56" t="s">
        <v>752</v>
      </c>
    </row>
    <row r="316" spans="1:25" ht="15.75" customHeight="1">
      <c r="A316" s="121">
        <v>269</v>
      </c>
      <c r="B316" s="144" t="s">
        <v>773</v>
      </c>
      <c r="C316" s="123" t="s">
        <v>774</v>
      </c>
      <c r="D316" s="226">
        <v>65</v>
      </c>
      <c r="E316" s="226" t="s">
        <v>775</v>
      </c>
      <c r="F316" s="49"/>
      <c r="G316" s="49"/>
      <c r="H316" s="231">
        <f>+(20000*100)/119</f>
        <v>16806.722689075632</v>
      </c>
      <c r="I316" s="232">
        <f t="shared" si="157"/>
        <v>1092436.9747899161</v>
      </c>
      <c r="J316" s="231">
        <f>+(15400*100)/119</f>
        <v>12941.176470588236</v>
      </c>
      <c r="K316" s="231">
        <f t="shared" si="158"/>
        <v>841176.4705882353</v>
      </c>
      <c r="L316" s="231">
        <f>+(17900*100)/119</f>
        <v>15042.01680672269</v>
      </c>
      <c r="M316" s="231">
        <f t="shared" si="159"/>
        <v>977731.09243697487</v>
      </c>
      <c r="N316" s="29">
        <f t="shared" si="160"/>
        <v>14929.97198879552</v>
      </c>
      <c r="O316" s="29">
        <f t="shared" si="161"/>
        <v>970448.17927170882</v>
      </c>
      <c r="P316" s="29">
        <f t="shared" si="162"/>
        <v>1580.0901709994873</v>
      </c>
      <c r="Q316" s="30">
        <f t="shared" si="163"/>
        <v>0.10583343171610074</v>
      </c>
      <c r="R316" s="29">
        <f t="shared" si="164"/>
        <v>15042.01680672269</v>
      </c>
      <c r="S316" s="29">
        <f t="shared" si="165"/>
        <v>977731.09243697487</v>
      </c>
      <c r="T316" s="30">
        <f t="shared" si="166"/>
        <v>0.1050451007535972</v>
      </c>
      <c r="U316" s="56" t="s">
        <v>755</v>
      </c>
      <c r="V316" s="56" t="s">
        <v>153</v>
      </c>
      <c r="W316" s="56" t="s">
        <v>756</v>
      </c>
    </row>
    <row r="317" spans="1:25" ht="29.25" customHeight="1">
      <c r="A317" s="49">
        <v>270</v>
      </c>
      <c r="B317" s="229" t="s">
        <v>746</v>
      </c>
      <c r="C317" s="123" t="s">
        <v>747</v>
      </c>
      <c r="D317" s="226">
        <v>10</v>
      </c>
      <c r="E317" s="226" t="s">
        <v>772</v>
      </c>
      <c r="F317" s="49"/>
      <c r="G317" s="49"/>
      <c r="H317" s="63">
        <f>+(5250*100)/119</f>
        <v>4411.7647058823532</v>
      </c>
      <c r="I317" s="232">
        <f t="shared" si="157"/>
        <v>44117.647058823532</v>
      </c>
      <c r="J317" s="63">
        <f>+(3800*100)/119</f>
        <v>3193.2773109243699</v>
      </c>
      <c r="K317" s="231">
        <f t="shared" si="158"/>
        <v>31932.773109243699</v>
      </c>
      <c r="L317" s="63">
        <f>+(4567*100)/119</f>
        <v>3837.8151260504201</v>
      </c>
      <c r="M317" s="231">
        <f t="shared" si="159"/>
        <v>38378.151260504201</v>
      </c>
      <c r="N317" s="29">
        <f t="shared" si="160"/>
        <v>3814.2857142857142</v>
      </c>
      <c r="O317" s="29">
        <f t="shared" si="161"/>
        <v>38142.857142857145</v>
      </c>
      <c r="P317" s="29">
        <f t="shared" si="162"/>
        <v>497.72355635859174</v>
      </c>
      <c r="Q317" s="30">
        <f t="shared" si="163"/>
        <v>0.13048932189176563</v>
      </c>
      <c r="R317" s="29">
        <f t="shared" si="164"/>
        <v>3837.8151260504201</v>
      </c>
      <c r="S317" s="29">
        <f t="shared" si="165"/>
        <v>38378.151260504201</v>
      </c>
      <c r="T317" s="30">
        <f t="shared" si="166"/>
        <v>0.12968929977375174</v>
      </c>
      <c r="U317" s="56" t="s">
        <v>702</v>
      </c>
      <c r="V317" s="56" t="s">
        <v>703</v>
      </c>
      <c r="W317" s="56" t="s">
        <v>704</v>
      </c>
      <c r="X317" t="s">
        <v>60</v>
      </c>
      <c r="Y317" t="s">
        <v>61</v>
      </c>
    </row>
    <row r="318" spans="1:25" ht="29.25" customHeight="1">
      <c r="A318" s="121">
        <v>271</v>
      </c>
      <c r="B318" s="229" t="s">
        <v>741</v>
      </c>
      <c r="C318" s="123" t="s">
        <v>776</v>
      </c>
      <c r="D318" s="226">
        <v>10</v>
      </c>
      <c r="E318" s="226" t="s">
        <v>772</v>
      </c>
      <c r="F318" s="49"/>
      <c r="G318" s="49"/>
      <c r="H318" s="231">
        <f>+(42600*100)/119</f>
        <v>35798.319327731093</v>
      </c>
      <c r="I318" s="232">
        <f t="shared" si="157"/>
        <v>357983.19327731093</v>
      </c>
      <c r="J318" s="231">
        <f>+(45000*100)/119</f>
        <v>37815.126050420171</v>
      </c>
      <c r="K318" s="231">
        <f t="shared" si="158"/>
        <v>378151.26050420169</v>
      </c>
      <c r="L318" s="231">
        <f>+(41000*100)/119</f>
        <v>34453.781512605041</v>
      </c>
      <c r="M318" s="231">
        <f t="shared" si="159"/>
        <v>344537.81512605038</v>
      </c>
      <c r="N318" s="29">
        <f t="shared" si="160"/>
        <v>36022.408963585433</v>
      </c>
      <c r="O318" s="29">
        <f t="shared" si="161"/>
        <v>360224.08963585435</v>
      </c>
      <c r="P318" s="29">
        <f t="shared" si="162"/>
        <v>1381.3812891807247</v>
      </c>
      <c r="Q318" s="30">
        <f t="shared" si="163"/>
        <v>3.8347832055794617E-2</v>
      </c>
      <c r="R318" s="29">
        <f t="shared" si="164"/>
        <v>35798.319327731093</v>
      </c>
      <c r="S318" s="29">
        <f t="shared" si="165"/>
        <v>357983.19327731093</v>
      </c>
      <c r="T318" s="30">
        <f t="shared" si="166"/>
        <v>3.8587881082747945E-2</v>
      </c>
      <c r="U318" s="56" t="s">
        <v>743</v>
      </c>
      <c r="V318" s="56" t="s">
        <v>744</v>
      </c>
      <c r="W318" s="56" t="s">
        <v>745</v>
      </c>
      <c r="X318" s="40">
        <f>SUM(O324:O328)</f>
        <v>21822128.851540614</v>
      </c>
      <c r="Y318" s="40">
        <f>SUM(S324:S328)</f>
        <v>21634453.781512603</v>
      </c>
    </row>
    <row r="319" spans="1:25" ht="43.5" customHeight="1">
      <c r="A319" s="49">
        <v>272</v>
      </c>
      <c r="B319" s="229" t="s">
        <v>777</v>
      </c>
      <c r="C319" s="123" t="s">
        <v>778</v>
      </c>
      <c r="D319" s="226">
        <v>20</v>
      </c>
      <c r="E319" s="226" t="s">
        <v>772</v>
      </c>
      <c r="F319" s="49"/>
      <c r="G319" s="49"/>
      <c r="H319" s="231">
        <f>+(17000*100)/119</f>
        <v>14285.714285714286</v>
      </c>
      <c r="I319" s="232">
        <f t="shared" si="157"/>
        <v>285714.28571428574</v>
      </c>
      <c r="J319" s="231">
        <f>+(17000*100)/119</f>
        <v>14285.714285714286</v>
      </c>
      <c r="K319" s="231">
        <f t="shared" si="158"/>
        <v>285714.28571428574</v>
      </c>
      <c r="L319" s="233">
        <v>16700</v>
      </c>
      <c r="M319" s="231">
        <f t="shared" si="159"/>
        <v>334000</v>
      </c>
      <c r="N319" s="29">
        <f t="shared" si="160"/>
        <v>15090.476190476191</v>
      </c>
      <c r="O319" s="29">
        <f t="shared" si="161"/>
        <v>301809.52380952379</v>
      </c>
      <c r="P319" s="29">
        <f t="shared" si="162"/>
        <v>1138.1052001954904</v>
      </c>
      <c r="Q319" s="30">
        <f t="shared" si="163"/>
        <v>7.5418773127501726E-2</v>
      </c>
      <c r="R319" s="29">
        <f t="shared" si="164"/>
        <v>14285.714285714286</v>
      </c>
      <c r="S319" s="29">
        <f t="shared" si="165"/>
        <v>285714.28571428574</v>
      </c>
      <c r="T319" s="30">
        <f t="shared" si="166"/>
        <v>7.9667364013684322E-2</v>
      </c>
      <c r="U319" s="56" t="s">
        <v>287</v>
      </c>
      <c r="V319" s="56" t="s">
        <v>779</v>
      </c>
      <c r="W319" s="56" t="s">
        <v>780</v>
      </c>
    </row>
    <row r="320" spans="1:25" ht="43.5" customHeight="1">
      <c r="A320" s="121">
        <v>273</v>
      </c>
      <c r="B320" s="61" t="s">
        <v>781</v>
      </c>
      <c r="C320" s="62" t="s">
        <v>782</v>
      </c>
      <c r="D320" s="62">
        <v>20</v>
      </c>
      <c r="E320" s="226" t="s">
        <v>772</v>
      </c>
      <c r="F320" s="49"/>
      <c r="G320" s="49"/>
      <c r="H320" s="231">
        <f>+(79900*100)/119</f>
        <v>67142.857142857145</v>
      </c>
      <c r="I320" s="232">
        <f t="shared" si="157"/>
        <v>1342857.142857143</v>
      </c>
      <c r="J320" s="231">
        <f>+(89900*100)/119</f>
        <v>75546.218487394959</v>
      </c>
      <c r="K320" s="231">
        <f t="shared" si="158"/>
        <v>1510924.3697478992</v>
      </c>
      <c r="L320" s="231">
        <f>+(64900*100)/119</f>
        <v>54537.815126050424</v>
      </c>
      <c r="M320" s="231">
        <f t="shared" si="159"/>
        <v>1090756.3025210085</v>
      </c>
      <c r="N320" s="29">
        <f t="shared" si="160"/>
        <v>65742.296918767504</v>
      </c>
      <c r="O320" s="29">
        <f t="shared" si="161"/>
        <v>1314845.9383753501</v>
      </c>
      <c r="P320" s="29">
        <f t="shared" si="162"/>
        <v>8633.6330573795531</v>
      </c>
      <c r="Q320" s="30">
        <f t="shared" si="163"/>
        <v>0.13132539418340436</v>
      </c>
      <c r="R320" s="29">
        <f t="shared" si="164"/>
        <v>67142.857142857145</v>
      </c>
      <c r="S320" s="29">
        <f t="shared" si="165"/>
        <v>1342857.142857143</v>
      </c>
      <c r="T320" s="30">
        <f t="shared" si="166"/>
        <v>0.12858602425884441</v>
      </c>
      <c r="U320" s="56" t="s">
        <v>153</v>
      </c>
      <c r="V320" s="56" t="s">
        <v>332</v>
      </c>
      <c r="W320" s="56" t="s">
        <v>783</v>
      </c>
    </row>
    <row r="321" spans="1:23" ht="86.25" customHeight="1">
      <c r="A321" s="49">
        <v>274</v>
      </c>
      <c r="B321" s="229" t="s">
        <v>784</v>
      </c>
      <c r="C321" s="123" t="s">
        <v>785</v>
      </c>
      <c r="D321" s="226">
        <v>30</v>
      </c>
      <c r="E321" s="226" t="s">
        <v>772</v>
      </c>
      <c r="F321" s="49"/>
      <c r="G321" s="49"/>
      <c r="H321" s="231">
        <f>+(85000*100)/119</f>
        <v>71428.571428571435</v>
      </c>
      <c r="I321" s="232">
        <f t="shared" si="157"/>
        <v>2142857.1428571432</v>
      </c>
      <c r="J321" s="231">
        <f>+(83000*100)/119</f>
        <v>69747.899159663866</v>
      </c>
      <c r="K321" s="231">
        <f t="shared" si="158"/>
        <v>2092436.9747899161</v>
      </c>
      <c r="L321" s="231">
        <f>+(84900*100)/119</f>
        <v>71344.537815126052</v>
      </c>
      <c r="M321" s="231">
        <f t="shared" si="159"/>
        <v>2140336.1344537814</v>
      </c>
      <c r="N321" s="29">
        <f t="shared" si="160"/>
        <v>70840.336134453784</v>
      </c>
      <c r="O321" s="29">
        <f t="shared" si="161"/>
        <v>2125210.0840336136</v>
      </c>
      <c r="P321" s="29">
        <f t="shared" si="162"/>
        <v>773.23102195194906</v>
      </c>
      <c r="Q321" s="30">
        <f t="shared" si="163"/>
        <v>1.0915123560175793E-2</v>
      </c>
      <c r="R321" s="29">
        <f t="shared" si="164"/>
        <v>71344.537815126052</v>
      </c>
      <c r="S321" s="29">
        <f t="shared" si="165"/>
        <v>2140336.1344537814</v>
      </c>
      <c r="T321" s="30">
        <f t="shared" si="166"/>
        <v>1.0837984877771724E-2</v>
      </c>
      <c r="U321" s="56" t="s">
        <v>786</v>
      </c>
      <c r="V321" s="56" t="s">
        <v>787</v>
      </c>
      <c r="W321" s="56" t="s">
        <v>332</v>
      </c>
    </row>
    <row r="322" spans="1:23" ht="16.5" customHeight="1">
      <c r="A322" s="295" t="s">
        <v>788</v>
      </c>
      <c r="B322" s="295"/>
      <c r="C322" s="295"/>
      <c r="D322" s="295"/>
      <c r="E322" s="295"/>
      <c r="F322" s="295"/>
      <c r="G322" s="295"/>
      <c r="H322" s="295"/>
      <c r="I322" s="295"/>
      <c r="J322" s="295"/>
      <c r="K322" s="295"/>
      <c r="L322" s="295"/>
      <c r="M322" s="295"/>
      <c r="N322" s="295"/>
      <c r="O322" s="295"/>
      <c r="P322" s="295"/>
      <c r="Q322" s="295"/>
      <c r="R322" s="295"/>
      <c r="S322" s="295"/>
      <c r="T322" s="295"/>
      <c r="U322" s="295"/>
      <c r="V322" s="295"/>
      <c r="W322" s="295"/>
    </row>
    <row r="323" spans="1:23" ht="15.75" customHeight="1">
      <c r="A323" s="296" t="s">
        <v>238</v>
      </c>
      <c r="B323" s="296"/>
      <c r="C323" s="296"/>
      <c r="D323" s="296"/>
      <c r="E323" s="296"/>
      <c r="F323" s="296"/>
      <c r="G323" s="296"/>
      <c r="H323" s="296"/>
      <c r="I323" s="296"/>
      <c r="J323" s="296"/>
      <c r="K323" s="296"/>
      <c r="L323" s="296"/>
      <c r="M323" s="296"/>
      <c r="N323" s="296"/>
      <c r="O323" s="296"/>
      <c r="P323" s="296"/>
      <c r="Q323" s="296"/>
      <c r="R323" s="296"/>
      <c r="S323" s="296"/>
      <c r="T323" s="296"/>
      <c r="U323" s="296"/>
      <c r="V323" s="296"/>
      <c r="W323" s="296"/>
    </row>
    <row r="324" spans="1:23" ht="55.5" customHeight="1">
      <c r="A324" s="121">
        <v>275</v>
      </c>
      <c r="B324" s="234" t="s">
        <v>789</v>
      </c>
      <c r="C324" s="62" t="s">
        <v>790</v>
      </c>
      <c r="D324" s="226">
        <v>100</v>
      </c>
      <c r="E324" s="226" t="s">
        <v>772</v>
      </c>
      <c r="F324" s="49"/>
      <c r="G324" s="49"/>
      <c r="H324" s="235">
        <f>+(159000*100)/119</f>
        <v>133613.44537815126</v>
      </c>
      <c r="I324" s="227">
        <f>+H324*D324</f>
        <v>13361344.537815126</v>
      </c>
      <c r="J324" s="227">
        <f>+(149000*100)/119</f>
        <v>125210.08403361344</v>
      </c>
      <c r="K324" s="227">
        <f>+J324*D324</f>
        <v>12521008.403361345</v>
      </c>
      <c r="L324" s="227">
        <f>+(150000*100)/119</f>
        <v>126050.42016806723</v>
      </c>
      <c r="M324" s="227">
        <f>+L324*D324</f>
        <v>12605042.016806724</v>
      </c>
      <c r="N324" s="29">
        <f>+AVERAGE(H324,J324,L324)</f>
        <v>128291.31652661064</v>
      </c>
      <c r="O324" s="29">
        <f>+N324*D324</f>
        <v>12829131.652661063</v>
      </c>
      <c r="P324" s="29">
        <f>+_xlfn.STDEV.P(H324,J324,L324)</f>
        <v>3778.9180849389463</v>
      </c>
      <c r="Q324" s="30">
        <f>+P324/N324</f>
        <v>2.9455758871685674E-2</v>
      </c>
      <c r="R324" s="29">
        <f>+MEDIAN(H324,J324,L324)</f>
        <v>126050.42016806723</v>
      </c>
      <c r="S324" s="29">
        <f>+R324*D324</f>
        <v>12605042.016806724</v>
      </c>
      <c r="T324" s="30">
        <f>+P324/R324</f>
        <v>2.9979416807182309E-2</v>
      </c>
      <c r="U324" s="56" t="s">
        <v>791</v>
      </c>
      <c r="V324" s="56" t="s">
        <v>792</v>
      </c>
      <c r="W324" s="56" t="s">
        <v>793</v>
      </c>
    </row>
    <row r="325" spans="1:23" ht="29.25" customHeight="1">
      <c r="A325" s="121">
        <v>276</v>
      </c>
      <c r="B325" s="61" t="s">
        <v>794</v>
      </c>
      <c r="C325" s="123" t="s">
        <v>795</v>
      </c>
      <c r="D325" s="226">
        <v>50</v>
      </c>
      <c r="E325" s="226" t="s">
        <v>772</v>
      </c>
      <c r="F325" s="49"/>
      <c r="G325" s="49"/>
      <c r="H325" s="227">
        <f>+(64000*100)/119</f>
        <v>53781.512605042015</v>
      </c>
      <c r="I325" s="227">
        <f>+H325*D325</f>
        <v>2689075.6302521005</v>
      </c>
      <c r="J325" s="227">
        <f>+(67800*100)/119</f>
        <v>56974.789915966387</v>
      </c>
      <c r="K325" s="227">
        <f>+J325*D325</f>
        <v>2848739.4957983191</v>
      </c>
      <c r="L325" s="227">
        <f>+(59000*100)/119</f>
        <v>49579.831932773108</v>
      </c>
      <c r="M325" s="227">
        <f>+L325*D325</f>
        <v>2478991.5966386553</v>
      </c>
      <c r="N325" s="29">
        <f>+AVERAGE(H325,J325,L325)</f>
        <v>53445.378151260498</v>
      </c>
      <c r="O325" s="29">
        <f>+N325*D325</f>
        <v>2672268.9075630251</v>
      </c>
      <c r="P325" s="29">
        <f>+_xlfn.STDEV.P(H325,J325,L325)</f>
        <v>3028.3208407259567</v>
      </c>
      <c r="Q325" s="30">
        <f>+P325/N325</f>
        <v>5.6661977994715236E-2</v>
      </c>
      <c r="R325" s="29">
        <f>+MEDIAN(H325,J325,L325)</f>
        <v>53781.512605042015</v>
      </c>
      <c r="S325" s="29">
        <f>+R325*D325</f>
        <v>2689075.6302521005</v>
      </c>
      <c r="T325" s="30">
        <f>+P325/R325</f>
        <v>5.6307840632248259E-2</v>
      </c>
      <c r="U325" s="56" t="s">
        <v>796</v>
      </c>
      <c r="V325" s="56" t="s">
        <v>797</v>
      </c>
      <c r="W325" s="56" t="s">
        <v>798</v>
      </c>
    </row>
    <row r="326" spans="1:23" ht="29.25" customHeight="1">
      <c r="A326" s="121">
        <v>277</v>
      </c>
      <c r="B326" s="236" t="s">
        <v>799</v>
      </c>
      <c r="C326" s="123" t="s">
        <v>800</v>
      </c>
      <c r="D326" s="226">
        <v>50</v>
      </c>
      <c r="E326" s="226" t="s">
        <v>772</v>
      </c>
      <c r="F326" s="49"/>
      <c r="G326" s="49"/>
      <c r="H326" s="227">
        <f>+(52900*100)/119</f>
        <v>44453.781512605041</v>
      </c>
      <c r="I326" s="227">
        <f>+H326*D326</f>
        <v>2222689.0756302522</v>
      </c>
      <c r="J326" s="227">
        <f>+(56000*100)/119</f>
        <v>47058.823529411762</v>
      </c>
      <c r="K326" s="227">
        <f>+J326*D326</f>
        <v>2352941.176470588</v>
      </c>
      <c r="L326" s="227">
        <f>+(60000*100)/119</f>
        <v>50420.168067226892</v>
      </c>
      <c r="M326" s="227">
        <f>+L326*D326</f>
        <v>2521008.4033613447</v>
      </c>
      <c r="N326" s="29">
        <f>+AVERAGE(H326,J326,L326)</f>
        <v>47310.924369747896</v>
      </c>
      <c r="O326" s="29">
        <f>+N326*D326</f>
        <v>2365546.218487395</v>
      </c>
      <c r="P326" s="29">
        <f>+_xlfn.STDEV.P(H326,J326,L326)</f>
        <v>2442.2814818753304</v>
      </c>
      <c r="Q326" s="30">
        <f>+P326/N326</f>
        <v>5.1621935407311609E-2</v>
      </c>
      <c r="R326" s="29">
        <f>+MEDIAN(H326,J326,L326)</f>
        <v>47058.823529411762</v>
      </c>
      <c r="S326" s="29">
        <f>+R326*D326</f>
        <v>2352941.176470588</v>
      </c>
      <c r="T326" s="30">
        <f>+P326/R326</f>
        <v>5.1898481489850774E-2</v>
      </c>
      <c r="U326" s="56" t="s">
        <v>801</v>
      </c>
      <c r="V326" s="56" t="s">
        <v>153</v>
      </c>
      <c r="W326" s="56" t="s">
        <v>332</v>
      </c>
    </row>
    <row r="327" spans="1:23" ht="210" customHeight="1">
      <c r="A327" s="121">
        <v>278</v>
      </c>
      <c r="B327" s="236" t="s">
        <v>802</v>
      </c>
      <c r="C327" s="123" t="s">
        <v>803</v>
      </c>
      <c r="D327" s="226">
        <v>50</v>
      </c>
      <c r="E327" s="226" t="s">
        <v>772</v>
      </c>
      <c r="F327" s="49"/>
      <c r="G327" s="49"/>
      <c r="H327" s="227">
        <f>+(94900*100)/119</f>
        <v>79747.899159663866</v>
      </c>
      <c r="I327" s="227">
        <f>+H327*D327</f>
        <v>3987394.9579831935</v>
      </c>
      <c r="J327" s="227">
        <f>+(89600*100)/119</f>
        <v>75294.117647058825</v>
      </c>
      <c r="K327" s="227">
        <f>+J327*D327</f>
        <v>3764705.8823529412</v>
      </c>
      <c r="L327" s="227">
        <f>+(97900*100)/119</f>
        <v>82268.907563025205</v>
      </c>
      <c r="M327" s="227">
        <f>+L327*D327</f>
        <v>4113445.3781512603</v>
      </c>
      <c r="N327" s="29">
        <f>+AVERAGE(H327,J327,L327)</f>
        <v>79103.641456582627</v>
      </c>
      <c r="O327" s="29">
        <f>+N327*D327</f>
        <v>3955182.0728291315</v>
      </c>
      <c r="P327" s="29">
        <f>+_xlfn.STDEV.P(H327,J327,L327)</f>
        <v>2883.6579297772942</v>
      </c>
      <c r="Q327" s="30">
        <f>+P327/N327</f>
        <v>3.6454174253912681E-2</v>
      </c>
      <c r="R327" s="29">
        <f>+MEDIAN(H327,J327,L327)</f>
        <v>79747.899159663866</v>
      </c>
      <c r="S327" s="29">
        <f>+R327*D327</f>
        <v>3987394.9579831935</v>
      </c>
      <c r="T327" s="30">
        <f>+P327/R327</f>
        <v>3.6159672670547732E-2</v>
      </c>
      <c r="U327" s="56" t="s">
        <v>287</v>
      </c>
      <c r="V327" s="56" t="s">
        <v>804</v>
      </c>
      <c r="W327" s="56" t="s">
        <v>805</v>
      </c>
    </row>
    <row r="328" spans="1:23" ht="90.75" customHeight="1">
      <c r="A328" s="121">
        <v>279</v>
      </c>
      <c r="B328" s="109" t="s">
        <v>806</v>
      </c>
      <c r="C328" s="109" t="s">
        <v>807</v>
      </c>
      <c r="D328" s="237">
        <v>160</v>
      </c>
      <c r="E328" s="237" t="s">
        <v>808</v>
      </c>
      <c r="F328" s="238"/>
      <c r="G328" s="238"/>
      <c r="H328" s="239"/>
      <c r="I328" s="240"/>
      <c r="J328" s="241"/>
      <c r="K328" s="240"/>
      <c r="L328" s="241"/>
      <c r="M328" s="240"/>
      <c r="N328" s="29"/>
      <c r="O328" s="29">
        <f>+N328*D328</f>
        <v>0</v>
      </c>
      <c r="P328" s="29"/>
      <c r="Q328" s="30"/>
      <c r="R328" s="29"/>
      <c r="S328" s="29">
        <f>+R328*D328</f>
        <v>0</v>
      </c>
      <c r="T328" s="30"/>
      <c r="U328" s="56"/>
      <c r="V328" s="56"/>
      <c r="W328" s="56"/>
    </row>
    <row r="329" spans="1:23" ht="19.5" customHeight="1">
      <c r="A329" s="295" t="s">
        <v>809</v>
      </c>
      <c r="B329" s="295"/>
      <c r="C329" s="295"/>
      <c r="D329" s="295"/>
      <c r="E329" s="295"/>
      <c r="F329" s="295"/>
      <c r="G329" s="295"/>
      <c r="H329" s="295"/>
      <c r="I329" s="295"/>
      <c r="J329" s="295"/>
      <c r="K329" s="295"/>
      <c r="L329" s="295"/>
      <c r="M329" s="295"/>
      <c r="N329" s="295"/>
      <c r="O329" s="295"/>
      <c r="P329" s="295"/>
      <c r="Q329" s="295"/>
      <c r="R329" s="295"/>
      <c r="S329" s="295"/>
      <c r="T329" s="295"/>
      <c r="U329" s="295"/>
      <c r="V329" s="295"/>
      <c r="W329" s="295"/>
    </row>
    <row r="330" spans="1:23" ht="15.75" customHeight="1">
      <c r="A330" s="296" t="s">
        <v>238</v>
      </c>
      <c r="B330" s="296"/>
      <c r="C330" s="296"/>
      <c r="D330" s="296"/>
      <c r="E330" s="296"/>
      <c r="F330" s="296"/>
      <c r="G330" s="296"/>
      <c r="H330" s="296"/>
      <c r="I330" s="296"/>
      <c r="J330" s="296"/>
      <c r="K330" s="296"/>
      <c r="L330" s="296"/>
      <c r="M330" s="296"/>
      <c r="N330" s="296"/>
      <c r="O330" s="296"/>
      <c r="P330" s="296"/>
      <c r="Q330" s="296"/>
      <c r="R330" s="296"/>
      <c r="S330" s="296"/>
      <c r="T330" s="296"/>
      <c r="U330" s="296"/>
      <c r="V330" s="296"/>
      <c r="W330" s="296"/>
    </row>
    <row r="331" spans="1:23" ht="303.75" customHeight="1">
      <c r="A331">
        <v>280</v>
      </c>
      <c r="B331" s="242" t="s">
        <v>810</v>
      </c>
      <c r="C331" s="243" t="s">
        <v>811</v>
      </c>
      <c r="D331" s="110">
        <v>1</v>
      </c>
      <c r="E331" s="110" t="s">
        <v>197</v>
      </c>
      <c r="F331" s="111">
        <v>1</v>
      </c>
      <c r="G331" s="111" t="s">
        <v>198</v>
      </c>
      <c r="H331" s="112">
        <v>90000000</v>
      </c>
      <c r="I331" s="233">
        <f>+H331*F331*D331</f>
        <v>90000000</v>
      </c>
      <c r="J331" s="233"/>
      <c r="K331" s="233"/>
      <c r="L331" s="233"/>
      <c r="M331" s="233"/>
      <c r="N331" s="29">
        <f>+AVERAGE(H331,J331,L331)</f>
        <v>90000000</v>
      </c>
      <c r="O331" s="29">
        <f>+N331*D331*F331</f>
        <v>90000000</v>
      </c>
      <c r="P331" s="29">
        <f>+_xlfn.STDEV.P(H331,J331,L331)</f>
        <v>0</v>
      </c>
      <c r="Q331" s="30">
        <f>+P331/N331</f>
        <v>0</v>
      </c>
      <c r="R331" s="29">
        <f>+MEDIAN(H331,J331,L331)</f>
        <v>90000000</v>
      </c>
      <c r="S331" s="29">
        <f>+R331*D331*F331</f>
        <v>90000000</v>
      </c>
      <c r="T331" s="30">
        <f>+P331/R331</f>
        <v>0</v>
      </c>
      <c r="U331" s="56"/>
      <c r="V331" s="56"/>
      <c r="W331" s="56"/>
    </row>
    <row r="332" spans="1:23" ht="15.75" customHeight="1">
      <c r="J332" s="59"/>
    </row>
    <row r="333" spans="1:23" ht="21.75" customHeight="1"/>
    <row r="336" spans="1:23" ht="16.5" customHeight="1"/>
    <row r="337" spans="2:20" ht="24" customHeight="1">
      <c r="O337" s="297" t="s">
        <v>60</v>
      </c>
      <c r="P337" s="297"/>
      <c r="S337" s="298" t="s">
        <v>61</v>
      </c>
      <c r="T337" s="298"/>
    </row>
    <row r="338" spans="2:20" ht="24" customHeight="1">
      <c r="O338" s="244" t="s">
        <v>812</v>
      </c>
      <c r="P338" s="245">
        <f>+SUM(O4:O331)</f>
        <v>3222172369.2056122</v>
      </c>
      <c r="S338" s="244" t="s">
        <v>812</v>
      </c>
      <c r="T338" s="245">
        <f>+SUM(S4:S331)</f>
        <v>3194474507.2697549</v>
      </c>
    </row>
    <row r="339" spans="2:20" ht="24" customHeight="1">
      <c r="O339" s="246" t="s">
        <v>813</v>
      </c>
      <c r="P339" s="245">
        <f>P338*0.19</f>
        <v>612212750.14906633</v>
      </c>
      <c r="S339" s="246" t="s">
        <v>813</v>
      </c>
      <c r="T339" s="247">
        <f>T338*0.19</f>
        <v>606950156.38125348</v>
      </c>
    </row>
    <row r="340" spans="2:20" ht="24.75" customHeight="1">
      <c r="D340" s="19"/>
      <c r="E340" s="18"/>
      <c r="H340" s="20"/>
      <c r="O340" s="248" t="s">
        <v>814</v>
      </c>
      <c r="P340" s="249">
        <f>P338+P339</f>
        <v>3834385119.3546786</v>
      </c>
      <c r="S340" s="248" t="s">
        <v>814</v>
      </c>
      <c r="T340" s="249">
        <f>T338+T339</f>
        <v>3801424663.6510086</v>
      </c>
    </row>
    <row r="341" spans="2:20" ht="15" customHeight="1">
      <c r="D341" s="19"/>
      <c r="E341" s="18"/>
      <c r="H341" s="20"/>
    </row>
    <row r="342" spans="2:20">
      <c r="D342" s="19"/>
      <c r="E342" s="18"/>
      <c r="H342" s="20"/>
    </row>
    <row r="343" spans="2:20" ht="223.5" customHeight="1">
      <c r="B343" s="299" t="s">
        <v>815</v>
      </c>
      <c r="C343" s="299"/>
      <c r="D343" s="299"/>
      <c r="E343" s="299"/>
      <c r="F343" s="299"/>
      <c r="H343" s="20"/>
    </row>
    <row r="344" spans="2:20">
      <c r="D344" s="19"/>
      <c r="E344" s="18"/>
      <c r="H344" s="20"/>
    </row>
    <row r="345" spans="2:20">
      <c r="D345" s="19"/>
      <c r="E345" s="18"/>
      <c r="H345" s="20"/>
    </row>
    <row r="346" spans="2:20">
      <c r="D346" s="19"/>
      <c r="E346" s="18"/>
      <c r="H346" s="20"/>
    </row>
    <row r="347" spans="2:20" ht="242.25" customHeight="1">
      <c r="D347" s="294"/>
      <c r="E347" s="294"/>
      <c r="F347" s="294"/>
      <c r="G347" s="294"/>
      <c r="H347" s="294"/>
    </row>
  </sheetData>
  <mergeCells count="66">
    <mergeCell ref="H1:H2"/>
    <mergeCell ref="I1:I2"/>
    <mergeCell ref="J1:J2"/>
    <mergeCell ref="K1:K2"/>
    <mergeCell ref="B1:B2"/>
    <mergeCell ref="C1:C2"/>
    <mergeCell ref="D1:D2"/>
    <mergeCell ref="E1:E2"/>
    <mergeCell ref="F1:F2"/>
    <mergeCell ref="V1:V2"/>
    <mergeCell ref="W1:W2"/>
    <mergeCell ref="A3:W3"/>
    <mergeCell ref="C11:G11"/>
    <mergeCell ref="C12:G12"/>
    <mergeCell ref="Q1:Q2"/>
    <mergeCell ref="R1:R2"/>
    <mergeCell ref="S1:S2"/>
    <mergeCell ref="T1:T2"/>
    <mergeCell ref="U1:U2"/>
    <mergeCell ref="L1:L2"/>
    <mergeCell ref="M1:M2"/>
    <mergeCell ref="N1:N2"/>
    <mergeCell ref="O1:O2"/>
    <mergeCell ref="P1:P2"/>
    <mergeCell ref="G1:G2"/>
    <mergeCell ref="A51:W51"/>
    <mergeCell ref="A53:W53"/>
    <mergeCell ref="A54:W54"/>
    <mergeCell ref="A74:W74"/>
    <mergeCell ref="B82:B83"/>
    <mergeCell ref="A85:W85"/>
    <mergeCell ref="A94:W94"/>
    <mergeCell ref="A95:W95"/>
    <mergeCell ref="A108:W108"/>
    <mergeCell ref="A122:W122"/>
    <mergeCell ref="A123:W123"/>
    <mergeCell ref="A136:W136"/>
    <mergeCell ref="A164:W164"/>
    <mergeCell ref="A165:W165"/>
    <mergeCell ref="A180:W180"/>
    <mergeCell ref="A204:W204"/>
    <mergeCell ref="A205:W205"/>
    <mergeCell ref="B225:B227"/>
    <mergeCell ref="A229:W229"/>
    <mergeCell ref="A244:W244"/>
    <mergeCell ref="A245:W245"/>
    <mergeCell ref="A278:W278"/>
    <mergeCell ref="A281:W281"/>
    <mergeCell ref="A284:W284"/>
    <mergeCell ref="A285:W285"/>
    <mergeCell ref="A286:W286"/>
    <mergeCell ref="A291:W291"/>
    <mergeCell ref="A293:W293"/>
    <mergeCell ref="A294:W294"/>
    <mergeCell ref="A295:W295"/>
    <mergeCell ref="A304:W304"/>
    <mergeCell ref="A313:W313"/>
    <mergeCell ref="A314:W314"/>
    <mergeCell ref="A322:W322"/>
    <mergeCell ref="A323:W323"/>
    <mergeCell ref="D347:H347"/>
    <mergeCell ref="A329:W329"/>
    <mergeCell ref="A330:W330"/>
    <mergeCell ref="O337:P337"/>
    <mergeCell ref="S337:T337"/>
    <mergeCell ref="B343:F343"/>
  </mergeCells>
  <pageMargins left="0.7" right="0.7" top="0.75" bottom="0.75" header="0.511811023622047" footer="0.511811023622047"/>
  <pageSetup paperSize="9"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55"/>
  <sheetViews>
    <sheetView topLeftCell="B26" zoomScaleNormal="100" workbookViewId="0">
      <selection activeCell="E46" sqref="E46:H54"/>
    </sheetView>
  </sheetViews>
  <sheetFormatPr baseColWidth="10" defaultColWidth="11" defaultRowHeight="16"/>
  <cols>
    <col min="5" max="5" width="33.83203125" customWidth="1"/>
    <col min="6" max="6" width="34.5" customWidth="1"/>
    <col min="7" max="7" width="32.33203125" customWidth="1"/>
    <col min="8" max="8" width="27" customWidth="1"/>
  </cols>
  <sheetData>
    <row r="1" spans="1:8" ht="15.75" customHeight="1">
      <c r="A1" s="250"/>
    </row>
    <row r="2" spans="1:8" ht="15.75" customHeight="1">
      <c r="A2" s="250"/>
    </row>
    <row r="3" spans="1:8" ht="15.75" customHeight="1">
      <c r="A3" s="251"/>
    </row>
    <row r="4" spans="1:8" ht="15.75" customHeight="1">
      <c r="A4" s="251"/>
    </row>
    <row r="5" spans="1:8" ht="15.75" customHeight="1">
      <c r="A5" s="251"/>
      <c r="E5" s="320"/>
      <c r="F5" s="276"/>
      <c r="G5" s="276"/>
      <c r="H5" s="276"/>
    </row>
    <row r="6" spans="1:8" ht="15.75" customHeight="1">
      <c r="A6" s="251"/>
      <c r="E6" s="320"/>
      <c r="F6" s="276"/>
      <c r="G6" s="277"/>
      <c r="H6" s="277"/>
    </row>
    <row r="7" spans="1:8" ht="29.25" customHeight="1">
      <c r="A7" s="251"/>
      <c r="E7" s="320"/>
      <c r="F7" s="278"/>
      <c r="G7" s="277"/>
      <c r="H7" s="277"/>
    </row>
    <row r="8" spans="1:8" ht="29.25" customHeight="1">
      <c r="A8" s="251"/>
      <c r="E8" s="320"/>
      <c r="F8" s="278"/>
      <c r="G8" s="277"/>
      <c r="H8" s="277"/>
    </row>
    <row r="9" spans="1:8" ht="29.25" customHeight="1">
      <c r="A9" s="251"/>
      <c r="E9" s="320"/>
      <c r="F9" s="278"/>
      <c r="G9" s="277"/>
      <c r="H9" s="277"/>
    </row>
    <row r="10" spans="1:8" ht="29.25" customHeight="1">
      <c r="E10" s="320"/>
      <c r="F10" s="278"/>
      <c r="G10" s="277"/>
      <c r="H10" s="277"/>
    </row>
    <row r="11" spans="1:8" ht="29.25" customHeight="1">
      <c r="E11" s="320"/>
      <c r="F11" s="278"/>
      <c r="G11" s="277"/>
      <c r="H11" s="277"/>
    </row>
    <row r="12" spans="1:8" ht="29.25" customHeight="1">
      <c r="E12" s="320"/>
      <c r="F12" s="278"/>
      <c r="G12" s="277"/>
      <c r="H12" s="277"/>
    </row>
    <row r="13" spans="1:8" ht="29.25" customHeight="1">
      <c r="E13" s="320"/>
      <c r="F13" s="278"/>
      <c r="G13" s="277"/>
      <c r="H13" s="277"/>
    </row>
    <row r="14" spans="1:8" ht="15.75" customHeight="1">
      <c r="E14" s="320"/>
      <c r="F14" s="276"/>
      <c r="G14" s="277"/>
      <c r="H14" s="277"/>
    </row>
    <row r="15" spans="1:8" ht="57.75" customHeight="1">
      <c r="E15" s="320"/>
      <c r="F15" s="278"/>
      <c r="G15" s="277"/>
      <c r="H15" s="277"/>
    </row>
    <row r="16" spans="1:8" ht="29.25" customHeight="1">
      <c r="E16" s="320"/>
      <c r="F16" s="278"/>
      <c r="G16" s="277"/>
      <c r="H16" s="277"/>
    </row>
    <row r="17" spans="5:8" ht="29.25" customHeight="1">
      <c r="E17" s="320"/>
      <c r="F17" s="278"/>
      <c r="G17" s="277"/>
      <c r="H17" s="277"/>
    </row>
    <row r="18" spans="5:8" ht="117.75" customHeight="1">
      <c r="E18" s="279"/>
      <c r="F18" s="276"/>
      <c r="G18" s="280"/>
      <c r="H18" s="280"/>
    </row>
    <row r="19" spans="5:8" ht="87" customHeight="1">
      <c r="E19" s="321"/>
      <c r="F19" s="322"/>
      <c r="G19" s="322"/>
      <c r="H19" s="322"/>
    </row>
    <row r="20" spans="5:8" ht="15.75" customHeight="1">
      <c r="E20" s="321"/>
      <c r="F20" s="276"/>
      <c r="G20" s="277"/>
      <c r="H20" s="277"/>
    </row>
    <row r="21" spans="5:8" ht="29.25" customHeight="1">
      <c r="E21" s="321"/>
      <c r="F21" s="278"/>
      <c r="G21" s="277"/>
      <c r="H21" s="277"/>
    </row>
    <row r="22" spans="5:8" ht="15.75" customHeight="1">
      <c r="E22" s="321"/>
      <c r="F22" s="276"/>
      <c r="G22" s="277"/>
      <c r="H22" s="277"/>
    </row>
    <row r="23" spans="5:8" ht="15.75" customHeight="1">
      <c r="E23" s="321"/>
      <c r="F23" s="276"/>
      <c r="G23" s="277"/>
      <c r="H23" s="277"/>
    </row>
    <row r="24" spans="5:8" ht="15.75" customHeight="1">
      <c r="E24" s="321"/>
      <c r="F24" s="276"/>
      <c r="G24" s="277"/>
      <c r="H24" s="277"/>
    </row>
    <row r="25" spans="5:8" ht="15.75" customHeight="1">
      <c r="F25" s="275"/>
      <c r="G25" s="252"/>
      <c r="H25" s="252"/>
    </row>
    <row r="27" spans="5:8">
      <c r="E27" s="253" t="s">
        <v>816</v>
      </c>
    </row>
    <row r="28" spans="5:8">
      <c r="E28" s="254" t="s">
        <v>817</v>
      </c>
      <c r="F28" s="254" t="s">
        <v>818</v>
      </c>
      <c r="G28" s="254" t="s">
        <v>60</v>
      </c>
      <c r="H28" s="254" t="s">
        <v>61</v>
      </c>
    </row>
    <row r="29" spans="5:8">
      <c r="E29" s="255">
        <v>1</v>
      </c>
      <c r="F29" s="256" t="s">
        <v>38</v>
      </c>
      <c r="G29" s="257">
        <f>+'ESPECIFICACIONES TECNICAS (ev)'!X9</f>
        <v>464806701.66666663</v>
      </c>
      <c r="H29" s="257">
        <f>+'ESPECIFICACIONES TECNICAS (ev)'!Y9</f>
        <v>461624035</v>
      </c>
    </row>
    <row r="30" spans="5:8">
      <c r="E30" s="255">
        <v>1</v>
      </c>
      <c r="F30" s="256" t="s">
        <v>819</v>
      </c>
      <c r="G30" s="257">
        <f>+'ESPECIFICACIONES TECNICAS (ev)'!X50</f>
        <v>1337169017.8983192</v>
      </c>
      <c r="H30" s="257">
        <f>+'ESPECIFICACIONES TECNICAS (ev)'!Y50</f>
        <v>1315900642.4795518</v>
      </c>
    </row>
    <row r="31" spans="5:8">
      <c r="E31" s="255">
        <v>1</v>
      </c>
      <c r="F31" s="256" t="s">
        <v>820</v>
      </c>
      <c r="G31" s="257">
        <f>+'ESPECIFICACIONES TECNICAS (ev)'!O52</f>
        <v>350000000</v>
      </c>
      <c r="H31" s="257">
        <f>+'ESPECIFICACIONES TECNICAS (ev)'!S52</f>
        <v>350000000</v>
      </c>
    </row>
    <row r="32" spans="5:8">
      <c r="E32" s="255">
        <v>1</v>
      </c>
      <c r="F32" s="256" t="s">
        <v>821</v>
      </c>
      <c r="G32" s="257">
        <f>+'ESPECIFICACIONES TECNICAS (ev)'!X93</f>
        <v>71627714.995445386</v>
      </c>
      <c r="H32" s="257">
        <f>+'ESPECIFICACIONES TECNICAS (ev)'!Y93</f>
        <v>71540980.797414571</v>
      </c>
    </row>
    <row r="33" spans="5:8">
      <c r="E33" s="255">
        <v>1</v>
      </c>
      <c r="F33" s="256" t="s">
        <v>822</v>
      </c>
      <c r="G33" s="257">
        <f>+'ESPECIFICACIONES TECNICAS (ev)'!X121</f>
        <v>68795122.917985991</v>
      </c>
      <c r="H33" s="257">
        <f>+'ESPECIFICACIONES TECNICAS (ev)'!Y121</f>
        <v>71086202.976859942</v>
      </c>
    </row>
    <row r="34" spans="5:8">
      <c r="E34" s="255">
        <v>1</v>
      </c>
      <c r="F34" s="256" t="s">
        <v>823</v>
      </c>
      <c r="G34" s="257">
        <f>+'ESPECIFICACIONES TECNICAS (ev)'!X163</f>
        <v>54557587.422340333</v>
      </c>
      <c r="H34" s="257">
        <f>+'ESPECIFICACIONES TECNICAS (ev)'!Y163</f>
        <v>54245838.832147062</v>
      </c>
    </row>
    <row r="35" spans="5:8">
      <c r="E35" s="255">
        <v>1</v>
      </c>
      <c r="F35" s="256" t="s">
        <v>824</v>
      </c>
      <c r="G35" s="257">
        <f>+'ESPECIFICACIONES TECNICAS (ev)'!X179</f>
        <v>224639005.58655465</v>
      </c>
      <c r="H35" s="257">
        <f>+'ESPECIFICACIONES TECNICAS (ev)'!Y179</f>
        <v>219609291.6862745</v>
      </c>
    </row>
    <row r="36" spans="5:8">
      <c r="E36" s="255">
        <v>1</v>
      </c>
      <c r="F36" s="256" t="s">
        <v>825</v>
      </c>
      <c r="G36" s="257">
        <f>+'ESPECIFICACIONES TECNICAS (ev)'!X233</f>
        <v>85284337.412983164</v>
      </c>
      <c r="H36" s="257">
        <f>+'ESPECIFICACIONES TECNICAS (ev)'!Y233</f>
        <v>84882412.203394935</v>
      </c>
    </row>
    <row r="37" spans="5:8">
      <c r="E37" s="255">
        <v>1</v>
      </c>
      <c r="F37" s="256" t="s">
        <v>826</v>
      </c>
      <c r="G37" s="257">
        <f>+'ESPECIFICACIONES TECNICAS (ev)'!X267</f>
        <v>67339319.092436969</v>
      </c>
      <c r="H37" s="257">
        <f>+'ESPECIFICACIONES TECNICAS (ev)'!Y267</f>
        <v>68527232.957983196</v>
      </c>
    </row>
    <row r="38" spans="5:8">
      <c r="E38" s="255">
        <v>1</v>
      </c>
      <c r="F38" s="256" t="s">
        <v>827</v>
      </c>
      <c r="G38" s="257">
        <f>+'ESPECIFICACIONES TECNICAS (ev)'!X270</f>
        <v>45659327.731092438</v>
      </c>
      <c r="H38" s="257">
        <f>+'ESPECIFICACIONES TECNICAS (ev)'!Y270</f>
        <v>45495798.319327734</v>
      </c>
    </row>
    <row r="39" spans="5:8">
      <c r="E39" s="255">
        <v>1</v>
      </c>
      <c r="F39" s="256" t="s">
        <v>828</v>
      </c>
      <c r="G39" s="257">
        <f>+'ESPECIFICACIONES TECNICAS (ev)'!X273</f>
        <v>45659327.731092438</v>
      </c>
      <c r="H39" s="257">
        <f>+'ESPECIFICACIONES TECNICAS (ev)'!Y273</f>
        <v>45495798.319327734</v>
      </c>
    </row>
    <row r="40" spans="5:8">
      <c r="E40" s="255">
        <v>2</v>
      </c>
      <c r="F40" s="256" t="s">
        <v>829</v>
      </c>
      <c r="G40" s="257">
        <f>+'ESPECIFICACIONES TECNICAS (ev)'!O331</f>
        <v>90000000</v>
      </c>
      <c r="H40" s="257">
        <f>+'ESPECIFICACIONES TECNICAS (ev)'!S331</f>
        <v>90000000</v>
      </c>
    </row>
    <row r="41" spans="5:8">
      <c r="E41" s="255">
        <v>1</v>
      </c>
      <c r="F41" s="256" t="s">
        <v>830</v>
      </c>
      <c r="G41" s="257">
        <f>+'ESPECIFICACIONES TECNICAS (ev)'!X282</f>
        <v>235800030</v>
      </c>
      <c r="H41" s="257">
        <f>+'ESPECIFICACIONES TECNICAS (ev)'!Y282</f>
        <v>235800030</v>
      </c>
    </row>
    <row r="42" spans="5:8">
      <c r="E42" s="255">
        <v>3</v>
      </c>
      <c r="F42" s="256" t="s">
        <v>831</v>
      </c>
      <c r="G42" s="257">
        <f>+'ESPECIFICACIONES TECNICAS (ev)'!X293</f>
        <v>24448834.733893562</v>
      </c>
      <c r="H42" s="257">
        <f>+'ESPECIFICACIONES TECNICAS (ev)'!Y293</f>
        <v>24240571.428571433</v>
      </c>
    </row>
    <row r="43" spans="5:8">
      <c r="E43" s="255">
        <v>3</v>
      </c>
      <c r="F43" s="256" t="s">
        <v>832</v>
      </c>
      <c r="G43" s="257">
        <f>+'ESPECIFICACIONES TECNICAS (ev)'!X302</f>
        <v>24881803.921568632</v>
      </c>
      <c r="H43" s="257">
        <f>+'ESPECIFICACIONES TECNICAS (ev)'!Y302</f>
        <v>24676789.915966384</v>
      </c>
    </row>
    <row r="44" spans="5:8">
      <c r="E44" s="255">
        <v>3</v>
      </c>
      <c r="F44" s="256" t="s">
        <v>833</v>
      </c>
      <c r="G44" s="257">
        <f>+'ESPECIFICACIONES TECNICAS (ev)'!X311</f>
        <v>9682109.2436974812</v>
      </c>
      <c r="H44" s="257">
        <f>+'ESPECIFICACIONES TECNICAS (ev)'!Y311</f>
        <v>9714428.5714285709</v>
      </c>
    </row>
    <row r="45" spans="5:8">
      <c r="E45" s="255">
        <v>3</v>
      </c>
      <c r="F45" s="256" t="s">
        <v>834</v>
      </c>
      <c r="G45" s="257">
        <f>+'ESPECIFICACIONES TECNICAS (ev)'!X318</f>
        <v>21822128.851540614</v>
      </c>
      <c r="H45" s="257">
        <f>+'ESPECIFICACIONES TECNICAS (ev)'!Y318</f>
        <v>21634453.781512603</v>
      </c>
    </row>
    <row r="46" spans="5:8">
      <c r="E46" s="253" t="s">
        <v>835</v>
      </c>
    </row>
    <row r="47" spans="5:8" ht="51">
      <c r="E47" s="255">
        <v>1</v>
      </c>
      <c r="F47" s="68" t="s">
        <v>836</v>
      </c>
      <c r="G47" s="257">
        <f>SUMIF($E$29:$E$45,E47,$G$29:$G$45)</f>
        <v>3051337492.4549165</v>
      </c>
      <c r="H47" s="257">
        <f>SUMIF($E$29:$E$45,E47,$H$29:$H$45)</f>
        <v>3024208263.5722818</v>
      </c>
    </row>
    <row r="48" spans="5:8" ht="34">
      <c r="E48" s="255">
        <v>2</v>
      </c>
      <c r="F48" s="68" t="s">
        <v>837</v>
      </c>
      <c r="G48" s="257">
        <f>SUMIF($E$29:$E$45,E48,$G$29:$G$45)</f>
        <v>90000000</v>
      </c>
      <c r="H48" s="257">
        <f>SUMIF($E$29:$E$45,E48,$H$29:$H$45)</f>
        <v>90000000</v>
      </c>
    </row>
    <row r="49" spans="5:8" ht="34">
      <c r="E49" s="255">
        <v>3</v>
      </c>
      <c r="F49" s="68" t="s">
        <v>838</v>
      </c>
      <c r="G49" s="257">
        <f>SUMIF($E$29:$E$45,E49,$G$29:$G$45)</f>
        <v>80834876.75070028</v>
      </c>
      <c r="H49" s="257">
        <f>SUMIF($E$29:$E$45,E49,$H$29:$H$45)</f>
        <v>80266243.697478995</v>
      </c>
    </row>
    <row r="50" spans="5:8">
      <c r="E50" s="256"/>
      <c r="F50" s="258" t="s">
        <v>839</v>
      </c>
      <c r="G50" s="259">
        <f>SUM(G47:G49)</f>
        <v>3222172369.205617</v>
      </c>
      <c r="H50" s="259">
        <f>SUM(H47:H49)</f>
        <v>3194474507.2697606</v>
      </c>
    </row>
    <row r="51" spans="5:8">
      <c r="E51" s="256"/>
      <c r="F51" s="258" t="s">
        <v>840</v>
      </c>
      <c r="G51" s="259">
        <f>+'ESPECIFICACIONES TECNICAS (ev)'!P338</f>
        <v>3222172369.2056122</v>
      </c>
      <c r="H51" s="259">
        <f>+'ESPECIFICACIONES TECNICAS (ev)'!T338</f>
        <v>3194474507.2697549</v>
      </c>
    </row>
    <row r="52" spans="5:8">
      <c r="E52" s="256"/>
      <c r="F52" s="258" t="s">
        <v>841</v>
      </c>
      <c r="G52" s="259">
        <f>G50-G51</f>
        <v>4.76837158203125E-6</v>
      </c>
      <c r="H52" s="259">
        <f>H50-H51</f>
        <v>5.7220458984375E-6</v>
      </c>
    </row>
    <row r="53" spans="5:8">
      <c r="E53" s="256"/>
      <c r="F53" s="258" t="s">
        <v>842</v>
      </c>
      <c r="G53" s="259">
        <f>G50*0.19</f>
        <v>612212750.14906728</v>
      </c>
      <c r="H53" s="259">
        <f>H50*0.19</f>
        <v>606950156.38125455</v>
      </c>
    </row>
    <row r="54" spans="5:8">
      <c r="E54" s="256"/>
      <c r="F54" s="258" t="s">
        <v>843</v>
      </c>
      <c r="G54" s="259">
        <f>G50+G53</f>
        <v>3834385119.3546844</v>
      </c>
      <c r="H54" s="259">
        <f>H50+H53</f>
        <v>3801424663.6510153</v>
      </c>
    </row>
    <row r="55" spans="5:8" ht="31.5" customHeight="1">
      <c r="F55" s="323"/>
      <c r="G55" s="323"/>
      <c r="H55" s="323"/>
    </row>
  </sheetData>
  <mergeCells count="4">
    <mergeCell ref="E5:E17"/>
    <mergeCell ref="E19:E24"/>
    <mergeCell ref="F19:H19"/>
    <mergeCell ref="F55:H55"/>
  </mergeCells>
  <dataValidations count="1">
    <dataValidation type="list" sqref="E29:E45" xr:uid="{00000000-0002-0000-0200-000000000000}">
      <formula1>"1,2,3,PEND"</formula1>
      <formula2>0</formula2>
    </dataValidation>
  </dataValidations>
  <pageMargins left="0.7" right="0.7" top="0.75" bottom="0.75" header="0.511811023622047" footer="0.511811023622047"/>
  <pageSetup paperSize="9" orientation="portrait"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C3:J21"/>
  <sheetViews>
    <sheetView topLeftCell="A2" zoomScaleNormal="100" workbookViewId="0">
      <selection activeCell="D10" sqref="D10"/>
    </sheetView>
  </sheetViews>
  <sheetFormatPr baseColWidth="10" defaultColWidth="11" defaultRowHeight="16"/>
  <sheetData>
    <row r="3" spans="3:10" ht="68.25" customHeight="1">
      <c r="C3" s="260" t="s">
        <v>844</v>
      </c>
    </row>
    <row r="4" spans="3:10" ht="27.75" customHeight="1">
      <c r="C4" s="261" t="s">
        <v>845</v>
      </c>
      <c r="D4" s="262" t="s">
        <v>846</v>
      </c>
      <c r="E4" s="262" t="s">
        <v>847</v>
      </c>
      <c r="F4" s="324" t="s">
        <v>848</v>
      </c>
      <c r="G4" s="324"/>
      <c r="H4" s="262" t="s">
        <v>849</v>
      </c>
      <c r="I4" s="324" t="s">
        <v>850</v>
      </c>
      <c r="J4" s="324"/>
    </row>
    <row r="5" spans="3:10" ht="27.75" customHeight="1">
      <c r="C5" s="263">
        <v>1</v>
      </c>
      <c r="D5" s="264" t="s">
        <v>851</v>
      </c>
      <c r="E5" s="265" t="s">
        <v>852</v>
      </c>
      <c r="F5" s="326">
        <v>300000</v>
      </c>
      <c r="G5" s="326"/>
      <c r="H5" s="266">
        <v>200000</v>
      </c>
      <c r="I5" s="326">
        <v>100000</v>
      </c>
      <c r="J5" s="326"/>
    </row>
    <row r="6" spans="3:10" ht="27.75" customHeight="1">
      <c r="C6" s="263">
        <v>2</v>
      </c>
      <c r="D6" s="264" t="s">
        <v>853</v>
      </c>
      <c r="E6" s="265" t="s">
        <v>852</v>
      </c>
      <c r="F6" s="326">
        <v>300000</v>
      </c>
      <c r="G6" s="326"/>
      <c r="H6" s="266">
        <v>200000</v>
      </c>
      <c r="I6" s="326">
        <v>100000</v>
      </c>
      <c r="J6" s="326"/>
    </row>
    <row r="7" spans="3:10" ht="27.75" customHeight="1">
      <c r="C7" s="263">
        <v>3</v>
      </c>
      <c r="D7" s="264" t="s">
        <v>854</v>
      </c>
      <c r="E7" s="265" t="s">
        <v>852</v>
      </c>
      <c r="F7" s="326">
        <v>500000</v>
      </c>
      <c r="G7" s="326"/>
      <c r="H7" s="266">
        <v>300000</v>
      </c>
      <c r="I7" s="326">
        <v>100000</v>
      </c>
      <c r="J7" s="326"/>
    </row>
    <row r="8" spans="3:10" ht="27.75" customHeight="1">
      <c r="C8" s="263">
        <v>5</v>
      </c>
      <c r="D8" s="264" t="s">
        <v>855</v>
      </c>
      <c r="E8" s="265" t="s">
        <v>852</v>
      </c>
      <c r="F8" s="326">
        <v>800000</v>
      </c>
      <c r="G8" s="326"/>
      <c r="H8" s="266">
        <v>500000</v>
      </c>
      <c r="I8" s="326">
        <v>300000</v>
      </c>
      <c r="J8" s="326"/>
    </row>
    <row r="9" spans="3:10" ht="27.75" customHeight="1">
      <c r="C9" s="263">
        <v>6</v>
      </c>
      <c r="D9" s="264" t="s">
        <v>856</v>
      </c>
      <c r="E9" s="265" t="s">
        <v>852</v>
      </c>
      <c r="F9" s="326">
        <v>500000</v>
      </c>
      <c r="G9" s="326"/>
      <c r="H9" s="266">
        <v>300000</v>
      </c>
      <c r="I9" s="326">
        <v>100000</v>
      </c>
      <c r="J9" s="326"/>
    </row>
    <row r="10" spans="3:10" ht="27.75" customHeight="1">
      <c r="C10" s="263">
        <v>7</v>
      </c>
      <c r="D10" s="264" t="s">
        <v>857</v>
      </c>
      <c r="E10" s="265" t="s">
        <v>852</v>
      </c>
      <c r="F10" s="326">
        <v>500000</v>
      </c>
      <c r="G10" s="326"/>
      <c r="H10" s="266">
        <v>300000</v>
      </c>
      <c r="I10" s="326">
        <v>100000</v>
      </c>
      <c r="J10" s="326"/>
    </row>
    <row r="11" spans="3:10" ht="15.75" customHeight="1">
      <c r="C11" s="324" t="s">
        <v>858</v>
      </c>
      <c r="D11" s="324"/>
      <c r="E11" s="324"/>
      <c r="F11" s="324"/>
      <c r="G11" s="325">
        <f>SUM(F5:J10)</f>
        <v>5500000</v>
      </c>
      <c r="H11" s="325"/>
      <c r="I11" s="325"/>
      <c r="J11" s="325"/>
    </row>
    <row r="12" spans="3:10" ht="27.75" customHeight="1">
      <c r="C12" s="263">
        <v>1</v>
      </c>
      <c r="D12" s="264" t="s">
        <v>851</v>
      </c>
      <c r="E12" s="265" t="s">
        <v>859</v>
      </c>
      <c r="F12" s="326">
        <v>300000</v>
      </c>
      <c r="G12" s="326"/>
      <c r="H12" s="266">
        <v>200000</v>
      </c>
      <c r="I12" s="326">
        <v>100000</v>
      </c>
      <c r="J12" s="326"/>
    </row>
    <row r="13" spans="3:10" ht="27.75" customHeight="1">
      <c r="C13" s="263">
        <v>2</v>
      </c>
      <c r="D13" s="264" t="s">
        <v>853</v>
      </c>
      <c r="E13" s="265" t="s">
        <v>859</v>
      </c>
      <c r="F13" s="326">
        <v>300000</v>
      </c>
      <c r="G13" s="326"/>
      <c r="H13" s="266">
        <v>200000</v>
      </c>
      <c r="I13" s="326">
        <v>100000</v>
      </c>
      <c r="J13" s="326"/>
    </row>
    <row r="14" spans="3:10" ht="27.75" customHeight="1">
      <c r="C14" s="263">
        <v>3</v>
      </c>
      <c r="D14" s="264" t="s">
        <v>854</v>
      </c>
      <c r="E14" s="265" t="s">
        <v>859</v>
      </c>
      <c r="F14" s="326">
        <v>500000</v>
      </c>
      <c r="G14" s="326"/>
      <c r="H14" s="266">
        <v>300000</v>
      </c>
      <c r="I14" s="326">
        <v>100000</v>
      </c>
      <c r="J14" s="326"/>
    </row>
    <row r="15" spans="3:10" ht="27.75" customHeight="1">
      <c r="C15" s="263">
        <v>4</v>
      </c>
      <c r="D15" s="264" t="s">
        <v>855</v>
      </c>
      <c r="E15" s="265" t="s">
        <v>859</v>
      </c>
      <c r="F15" s="326">
        <v>800000</v>
      </c>
      <c r="G15" s="326"/>
      <c r="H15" s="266">
        <v>500000</v>
      </c>
      <c r="I15" s="326">
        <v>300000</v>
      </c>
      <c r="J15" s="326"/>
    </row>
    <row r="16" spans="3:10" ht="27.75" customHeight="1">
      <c r="C16" s="263">
        <v>5</v>
      </c>
      <c r="D16" s="264" t="s">
        <v>856</v>
      </c>
      <c r="E16" s="265" t="s">
        <v>859</v>
      </c>
      <c r="F16" s="326">
        <v>500000</v>
      </c>
      <c r="G16" s="326"/>
      <c r="H16" s="266">
        <v>300000</v>
      </c>
      <c r="I16" s="326">
        <v>100000</v>
      </c>
      <c r="J16" s="326"/>
    </row>
    <row r="17" spans="3:10" ht="27.75" customHeight="1">
      <c r="C17" s="263">
        <v>6</v>
      </c>
      <c r="D17" s="264" t="s">
        <v>857</v>
      </c>
      <c r="E17" s="265" t="s">
        <v>859</v>
      </c>
      <c r="F17" s="326">
        <v>500000</v>
      </c>
      <c r="G17" s="326"/>
      <c r="H17" s="266">
        <v>300000</v>
      </c>
      <c r="I17" s="326">
        <v>100000</v>
      </c>
      <c r="J17" s="326"/>
    </row>
    <row r="18" spans="3:10" ht="15.75" customHeight="1">
      <c r="C18" s="324" t="s">
        <v>860</v>
      </c>
      <c r="D18" s="324"/>
      <c r="E18" s="324"/>
      <c r="F18" s="324"/>
      <c r="G18" s="325">
        <f>SUM(F12:J17)</f>
        <v>5500000</v>
      </c>
      <c r="H18" s="325"/>
      <c r="I18" s="325"/>
      <c r="J18" s="325"/>
    </row>
    <row r="19" spans="3:10" ht="15.75" customHeight="1">
      <c r="C19" s="324" t="s">
        <v>861</v>
      </c>
      <c r="D19" s="324"/>
      <c r="E19" s="324"/>
      <c r="F19" s="324"/>
      <c r="G19" s="325">
        <f>SUM(G18,G11)</f>
        <v>11000000</v>
      </c>
      <c r="H19" s="325"/>
      <c r="I19" s="325"/>
      <c r="J19" s="325"/>
    </row>
    <row r="20" spans="3:10" ht="15.75" customHeight="1">
      <c r="C20" s="267"/>
      <c r="D20" s="267"/>
      <c r="E20" s="267"/>
      <c r="F20" s="267"/>
      <c r="G20" s="267"/>
      <c r="H20" s="267"/>
      <c r="I20" s="267"/>
      <c r="J20" s="267"/>
    </row>
    <row r="21" spans="3:10" ht="15.75" customHeight="1">
      <c r="C21" s="260"/>
    </row>
  </sheetData>
  <mergeCells count="32">
    <mergeCell ref="F4:G4"/>
    <mergeCell ref="I4:J4"/>
    <mergeCell ref="F5:G5"/>
    <mergeCell ref="I5:J5"/>
    <mergeCell ref="F6:G6"/>
    <mergeCell ref="I6:J6"/>
    <mergeCell ref="F7:G7"/>
    <mergeCell ref="I7:J7"/>
    <mergeCell ref="F8:G8"/>
    <mergeCell ref="I8:J8"/>
    <mergeCell ref="F9:G9"/>
    <mergeCell ref="I9:J9"/>
    <mergeCell ref="F10:G10"/>
    <mergeCell ref="I10:J10"/>
    <mergeCell ref="C11:F11"/>
    <mergeCell ref="G11:J11"/>
    <mergeCell ref="F12:G12"/>
    <mergeCell ref="I12:J12"/>
    <mergeCell ref="F13:G13"/>
    <mergeCell ref="I13:J13"/>
    <mergeCell ref="F14:G14"/>
    <mergeCell ref="I14:J14"/>
    <mergeCell ref="F15:G15"/>
    <mergeCell ref="I15:J15"/>
    <mergeCell ref="C19:F19"/>
    <mergeCell ref="G19:J19"/>
    <mergeCell ref="F16:G16"/>
    <mergeCell ref="I16:J16"/>
    <mergeCell ref="F17:G17"/>
    <mergeCell ref="I17:J17"/>
    <mergeCell ref="C18:F18"/>
    <mergeCell ref="G18:J18"/>
  </mergeCells>
  <pageMargins left="0.7" right="0.7" top="0.75" bottom="0.75" header="0.511811023622047" footer="0.511811023622047"/>
  <pageSetup paperSize="9" orientation="portrait"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44"/>
  <sheetViews>
    <sheetView zoomScaleNormal="100" workbookViewId="0">
      <pane ySplit="4" topLeftCell="A5" activePane="bottomLeft" state="frozen"/>
      <selection pane="bottomLeft" activeCell="E9" sqref="E9"/>
    </sheetView>
  </sheetViews>
  <sheetFormatPr baseColWidth="10" defaultColWidth="8.6640625" defaultRowHeight="16"/>
  <cols>
    <col min="1" max="1" width="24" customWidth="1"/>
    <col min="2" max="2" width="18" customWidth="1"/>
    <col min="3" max="3" width="38" customWidth="1"/>
    <col min="4" max="4" width="60" customWidth="1"/>
    <col min="5" max="5" width="48" customWidth="1"/>
    <col min="6" max="6" width="60" customWidth="1"/>
    <col min="7" max="7" width="26" customWidth="1"/>
  </cols>
  <sheetData>
    <row r="1" spans="1:7" ht="17">
      <c r="A1" s="268" t="s">
        <v>862</v>
      </c>
    </row>
    <row r="2" spans="1:7" ht="31.5" customHeight="1">
      <c r="A2" s="323" t="s">
        <v>863</v>
      </c>
      <c r="B2" s="323"/>
      <c r="C2" s="323"/>
      <c r="D2" s="323"/>
      <c r="E2" s="323"/>
      <c r="F2" s="323"/>
      <c r="G2" s="323"/>
    </row>
    <row r="4" spans="1:7">
      <c r="A4" s="269" t="s">
        <v>864</v>
      </c>
      <c r="B4" s="269" t="s">
        <v>865</v>
      </c>
      <c r="C4" s="269" t="s">
        <v>866</v>
      </c>
      <c r="D4" s="269" t="s">
        <v>867</v>
      </c>
      <c r="E4" s="269" t="s">
        <v>868</v>
      </c>
      <c r="F4" s="269" t="s">
        <v>869</v>
      </c>
      <c r="G4" s="269" t="s">
        <v>870</v>
      </c>
    </row>
    <row r="5" spans="1:7" ht="68">
      <c r="A5" s="270" t="s">
        <v>871</v>
      </c>
      <c r="B5" s="270" t="s">
        <v>872</v>
      </c>
      <c r="C5" s="270" t="s">
        <v>873</v>
      </c>
      <c r="D5" s="270" t="s">
        <v>874</v>
      </c>
      <c r="E5" s="270" t="s">
        <v>875</v>
      </c>
      <c r="F5" s="270" t="s">
        <v>876</v>
      </c>
      <c r="G5" s="271" t="s">
        <v>877</v>
      </c>
    </row>
    <row r="6" spans="1:7" ht="85">
      <c r="A6" s="270" t="s">
        <v>871</v>
      </c>
      <c r="B6" s="270" t="s">
        <v>878</v>
      </c>
      <c r="C6" s="270" t="s">
        <v>879</v>
      </c>
      <c r="D6" s="270" t="s">
        <v>880</v>
      </c>
      <c r="E6" s="270" t="s">
        <v>881</v>
      </c>
      <c r="F6" s="270" t="s">
        <v>882</v>
      </c>
      <c r="G6" s="271" t="s">
        <v>845</v>
      </c>
    </row>
    <row r="7" spans="1:7" ht="34">
      <c r="A7" s="270" t="s">
        <v>871</v>
      </c>
      <c r="B7" s="270" t="s">
        <v>883</v>
      </c>
      <c r="C7" s="270" t="s">
        <v>884</v>
      </c>
      <c r="D7" s="270" t="s">
        <v>885</v>
      </c>
      <c r="E7" s="270" t="s">
        <v>886</v>
      </c>
      <c r="F7" s="270" t="s">
        <v>887</v>
      </c>
      <c r="G7" s="271" t="s">
        <v>845</v>
      </c>
    </row>
    <row r="8" spans="1:7" ht="34">
      <c r="A8" s="270" t="s">
        <v>871</v>
      </c>
      <c r="B8" s="270" t="s">
        <v>888</v>
      </c>
      <c r="C8" s="270" t="s">
        <v>889</v>
      </c>
      <c r="D8" s="270" t="s">
        <v>890</v>
      </c>
      <c r="E8" s="270" t="s">
        <v>891</v>
      </c>
      <c r="F8" s="270" t="s">
        <v>892</v>
      </c>
      <c r="G8" s="271" t="s">
        <v>845</v>
      </c>
    </row>
    <row r="9" spans="1:7" ht="34">
      <c r="A9" s="270" t="s">
        <v>871</v>
      </c>
      <c r="B9" s="270" t="s">
        <v>893</v>
      </c>
      <c r="C9" s="270" t="s">
        <v>889</v>
      </c>
      <c r="D9" s="270" t="s">
        <v>894</v>
      </c>
      <c r="E9" s="270" t="s">
        <v>895</v>
      </c>
      <c r="F9" s="270" t="s">
        <v>896</v>
      </c>
      <c r="G9" s="271" t="s">
        <v>845</v>
      </c>
    </row>
    <row r="10" spans="1:7" ht="51">
      <c r="A10" s="270" t="s">
        <v>871</v>
      </c>
      <c r="B10" s="270" t="s">
        <v>897</v>
      </c>
      <c r="C10" s="270" t="s">
        <v>898</v>
      </c>
      <c r="D10" s="270" t="s">
        <v>899</v>
      </c>
      <c r="E10" s="270" t="s">
        <v>900</v>
      </c>
      <c r="F10" s="270" t="s">
        <v>901</v>
      </c>
      <c r="G10" s="271" t="s">
        <v>845</v>
      </c>
    </row>
    <row r="11" spans="1:7" ht="34">
      <c r="A11" s="270" t="s">
        <v>871</v>
      </c>
      <c r="B11" s="270" t="s">
        <v>902</v>
      </c>
      <c r="C11" s="270" t="s">
        <v>903</v>
      </c>
      <c r="D11" s="270" t="s">
        <v>904</v>
      </c>
      <c r="E11" s="270" t="s">
        <v>905</v>
      </c>
      <c r="F11" s="270" t="s">
        <v>906</v>
      </c>
      <c r="G11" s="271" t="s">
        <v>845</v>
      </c>
    </row>
    <row r="12" spans="1:7" ht="34">
      <c r="A12" s="270" t="s">
        <v>871</v>
      </c>
      <c r="B12" s="270" t="s">
        <v>907</v>
      </c>
      <c r="C12" s="270" t="s">
        <v>908</v>
      </c>
      <c r="D12" s="270" t="s">
        <v>909</v>
      </c>
      <c r="E12" s="270" t="s">
        <v>910</v>
      </c>
      <c r="F12" s="270" t="s">
        <v>911</v>
      </c>
      <c r="G12" s="271" t="s">
        <v>845</v>
      </c>
    </row>
    <row r="13" spans="1:7" ht="34">
      <c r="A13" s="270" t="s">
        <v>871</v>
      </c>
      <c r="B13" s="270" t="s">
        <v>912</v>
      </c>
      <c r="C13" s="270" t="s">
        <v>913</v>
      </c>
      <c r="D13" s="270" t="s">
        <v>914</v>
      </c>
      <c r="E13" s="270" t="s">
        <v>915</v>
      </c>
      <c r="F13" s="270" t="s">
        <v>916</v>
      </c>
      <c r="G13" s="271" t="s">
        <v>845</v>
      </c>
    </row>
    <row r="14" spans="1:7" ht="34">
      <c r="A14" s="270" t="s">
        <v>871</v>
      </c>
      <c r="B14" s="270" t="s">
        <v>917</v>
      </c>
      <c r="C14" s="270" t="s">
        <v>918</v>
      </c>
      <c r="D14" s="270" t="s">
        <v>919</v>
      </c>
      <c r="E14" s="270" t="s">
        <v>920</v>
      </c>
      <c r="F14" s="270" t="s">
        <v>921</v>
      </c>
      <c r="G14" s="271" t="s">
        <v>845</v>
      </c>
    </row>
    <row r="15" spans="1:7" ht="68">
      <c r="A15" s="270" t="s">
        <v>871</v>
      </c>
      <c r="B15" s="270" t="s">
        <v>922</v>
      </c>
      <c r="C15" s="270" t="s">
        <v>923</v>
      </c>
      <c r="D15" s="270" t="s">
        <v>924</v>
      </c>
      <c r="E15" s="270" t="s">
        <v>925</v>
      </c>
      <c r="F15" s="270" t="s">
        <v>926</v>
      </c>
      <c r="G15" s="271" t="s">
        <v>845</v>
      </c>
    </row>
    <row r="16" spans="1:7" ht="68">
      <c r="A16" s="270" t="s">
        <v>871</v>
      </c>
      <c r="B16" s="270" t="s">
        <v>927</v>
      </c>
      <c r="C16" s="270" t="s">
        <v>928</v>
      </c>
      <c r="D16" s="270" t="s">
        <v>929</v>
      </c>
      <c r="E16" s="270" t="s">
        <v>930</v>
      </c>
      <c r="F16" s="270" t="s">
        <v>931</v>
      </c>
      <c r="G16" s="271" t="s">
        <v>932</v>
      </c>
    </row>
    <row r="17" spans="1:7" ht="34">
      <c r="A17" s="270" t="s">
        <v>871</v>
      </c>
      <c r="B17" s="270" t="s">
        <v>933</v>
      </c>
      <c r="C17" s="270" t="s">
        <v>934</v>
      </c>
      <c r="D17" s="270" t="s">
        <v>935</v>
      </c>
      <c r="E17" s="270" t="s">
        <v>936</v>
      </c>
      <c r="F17" s="270" t="s">
        <v>937</v>
      </c>
      <c r="G17" s="272" t="s">
        <v>938</v>
      </c>
    </row>
    <row r="18" spans="1:7" ht="34">
      <c r="A18" s="270" t="s">
        <v>871</v>
      </c>
      <c r="B18" s="270" t="s">
        <v>939</v>
      </c>
      <c r="C18" s="270" t="s">
        <v>940</v>
      </c>
      <c r="D18" s="270" t="s">
        <v>941</v>
      </c>
      <c r="E18" s="270" t="s">
        <v>936</v>
      </c>
      <c r="F18" s="270" t="s">
        <v>942</v>
      </c>
      <c r="G18" s="272" t="s">
        <v>943</v>
      </c>
    </row>
    <row r="19" spans="1:7" ht="34">
      <c r="A19" s="270" t="s">
        <v>871</v>
      </c>
      <c r="B19" s="270" t="s">
        <v>944</v>
      </c>
      <c r="C19" s="270" t="s">
        <v>945</v>
      </c>
      <c r="D19" s="270" t="s">
        <v>946</v>
      </c>
      <c r="E19" s="270" t="s">
        <v>936</v>
      </c>
      <c r="F19" s="270" t="s">
        <v>947</v>
      </c>
      <c r="G19" s="271" t="s">
        <v>948</v>
      </c>
    </row>
    <row r="20" spans="1:7" ht="119">
      <c r="A20" s="270" t="s">
        <v>949</v>
      </c>
      <c r="B20" s="270" t="s">
        <v>950</v>
      </c>
      <c r="C20" s="270" t="s">
        <v>951</v>
      </c>
      <c r="D20" s="270" t="s">
        <v>952</v>
      </c>
      <c r="E20" s="270" t="s">
        <v>953</v>
      </c>
      <c r="F20" s="270" t="s">
        <v>954</v>
      </c>
      <c r="G20" s="271" t="s">
        <v>845</v>
      </c>
    </row>
    <row r="21" spans="1:7" ht="51">
      <c r="A21" s="270" t="s">
        <v>949</v>
      </c>
      <c r="B21" s="270" t="s">
        <v>955</v>
      </c>
      <c r="C21" s="270" t="s">
        <v>956</v>
      </c>
      <c r="D21" s="270" t="s">
        <v>957</v>
      </c>
      <c r="E21" s="270" t="s">
        <v>958</v>
      </c>
      <c r="F21" s="270" t="s">
        <v>959</v>
      </c>
      <c r="G21" s="271" t="s">
        <v>845</v>
      </c>
    </row>
    <row r="22" spans="1:7" ht="51">
      <c r="A22" s="270" t="s">
        <v>949</v>
      </c>
      <c r="B22" s="270" t="s">
        <v>960</v>
      </c>
      <c r="C22" s="270" t="s">
        <v>961</v>
      </c>
      <c r="D22" s="270" t="s">
        <v>962</v>
      </c>
      <c r="E22" s="270" t="s">
        <v>963</v>
      </c>
      <c r="F22" s="270" t="s">
        <v>964</v>
      </c>
      <c r="G22" s="271" t="s">
        <v>845</v>
      </c>
    </row>
    <row r="23" spans="1:7" ht="34">
      <c r="A23" s="270" t="s">
        <v>949</v>
      </c>
      <c r="B23" s="270" t="s">
        <v>965</v>
      </c>
      <c r="C23" s="270" t="s">
        <v>966</v>
      </c>
      <c r="D23" s="270" t="s">
        <v>967</v>
      </c>
      <c r="E23" s="270" t="s">
        <v>968</v>
      </c>
      <c r="F23" s="270" t="s">
        <v>969</v>
      </c>
      <c r="G23" s="271" t="s">
        <v>845</v>
      </c>
    </row>
    <row r="24" spans="1:7" ht="68">
      <c r="A24" s="270" t="s">
        <v>871</v>
      </c>
      <c r="B24" s="270" t="s">
        <v>970</v>
      </c>
      <c r="C24" s="270" t="s">
        <v>971</v>
      </c>
      <c r="D24" s="270" t="s">
        <v>972</v>
      </c>
      <c r="E24" s="270" t="s">
        <v>973</v>
      </c>
      <c r="F24" s="270" t="s">
        <v>974</v>
      </c>
      <c r="G24" s="271" t="s">
        <v>845</v>
      </c>
    </row>
    <row r="27" spans="1:7">
      <c r="A27" s="253" t="s">
        <v>975</v>
      </c>
    </row>
    <row r="28" spans="1:7">
      <c r="A28" s="269" t="s">
        <v>976</v>
      </c>
      <c r="B28" s="269" t="s">
        <v>977</v>
      </c>
      <c r="C28" s="269" t="s">
        <v>978</v>
      </c>
      <c r="D28" s="269" t="s">
        <v>979</v>
      </c>
      <c r="E28" s="269" t="s">
        <v>980</v>
      </c>
      <c r="F28" s="269" t="s">
        <v>981</v>
      </c>
    </row>
    <row r="29" spans="1:7">
      <c r="A29">
        <v>44</v>
      </c>
      <c r="B29" t="s">
        <v>164</v>
      </c>
      <c r="C29" t="s">
        <v>982</v>
      </c>
      <c r="D29" s="273">
        <f>'ESPECIFICACIONES TECNICAS (ev)'!R44</f>
        <v>12000</v>
      </c>
      <c r="E29" s="274">
        <v>0.27415966386554602</v>
      </c>
      <c r="F29" s="273">
        <f>'ESPECIFICACIONES TECNICAS (ev)'!S44</f>
        <v>31200000</v>
      </c>
    </row>
    <row r="30" spans="1:7">
      <c r="A30">
        <v>46</v>
      </c>
      <c r="B30" t="s">
        <v>171</v>
      </c>
      <c r="C30" t="s">
        <v>983</v>
      </c>
      <c r="D30" s="273">
        <f>'ESPECIFICACIONES TECNICAS (ev)'!R46</f>
        <v>52027.097500000003</v>
      </c>
      <c r="E30" s="274">
        <v>0.373493975903614</v>
      </c>
      <c r="F30" s="273">
        <f>'ESPECIFICACIONES TECNICAS (ev)'!S46</f>
        <v>135270453.5</v>
      </c>
    </row>
    <row r="31" spans="1:7">
      <c r="A31">
        <v>75</v>
      </c>
      <c r="B31" t="s">
        <v>239</v>
      </c>
      <c r="C31" t="s">
        <v>984</v>
      </c>
      <c r="D31" s="273">
        <f>'ESPECIFICACIONES TECNICAS (ev)'!R75</f>
        <v>215000</v>
      </c>
      <c r="E31" s="274">
        <v>0.62790697674418605</v>
      </c>
      <c r="F31" s="273">
        <f>'ESPECIFICACIONES TECNICAS (ev)'!S75</f>
        <v>215000</v>
      </c>
    </row>
    <row r="32" spans="1:7">
      <c r="A32">
        <v>78</v>
      </c>
      <c r="B32" t="s">
        <v>248</v>
      </c>
      <c r="C32" t="s">
        <v>985</v>
      </c>
      <c r="D32" s="273">
        <f>'ESPECIFICACIONES TECNICAS (ev)'!R78</f>
        <v>369560</v>
      </c>
      <c r="E32" s="274">
        <v>0.51293430024894504</v>
      </c>
      <c r="F32" s="273">
        <f>'ESPECIFICACIONES TECNICAS (ev)'!S78</f>
        <v>369560</v>
      </c>
    </row>
    <row r="33" spans="1:6">
      <c r="A33">
        <v>87</v>
      </c>
      <c r="B33" t="s">
        <v>279</v>
      </c>
      <c r="C33" t="s">
        <v>986</v>
      </c>
      <c r="D33" s="273">
        <f>'ESPECIFICACIONES TECNICAS (ev)'!R87</f>
        <v>43720.25</v>
      </c>
      <c r="E33" s="274">
        <v>0.30374368856536699</v>
      </c>
      <c r="F33" s="273">
        <f>'ESPECIFICACIONES TECNICAS (ev)'!S87</f>
        <v>3934822.5</v>
      </c>
    </row>
    <row r="34" spans="1:6">
      <c r="A34">
        <v>101</v>
      </c>
      <c r="B34" t="s">
        <v>319</v>
      </c>
      <c r="C34" t="s">
        <v>987</v>
      </c>
      <c r="D34" s="273">
        <f>'ESPECIFICACIONES TECNICAS (ev)'!R101</f>
        <v>34083.885499999997</v>
      </c>
      <c r="E34" s="274">
        <v>0.30103246556896501</v>
      </c>
      <c r="F34" s="273">
        <f>'ESPECIFICACIONES TECNICAS (ev)'!S101</f>
        <v>10225165.649999999</v>
      </c>
    </row>
    <row r="35" spans="1:6">
      <c r="A35">
        <v>104</v>
      </c>
      <c r="B35" t="s">
        <v>330</v>
      </c>
      <c r="C35" t="s">
        <v>988</v>
      </c>
      <c r="D35" s="273">
        <f>'ESPECIFICACIONES TECNICAS (ev)'!R104</f>
        <v>54537.815126050424</v>
      </c>
      <c r="E35" s="274">
        <v>0.38366718027734997</v>
      </c>
      <c r="F35" s="273">
        <f>'ESPECIFICACIONES TECNICAS (ev)'!S104</f>
        <v>16361344.537815128</v>
      </c>
    </row>
    <row r="36" spans="1:6">
      <c r="A36">
        <v>137</v>
      </c>
      <c r="B36" t="s">
        <v>388</v>
      </c>
      <c r="C36" t="s">
        <v>985</v>
      </c>
      <c r="D36" s="273">
        <f>'ESPECIFICACIONES TECNICAS (ev)'!R137</f>
        <v>369560</v>
      </c>
      <c r="E36" s="274">
        <v>0.51293430024894504</v>
      </c>
      <c r="F36" s="273">
        <f>'ESPECIFICACIONES TECNICAS (ev)'!S137</f>
        <v>369560</v>
      </c>
    </row>
    <row r="37" spans="1:6">
      <c r="A37">
        <v>146</v>
      </c>
      <c r="B37" t="s">
        <v>411</v>
      </c>
      <c r="C37" t="s">
        <v>989</v>
      </c>
      <c r="D37" s="273">
        <f>'ESPECIFICACIONES TECNICAS (ev)'!R146</f>
        <v>487395</v>
      </c>
      <c r="E37" s="274">
        <v>0.70689687009509705</v>
      </c>
      <c r="F37" s="273">
        <f>'ESPECIFICACIONES TECNICAS (ev)'!S146</f>
        <v>974790</v>
      </c>
    </row>
    <row r="38" spans="1:6">
      <c r="A38">
        <v>154</v>
      </c>
      <c r="B38" t="s">
        <v>439</v>
      </c>
      <c r="C38" t="s">
        <v>990</v>
      </c>
      <c r="D38" s="273">
        <f>'ESPECIFICACIONES TECNICAS (ev)'!R154</f>
        <v>210000</v>
      </c>
      <c r="E38" s="274">
        <v>0.48419367747098802</v>
      </c>
      <c r="F38" s="273">
        <f>'ESPECIFICACIONES TECNICAS (ev)'!S154</f>
        <v>420000</v>
      </c>
    </row>
    <row r="39" spans="1:6">
      <c r="A39">
        <v>182</v>
      </c>
      <c r="B39" t="s">
        <v>388</v>
      </c>
      <c r="C39" t="s">
        <v>985</v>
      </c>
      <c r="D39" s="273">
        <f>'ESPECIFICACIONES TECNICAS (ev)'!R182</f>
        <v>369560</v>
      </c>
      <c r="E39" s="274">
        <v>0.51293430024894504</v>
      </c>
      <c r="F39" s="273">
        <f>'ESPECIFICACIONES TECNICAS (ev)'!S182</f>
        <v>739120</v>
      </c>
    </row>
    <row r="40" spans="1:6">
      <c r="A40">
        <v>188</v>
      </c>
      <c r="B40" t="s">
        <v>411</v>
      </c>
      <c r="C40" t="s">
        <v>989</v>
      </c>
      <c r="D40" s="273">
        <f>'ESPECIFICACIONES TECNICAS (ev)'!R188</f>
        <v>487394.95798319328</v>
      </c>
      <c r="E40" s="274">
        <v>0.70689701724137899</v>
      </c>
      <c r="F40" s="273">
        <f>'ESPECIFICACIONES TECNICAS (ev)'!S188</f>
        <v>1949579.8319327731</v>
      </c>
    </row>
    <row r="41" spans="1:6">
      <c r="A41">
        <v>201</v>
      </c>
      <c r="B41" t="s">
        <v>439</v>
      </c>
      <c r="C41" t="s">
        <v>990</v>
      </c>
      <c r="D41" s="273">
        <f>'ESPECIFICACIONES TECNICAS (ev)'!R201</f>
        <v>210000</v>
      </c>
      <c r="E41" s="274">
        <v>0.48419367747098802</v>
      </c>
      <c r="F41" s="273">
        <f>'ESPECIFICACIONES TECNICAS (ev)'!S201</f>
        <v>420000</v>
      </c>
    </row>
    <row r="42" spans="1:6">
      <c r="A42">
        <v>215</v>
      </c>
      <c r="B42" t="s">
        <v>523</v>
      </c>
      <c r="C42" t="s">
        <v>991</v>
      </c>
      <c r="D42" s="273">
        <f>'ESPECIFICACIONES TECNICAS (ev)'!R215</f>
        <v>150000</v>
      </c>
      <c r="E42" s="274">
        <v>0.39365408000000002</v>
      </c>
      <c r="F42" s="273">
        <f>'ESPECIFICACIONES TECNICAS (ev)'!S215</f>
        <v>900000</v>
      </c>
    </row>
    <row r="43" spans="1:6">
      <c r="A43">
        <v>225</v>
      </c>
      <c r="B43" t="s">
        <v>546</v>
      </c>
      <c r="C43" t="s">
        <v>992</v>
      </c>
      <c r="D43" s="273">
        <f>'ESPECIFICACIONES TECNICAS (ev)'!R225</f>
        <v>504</v>
      </c>
      <c r="E43" s="274">
        <v>0.41666666666666702</v>
      </c>
      <c r="F43" s="273">
        <f>'ESPECIFICACIONES TECNICAS (ev)'!S225</f>
        <v>4536</v>
      </c>
    </row>
    <row r="44" spans="1:6">
      <c r="A44">
        <v>258</v>
      </c>
      <c r="B44" t="s">
        <v>630</v>
      </c>
      <c r="C44" t="s">
        <v>993</v>
      </c>
      <c r="D44" s="273">
        <f>'ESPECIFICACIONES TECNICAS (ev)'!R258</f>
        <v>15126.050420168067</v>
      </c>
      <c r="E44" s="274">
        <v>0.33333333333333298</v>
      </c>
      <c r="F44" s="273">
        <f>'ESPECIFICACIONES TECNICAS (ev)'!S258</f>
        <v>45378.151260504201</v>
      </c>
    </row>
  </sheetData>
  <mergeCells count="1">
    <mergeCell ref="A2:G2"/>
  </mergeCells>
  <pageMargins left="0.75" right="0.75" top="1" bottom="1"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Macintosh Excel</Application>
  <DocSecurity>0</DocSecurity>
  <ScaleCrop>false</ScaleCrop>
  <HeadingPairs>
    <vt:vector size="2" baseType="variant">
      <vt:variant>
        <vt:lpstr>Hojas de cálculo</vt:lpstr>
      </vt:variant>
      <vt:variant>
        <vt:i4>5</vt:i4>
      </vt:variant>
    </vt:vector>
  </HeadingPairs>
  <TitlesOfParts>
    <vt:vector size="5" baseType="lpstr">
      <vt:lpstr>INICIO</vt:lpstr>
      <vt:lpstr>ESPECIFICACIONES TECNICAS (ev)</vt:lpstr>
      <vt:lpstr>VALORES METAS</vt:lpstr>
      <vt:lpstr>TABLA DE PREMIACION ATLETICA</vt:lpstr>
      <vt:lpstr>INFORME REVISION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dc:description/>
  <cp:lastModifiedBy>Microsoft Office User</cp:lastModifiedBy>
  <cp:revision>0</cp:revision>
  <dcterms:created xsi:type="dcterms:W3CDTF">2022-06-01T16:02:37Z</dcterms:created>
  <dcterms:modified xsi:type="dcterms:W3CDTF">2026-10-14T16:02:49Z</dcterms:modified>
  <dc:language>en-US</dc:language>
</cp:coreProperties>
</file>