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caang\OneDrive\Desktop\UAESP\Proceso Vigilancia\Observaciones\Documentos_ajustados_13102026\"/>
    </mc:Choice>
  </mc:AlternateContent>
  <xr:revisionPtr revIDLastSave="0" documentId="13_ncr:1_{60A57996-987A-49B7-8503-874A8D361773}" xr6:coauthVersionLast="47" xr6:coauthVersionMax="47" xr10:uidLastSave="{00000000-0000-0000-0000-000000000000}"/>
  <bookViews>
    <workbookView xWindow="-98" yWindow="-98" windowWidth="19396" windowHeight="11475" xr2:uid="{00000000-000D-0000-FFFF-FFFF00000000}"/>
  </bookViews>
  <sheets>
    <sheet name="Parámetros" sheetId="2" r:id="rId1"/>
    <sheet name="Componente tecnológico" sheetId="3" r:id="rId2"/>
    <sheet name="Componente regulado" sheetId="4" r:id="rId3"/>
    <sheet name="Resumen" sheetId="1"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2" l="1"/>
  <c r="F5" i="4" s="1"/>
  <c r="F13" i="4"/>
  <c r="F12" i="4"/>
  <c r="F6" i="4"/>
  <c r="D6" i="4"/>
  <c r="E6" i="4" s="1"/>
  <c r="G6" i="4" s="1"/>
  <c r="D5" i="4"/>
  <c r="E5" i="4" s="1"/>
  <c r="E23" i="3"/>
  <c r="E22" i="3"/>
  <c r="E21" i="3"/>
  <c r="E20" i="3"/>
  <c r="E19" i="3"/>
  <c r="D14" i="3"/>
  <c r="E14" i="3" s="1"/>
  <c r="E13" i="3"/>
  <c r="D13" i="3"/>
  <c r="D12" i="3"/>
  <c r="E12" i="3" s="1"/>
  <c r="E15" i="3" s="1"/>
  <c r="C23" i="3" s="1"/>
  <c r="D23" i="3" s="1"/>
  <c r="D8" i="3"/>
  <c r="E8" i="3" s="1"/>
  <c r="D7" i="3"/>
  <c r="E7" i="3" s="1"/>
  <c r="D6" i="3"/>
  <c r="E6" i="3" s="1"/>
  <c r="D5" i="3"/>
  <c r="E5" i="3" s="1"/>
  <c r="B21" i="2"/>
  <c r="B19" i="2"/>
  <c r="B6" i="2"/>
  <c r="G5" i="4" l="1"/>
  <c r="E7" i="4"/>
  <c r="G23" i="3"/>
  <c r="F23" i="3"/>
  <c r="H23" i="3" s="1"/>
  <c r="G8" i="3"/>
  <c r="C22" i="3"/>
  <c r="D22" i="3" s="1"/>
  <c r="G7" i="3"/>
  <c r="C21" i="3"/>
  <c r="D21" i="3" s="1"/>
  <c r="G6" i="3"/>
  <c r="C20" i="3"/>
  <c r="D20" i="3" s="1"/>
  <c r="G5" i="3"/>
  <c r="C19" i="3"/>
  <c r="D19" i="3" s="1"/>
  <c r="D13" i="4"/>
  <c r="E13" i="4" s="1"/>
  <c r="G13" i="4" s="1"/>
  <c r="D12" i="4"/>
  <c r="E12" i="4" s="1"/>
  <c r="G7" i="4" l="1"/>
  <c r="D20" i="4"/>
  <c r="F22" i="3"/>
  <c r="G22" i="3"/>
  <c r="F21" i="3"/>
  <c r="G21" i="3"/>
  <c r="F20" i="3"/>
  <c r="G20" i="3"/>
  <c r="F19" i="3"/>
  <c r="G19" i="3"/>
  <c r="G24" i="3" s="1"/>
  <c r="C5" i="1" s="1"/>
  <c r="G12" i="4"/>
  <c r="E14" i="4"/>
  <c r="B4" i="1" l="1"/>
  <c r="D21" i="4"/>
  <c r="F24" i="3"/>
  <c r="B5" i="1" s="1"/>
  <c r="D5" i="1" s="1"/>
  <c r="H19" i="3"/>
  <c r="G14" i="4"/>
  <c r="E20" i="4"/>
  <c r="F20" i="4" s="1"/>
  <c r="H22" i="3"/>
  <c r="H21" i="3"/>
  <c r="H20" i="3"/>
  <c r="B6" i="1" l="1"/>
  <c r="D22" i="4"/>
  <c r="E21" i="4"/>
  <c r="H24" i="3"/>
  <c r="C4" i="1"/>
  <c r="G15" i="4"/>
  <c r="C6" i="1" l="1"/>
  <c r="D6" i="1" s="1"/>
  <c r="D4" i="1"/>
  <c r="D23" i="4"/>
  <c r="E22" i="4"/>
  <c r="F21" i="4"/>
  <c r="E23" i="4" l="1"/>
  <c r="F23" i="4" s="1"/>
  <c r="F22" i="4"/>
</calcChain>
</file>

<file path=xl/sharedStrings.xml><?xml version="1.0" encoding="utf-8"?>
<sst xmlns="http://schemas.openxmlformats.org/spreadsheetml/2006/main" count="148" uniqueCount="121">
  <si>
    <t>PARÁMETROS UTILIZADOS</t>
  </si>
  <si>
    <t>Parámetro</t>
  </si>
  <si>
    <t>Valor</t>
  </si>
  <si>
    <t>Aplicación</t>
  </si>
  <si>
    <t>Observación</t>
  </si>
  <si>
    <t>IPC julio 2023→julio 2024</t>
  </si>
  <si>
    <t>Tecnología UAESP-LP-02-2023</t>
  </si>
  <si>
    <t>IPC julio 2024: 6,86 %</t>
  </si>
  <si>
    <t>IPC julio 2024→julio 2025</t>
  </si>
  <si>
    <t>IPC julio 2025: 4,90 %</t>
  </si>
  <si>
    <t>Factor acumulado julio 2023→julio 2026</t>
  </si>
  <si>
    <t>1,0686 × 1,0490 × 1,0603</t>
  </si>
  <si>
    <t>Proyección SMMLV 2027 (escenario presupuestal)</t>
  </si>
  <si>
    <t>Valores 2026</t>
  </si>
  <si>
    <t>Escenario 8,5 %; no es SMMLV oficial ni reajuste contractual</t>
  </si>
  <si>
    <t>IVA RTVC</t>
  </si>
  <si>
    <t>Referencia RTVC</t>
  </si>
  <si>
    <t>SMMLV 2026</t>
  </si>
  <si>
    <t>Componente regulado</t>
  </si>
  <si>
    <t>Factor regulatorio</t>
  </si>
  <si>
    <t>Vigilancia 24 h sin arma</t>
  </si>
  <si>
    <t>Administración y supervisión</t>
  </si>
  <si>
    <t>Prima seguro de vida</t>
  </si>
  <si>
    <t>Proporción servicio 10 h</t>
  </si>
  <si>
    <t>Servicio 10 h</t>
  </si>
  <si>
    <t>AIU mínimo - base gravable especial IVA</t>
  </si>
  <si>
    <t>Art. 462-1 E.T.</t>
  </si>
  <si>
    <t>Base gravable especial para IVA; no se adiciona como costo independiente</t>
  </si>
  <si>
    <t>IVA sobre AIU</t>
  </si>
  <si>
    <t>Tarifa general IVA</t>
  </si>
  <si>
    <t>IVA liquidado sobre la base gravable especial AIU</t>
  </si>
  <si>
    <t>Equivalente mensual 2026</t>
  </si>
  <si>
    <t>16/30 noviembre + diciembre completo</t>
  </si>
  <si>
    <t>Prorrateo sobre mes comercial de 30 días</t>
  </si>
  <si>
    <t>Meses 2027</t>
  </si>
  <si>
    <t>Proyección tecnología 2027</t>
  </si>
  <si>
    <t>Supuesto tecnológico independiente del SMMLV</t>
  </si>
  <si>
    <t>SMMLV 2027 estimado</t>
  </si>
  <si>
    <t>Factor regulatorio enero-abril 2027</t>
  </si>
  <si>
    <t>Proporción 10 h (referencia estudio)</t>
  </si>
  <si>
    <t>Fecha inicial 2026</t>
  </si>
  <si>
    <t>15/11/2026</t>
  </si>
  <si>
    <t>Fecha final 2026</t>
  </si>
  <si>
    <t>31/12/2026</t>
  </si>
  <si>
    <t>CÁLCULO DEL COMPONENTE TECNOLÓGICO</t>
  </si>
  <si>
    <t>A. Componentes con antecedente UAESP-LP-02-2023 – Valores Techo</t>
  </si>
  <si>
    <t>Elemento</t>
  </si>
  <si>
    <t>Cant. antecedente 2023</t>
  </si>
  <si>
    <t>Valor mensual jul-2023</t>
  </si>
  <si>
    <t>VU mensual jul-2023</t>
  </si>
  <si>
    <t>VU actualizado 2026</t>
  </si>
  <si>
    <t>Cant. requerida</t>
  </si>
  <si>
    <t>Mensual 2026</t>
  </si>
  <si>
    <t>Fuente</t>
  </si>
  <si>
    <t>Cámara IP fija</t>
  </si>
  <si>
    <t>UAESP-LP-02-2023 – Valores Techo</t>
  </si>
  <si>
    <t>Cámara "UPZ" – referencia PTZ</t>
  </si>
  <si>
    <t>Monitor</t>
  </si>
  <si>
    <t>DVR</t>
  </si>
  <si>
    <t>B. Solución de control de ingreso</t>
  </si>
  <si>
    <t>Referencia</t>
  </si>
  <si>
    <t>Año</t>
  </si>
  <si>
    <t>Valor mensual fuente</t>
  </si>
  <si>
    <t>Ajuste</t>
  </si>
  <si>
    <t>Valor comparable 2026</t>
  </si>
  <si>
    <t>Uso</t>
  </si>
  <si>
    <t>Soporte</t>
  </si>
  <si>
    <t>Canal Capital</t>
  </si>
  <si>
    <t>Referencia económica</t>
  </si>
  <si>
    <t>CP-009-2025</t>
  </si>
  <si>
    <t>IDIPRON</t>
  </si>
  <si>
    <t>Valor de referencia FTN</t>
  </si>
  <si>
    <t>FTN – ítem 4</t>
  </si>
  <si>
    <t>RTVC</t>
  </si>
  <si>
    <t>INRA-LP-001-2026</t>
  </si>
  <si>
    <t>MEDIANA ADOPTADA</t>
  </si>
  <si>
    <t>Valor mensual por solución</t>
  </si>
  <si>
    <t>C. Consolidación</t>
  </si>
  <si>
    <t>Cantidad</t>
  </si>
  <si>
    <t>VU mensual 2026</t>
  </si>
  <si>
    <t>Factor 2027</t>
  </si>
  <si>
    <t>2026: 16/30 nov + dic</t>
  </si>
  <si>
    <t>2027: 4 meses</t>
  </si>
  <si>
    <t>Total</t>
  </si>
  <si>
    <t>Solución control de ingreso</t>
  </si>
  <si>
    <t>TOTAL COMPONENTE TECNOLÓGICO</t>
  </si>
  <si>
    <t>CÁLCULO DEL COMPONENTE REGULADO</t>
  </si>
  <si>
    <t>A. Vigencia 2026</t>
  </si>
  <si>
    <t>Servicio</t>
  </si>
  <si>
    <t>Cálculo unitario</t>
  </si>
  <si>
    <t>Valor unitario mensual</t>
  </si>
  <si>
    <t>Mensual total</t>
  </si>
  <si>
    <t>Meses</t>
  </si>
  <si>
    <t>Valor período</t>
  </si>
  <si>
    <t>Factor tarifario 2026 10,21; prima y A&amp;S</t>
  </si>
  <si>
    <t>Vigilancia 10 h L-V</t>
  </si>
  <si>
    <t>Proporcionalidad según numeral 3.8</t>
  </si>
  <si>
    <t>TOTAL 2026</t>
  </si>
  <si>
    <t>B. Vigencia 2027</t>
  </si>
  <si>
    <t>SMMLV 2027 proyectado × factor regulatorio 10,21; prima y A&amp;S</t>
  </si>
  <si>
    <t>Proporción 10 h con SMMLV proyectado y factor vigente</t>
  </si>
  <si>
    <t>TOTAL 2027</t>
  </si>
  <si>
    <t>TOTAL COMPONENTE REGULADO</t>
  </si>
  <si>
    <t>TRATAMIENTO IVA - ART. 462-1 E.T.</t>
  </si>
  <si>
    <t>Concepto</t>
  </si>
  <si>
    <t>2026</t>
  </si>
  <si>
    <t>2027</t>
  </si>
  <si>
    <t>Componente regulado antes de IVA</t>
  </si>
  <si>
    <t>Base gravable especial AIU (10%)</t>
  </si>
  <si>
    <t>IVA (19% sobre AIU)</t>
  </si>
  <si>
    <t>Componente regulado incluido IVA</t>
  </si>
  <si>
    <t>MEMORIA SIMPLE DE CÁLCULO – PRESUPUESTO OFICIAL ESTIMADO</t>
  </si>
  <si>
    <t>Componente</t>
  </si>
  <si>
    <t>2026: 15 nov–31 dic</t>
  </si>
  <si>
    <t>2027: enero–abril</t>
  </si>
  <si>
    <t>TOTAL POE</t>
  </si>
  <si>
    <t>Componente tecnológico</t>
  </si>
  <si>
    <t>PRESUPUESTO OFICIAL ESTIMADO</t>
  </si>
  <si>
    <t>8 % conforme a tarifa para medio humano sin arma; ver Resolución 20251000059517CS y Circular 20251300000115CS</t>
  </si>
  <si>
    <t>RTVC: En la verificación económica del proceso INRA-LP-001-2026 se identificó la aplicación de un IVA equivalente al 1,90 % sobre el subtotal de medios tecnológicos. Para efectos del estudio de mercado de la UAESP, esta información se utiliza exclusivamente como referencia de normalización de precios con IVA incluido, sin adicionar nuevamente dicho impuesto. Su utilización no implica establecer una tarifa tributaria general aplicable a todos los componentes tecnológicos.</t>
  </si>
  <si>
    <t>Valor mensual equivalente estimado del seguro de vida colectivo, calculado a partir de una prima individual de referencia de $8.800 y una proyección de 78 personas para la prestación del servicio. El valor se distribuye proporcionalmente entre los 19 puestos de 24 horas y el puesto de 10 horas, conforme a los factores tarifarios utilizados en la memoria de cálculo. Constituye un supuesto presupuestal para determinar el presupuesto oficial estimado y no una prima certificada por una aseguradora.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</si>
</sst>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0"/>
    <numFmt numFmtId="165" formatCode="\$#,##0.00"/>
    <numFmt numFmtId="166" formatCode="0.00000000"/>
  </numFmts>
  <fonts count="6">
    <font>
      <sz val="11"/>
      <name val="Carlito"/>
    </font>
    <font>
      <sz val="11"/>
      <name val="Carlito"/>
    </font>
    <font>
      <sz val="11"/>
      <name val="Arial"/>
      <family val="2"/>
    </font>
    <font>
      <b/>
      <sz val="11"/>
      <color rgb="FFFFFFFF"/>
      <name val="Arial"/>
      <family val="2"/>
    </font>
    <font>
      <b/>
      <sz val="11"/>
      <color rgb="FF1F1F1F"/>
      <name val="Arial"/>
      <family val="2"/>
    </font>
    <font>
      <b/>
      <sz val="11"/>
      <name val="Arial"/>
      <family val="2"/>
    </font>
  </fonts>
  <fills count="6">
    <fill>
      <patternFill patternType="none"/>
    </fill>
    <fill>
      <patternFill patternType="gray125"/>
    </fill>
    <fill>
      <patternFill patternType="solid">
        <fgColor rgb="FF17365D"/>
      </patternFill>
    </fill>
    <fill>
      <patternFill patternType="solid">
        <fgColor rgb="FF1F4E78"/>
      </patternFill>
    </fill>
    <fill>
      <patternFill patternType="solid">
        <fgColor rgb="FFE2F0D9"/>
      </patternFill>
    </fill>
    <fill>
      <patternFill patternType="solid">
        <fgColor rgb="FFD9EAF7"/>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8">
    <xf numFmtId="0" fontId="0" fillId="0" borderId="0" xfId="0"/>
    <xf numFmtId="0" fontId="2" fillId="0" borderId="0" xfId="0" applyFont="1" applyAlignment="1">
      <alignment wrapText="1"/>
    </xf>
    <xf numFmtId="0" fontId="2" fillId="0" borderId="0" xfId="0" applyFont="1"/>
    <xf numFmtId="0" fontId="3"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10" fontId="2" fillId="0" borderId="1" xfId="0" applyNumberFormat="1" applyFont="1" applyBorder="1" applyAlignment="1">
      <alignment horizontal="right" vertical="center" wrapText="1"/>
    </xf>
    <xf numFmtId="166" fontId="2" fillId="0" borderId="1" xfId="0" applyNumberFormat="1" applyFont="1" applyBorder="1" applyAlignment="1">
      <alignment horizontal="right" vertical="center" wrapText="1"/>
    </xf>
    <xf numFmtId="44" fontId="2" fillId="0" borderId="1" xfId="1" applyFont="1" applyBorder="1" applyAlignment="1">
      <alignment horizontal="right" vertical="center" wrapText="1"/>
    </xf>
    <xf numFmtId="4" fontId="2" fillId="0" borderId="1" xfId="0" applyNumberFormat="1" applyFont="1" applyBorder="1" applyAlignment="1">
      <alignment horizontal="right" vertical="center" wrapText="1"/>
    </xf>
    <xf numFmtId="0" fontId="2" fillId="0" borderId="5" xfId="0" applyFont="1" applyBorder="1" applyAlignment="1">
      <alignment horizontal="center" vertical="center" wrapText="1"/>
    </xf>
    <xf numFmtId="10" fontId="2" fillId="0" borderId="5" xfId="0" applyNumberFormat="1" applyFont="1" applyBorder="1" applyAlignment="1">
      <alignment vertical="center" wrapText="1"/>
    </xf>
    <xf numFmtId="10" fontId="2" fillId="0" borderId="5" xfId="0" applyNumberFormat="1" applyFont="1" applyBorder="1" applyAlignment="1">
      <alignment horizontal="right" vertical="center" wrapText="1"/>
    </xf>
    <xf numFmtId="0" fontId="2" fillId="0" borderId="1" xfId="0" applyFont="1" applyBorder="1" applyAlignment="1">
      <alignment horizontal="center" wrapText="1"/>
    </xf>
    <xf numFmtId="165" fontId="2" fillId="0" borderId="1" xfId="0" applyNumberFormat="1" applyFont="1" applyBorder="1" applyAlignment="1">
      <alignment horizontal="center" wrapText="1"/>
    </xf>
    <xf numFmtId="165" fontId="2" fillId="0" borderId="1" xfId="0" applyNumberFormat="1" applyFont="1" applyBorder="1" applyAlignment="1">
      <alignment horizontal="center" vertical="center" wrapText="1"/>
    </xf>
    <xf numFmtId="4" fontId="2" fillId="0" borderId="1" xfId="0" applyNumberFormat="1" applyFont="1" applyBorder="1" applyAlignment="1">
      <alignment horizontal="center" wrapText="1"/>
    </xf>
    <xf numFmtId="165" fontId="5" fillId="4"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165" fontId="2" fillId="0" borderId="0" xfId="0" applyNumberFormat="1" applyFont="1"/>
    <xf numFmtId="165" fontId="5" fillId="4" borderId="1" xfId="0" applyNumberFormat="1" applyFont="1" applyFill="1" applyBorder="1" applyAlignment="1">
      <alignment horizontal="center" wrapText="1"/>
    </xf>
    <xf numFmtId="3"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64" fontId="5" fillId="4" borderId="1" xfId="0" applyNumberFormat="1" applyFont="1" applyFill="1" applyBorder="1" applyAlignment="1">
      <alignment horizontal="center" vertical="center" wrapText="1"/>
    </xf>
    <xf numFmtId="164" fontId="2" fillId="0" borderId="0" xfId="0" applyNumberFormat="1" applyFont="1" applyAlignment="1">
      <alignment wrapText="1"/>
    </xf>
    <xf numFmtId="164" fontId="3" fillId="3" borderId="1" xfId="0" applyNumberFormat="1" applyFont="1" applyFill="1" applyBorder="1" applyAlignment="1">
      <alignment horizontal="center" vertical="center" wrapText="1"/>
    </xf>
    <xf numFmtId="0" fontId="2" fillId="0" borderId="5" xfId="0" applyFont="1" applyBorder="1" applyAlignment="1">
      <alignment horizontal="center" wrapText="1"/>
    </xf>
    <xf numFmtId="165" fontId="2" fillId="0" borderId="5" xfId="0" applyNumberFormat="1" applyFont="1" applyBorder="1" applyAlignment="1">
      <alignment horizontal="right" vertical="center" wrapText="1"/>
    </xf>
    <xf numFmtId="164" fontId="5" fillId="4" borderId="1" xfId="0" applyNumberFormat="1" applyFont="1" applyFill="1" applyBorder="1" applyAlignment="1">
      <alignment horizontal="right" vertical="center" wrapText="1"/>
    </xf>
    <xf numFmtId="0" fontId="5" fillId="0" borderId="0" xfId="0" applyFont="1" applyAlignment="1">
      <alignment wrapText="1"/>
    </xf>
    <xf numFmtId="164" fontId="5" fillId="0" borderId="0" xfId="0" applyNumberFormat="1" applyFont="1" applyAlignment="1">
      <alignment wrapText="1"/>
    </xf>
    <xf numFmtId="44" fontId="2" fillId="0" borderId="0" xfId="1" applyFont="1" applyAlignment="1">
      <alignment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4" fillId="5" borderId="1" xfId="0" applyFont="1" applyFill="1" applyBorder="1" applyAlignment="1">
      <alignment horizontal="center" wrapText="1"/>
    </xf>
    <xf numFmtId="0" fontId="4" fillId="5" borderId="1" xfId="0" applyFont="1" applyFill="1" applyBorder="1" applyAlignment="1">
      <alignment horizontal="center" vertical="center" wrapText="1"/>
    </xf>
    <xf numFmtId="0" fontId="5" fillId="4" borderId="1" xfId="0" applyFont="1" applyFill="1" applyBorder="1" applyAlignment="1">
      <alignment horizontal="center" wrapText="1"/>
    </xf>
    <xf numFmtId="165" fontId="5" fillId="4" borderId="1" xfId="0" applyNumberFormat="1" applyFont="1" applyFill="1" applyBorder="1" applyAlignment="1">
      <alignment horizont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165" fontId="5" fillId="4" borderId="3" xfId="0" applyNumberFormat="1" applyFont="1" applyFill="1" applyBorder="1" applyAlignment="1">
      <alignment horizontal="center" vertical="center" wrapText="1"/>
    </xf>
    <xf numFmtId="165" fontId="5" fillId="4" borderId="4" xfId="0" applyNumberFormat="1"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5" fillId="4" borderId="6"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8" xfId="0"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164" fontId="5" fillId="4" borderId="3" xfId="0" applyNumberFormat="1" applyFont="1" applyFill="1" applyBorder="1" applyAlignment="1">
      <alignment horizontal="center" vertical="center" wrapText="1"/>
    </xf>
    <xf numFmtId="164" fontId="5" fillId="4" borderId="4" xfId="0" applyNumberFormat="1" applyFont="1" applyFill="1" applyBorder="1" applyAlignment="1">
      <alignment horizontal="center" vertical="center" wrapText="1"/>
    </xf>
    <xf numFmtId="1" fontId="2" fillId="0" borderId="5" xfId="2" applyNumberFormat="1" applyFont="1" applyBorder="1" applyAlignment="1">
      <alignment vertical="center" wrapText="1"/>
    </xf>
    <xf numFmtId="2" fontId="2" fillId="0" borderId="5" xfId="0" applyNumberFormat="1" applyFont="1" applyBorder="1" applyAlignment="1">
      <alignment vertical="center" wrapText="1"/>
    </xf>
    <xf numFmtId="44" fontId="2" fillId="0" borderId="5" xfId="1" applyFont="1" applyBorder="1" applyAlignment="1">
      <alignment vertical="center" wrapText="1"/>
    </xf>
    <xf numFmtId="2" fontId="2" fillId="0" borderId="5" xfId="0" applyNumberFormat="1" applyFont="1" applyBorder="1" applyAlignment="1">
      <alignment horizontal="center" vertical="center" wrapText="1"/>
    </xf>
    <xf numFmtId="0" fontId="2" fillId="0" borderId="1" xfId="0" applyFont="1" applyBorder="1" applyAlignment="1">
      <alignment horizontal="justify" vertical="center" wrapText="1"/>
    </xf>
  </cellXfs>
  <cellStyles count="3">
    <cellStyle name="Moneda" xfId="1" xr:uid="{00000000-0005-0000-0000-000000000000}"/>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
  <sheetViews>
    <sheetView tabSelected="1" topLeftCell="A6" workbookViewId="0">
      <selection activeCell="F12" sqref="F12"/>
    </sheetView>
  </sheetViews>
  <sheetFormatPr baseColWidth="10" defaultColWidth="8.6875" defaultRowHeight="13.5"/>
  <cols>
    <col min="1" max="1" width="38" style="2" customWidth="1"/>
    <col min="2" max="2" width="18" style="2" customWidth="1"/>
    <col min="3" max="3" width="34" style="2" customWidth="1"/>
    <col min="4" max="4" width="41.1875" style="2" customWidth="1"/>
    <col min="5" max="16384" width="8.6875" style="2"/>
  </cols>
  <sheetData>
    <row r="1" spans="1:8" ht="13.9">
      <c r="A1" s="31" t="s">
        <v>0</v>
      </c>
      <c r="B1" s="31"/>
      <c r="C1" s="31"/>
      <c r="D1" s="31"/>
      <c r="E1" s="1"/>
      <c r="F1" s="1"/>
      <c r="G1" s="1"/>
      <c r="H1" s="1"/>
    </row>
    <row r="2" spans="1:8">
      <c r="A2" s="1"/>
      <c r="B2" s="1"/>
      <c r="C2" s="1"/>
      <c r="D2" s="1"/>
      <c r="E2" s="1"/>
      <c r="F2" s="1"/>
      <c r="G2" s="1"/>
      <c r="H2" s="1"/>
    </row>
    <row r="3" spans="1:8" ht="13.9">
      <c r="A3" s="3" t="s">
        <v>1</v>
      </c>
      <c r="B3" s="3" t="s">
        <v>2</v>
      </c>
      <c r="C3" s="3" t="s">
        <v>3</v>
      </c>
      <c r="D3" s="3" t="s">
        <v>4</v>
      </c>
      <c r="E3" s="1"/>
      <c r="F3" s="1"/>
      <c r="G3" s="1"/>
      <c r="H3" s="1"/>
    </row>
    <row r="4" spans="1:8">
      <c r="A4" s="4" t="s">
        <v>5</v>
      </c>
      <c r="B4" s="5">
        <v>6.8599999999999994E-2</v>
      </c>
      <c r="C4" s="4" t="s">
        <v>6</v>
      </c>
      <c r="D4" s="4" t="s">
        <v>7</v>
      </c>
      <c r="E4" s="1"/>
      <c r="F4" s="1"/>
      <c r="G4" s="1"/>
      <c r="H4" s="1"/>
    </row>
    <row r="5" spans="1:8">
      <c r="A5" s="4" t="s">
        <v>8</v>
      </c>
      <c r="B5" s="5">
        <v>4.9000000000000002E-2</v>
      </c>
      <c r="C5" s="4" t="s">
        <v>6</v>
      </c>
      <c r="D5" s="4" t="s">
        <v>9</v>
      </c>
      <c r="E5" s="1"/>
      <c r="F5" s="1"/>
      <c r="G5" s="1"/>
      <c r="H5" s="1"/>
    </row>
    <row r="6" spans="1:8">
      <c r="A6" s="4" t="s">
        <v>10</v>
      </c>
      <c r="B6" s="6">
        <f>(1+B4)*(1+B5)*(1+0.0603)</f>
        <v>1.18855537242</v>
      </c>
      <c r="C6" s="4" t="s">
        <v>6</v>
      </c>
      <c r="D6" s="4" t="s">
        <v>11</v>
      </c>
      <c r="E6" s="1"/>
      <c r="F6" s="1"/>
      <c r="G6" s="1"/>
      <c r="H6" s="1"/>
    </row>
    <row r="7" spans="1:8" ht="27">
      <c r="A7" s="4" t="s">
        <v>12</v>
      </c>
      <c r="B7" s="5">
        <v>8.5000000000000006E-2</v>
      </c>
      <c r="C7" s="4" t="s">
        <v>13</v>
      </c>
      <c r="D7" s="4" t="s">
        <v>14</v>
      </c>
      <c r="E7" s="1"/>
      <c r="F7" s="1"/>
      <c r="G7" s="1"/>
      <c r="H7" s="1"/>
    </row>
    <row r="8" spans="1:8" ht="148.5">
      <c r="A8" s="4" t="s">
        <v>15</v>
      </c>
      <c r="B8" s="5">
        <v>1.9E-2</v>
      </c>
      <c r="C8" s="4" t="s">
        <v>16</v>
      </c>
      <c r="D8" s="57" t="s">
        <v>119</v>
      </c>
      <c r="E8" s="1"/>
      <c r="F8" s="1"/>
      <c r="G8" s="1"/>
      <c r="H8" s="1"/>
    </row>
    <row r="9" spans="1:8">
      <c r="A9" s="4" t="s">
        <v>17</v>
      </c>
      <c r="B9" s="7">
        <v>1750905</v>
      </c>
      <c r="C9" s="4" t="s">
        <v>18</v>
      </c>
      <c r="D9" s="4"/>
      <c r="E9" s="1"/>
      <c r="F9" s="1"/>
      <c r="G9" s="1"/>
      <c r="H9" s="1"/>
    </row>
    <row r="10" spans="1:8">
      <c r="A10" s="4" t="s">
        <v>19</v>
      </c>
      <c r="B10" s="8">
        <v>10.210000000000001</v>
      </c>
      <c r="C10" s="4" t="s">
        <v>20</v>
      </c>
      <c r="D10" s="4"/>
      <c r="E10" s="1"/>
      <c r="F10" s="1"/>
      <c r="G10" s="1"/>
      <c r="H10" s="1"/>
    </row>
    <row r="11" spans="1:8" ht="40.5">
      <c r="A11" s="4" t="s">
        <v>21</v>
      </c>
      <c r="B11" s="8">
        <v>0.08</v>
      </c>
      <c r="C11" s="4" t="s">
        <v>18</v>
      </c>
      <c r="D11" s="4" t="s">
        <v>118</v>
      </c>
      <c r="E11" s="1"/>
      <c r="F11" s="1"/>
      <c r="G11" s="1"/>
      <c r="H11" s="1"/>
    </row>
    <row r="12" spans="1:8" ht="148.5">
      <c r="A12" s="4" t="s">
        <v>22</v>
      </c>
      <c r="B12" s="7">
        <v>35443.42</v>
      </c>
      <c r="C12" s="4" t="s">
        <v>18</v>
      </c>
      <c r="D12" s="57" t="s">
        <v>120</v>
      </c>
      <c r="E12" s="1"/>
      <c r="F12" s="1"/>
      <c r="G12" s="1"/>
      <c r="H12" s="1"/>
    </row>
    <row r="13" spans="1:8">
      <c r="A13" s="4" t="s">
        <v>23</v>
      </c>
      <c r="B13" s="8">
        <v>0.47589999999999999</v>
      </c>
      <c r="C13" s="4" t="s">
        <v>24</v>
      </c>
      <c r="D13" s="4"/>
      <c r="E13" s="1"/>
      <c r="F13" s="1"/>
      <c r="G13" s="1"/>
      <c r="H13" s="1"/>
    </row>
    <row r="14" spans="1:8" ht="27">
      <c r="A14" s="9" t="s">
        <v>25</v>
      </c>
      <c r="B14" s="10">
        <v>0.1</v>
      </c>
      <c r="C14" s="9" t="s">
        <v>26</v>
      </c>
      <c r="D14" s="9" t="s">
        <v>27</v>
      </c>
      <c r="E14" s="1"/>
      <c r="F14" s="1"/>
      <c r="G14" s="1"/>
      <c r="H14" s="1"/>
    </row>
    <row r="15" spans="1:8">
      <c r="A15" s="9" t="s">
        <v>28</v>
      </c>
      <c r="B15" s="10">
        <v>0.19</v>
      </c>
      <c r="C15" s="9" t="s">
        <v>29</v>
      </c>
      <c r="D15" s="9" t="s">
        <v>30</v>
      </c>
      <c r="E15" s="1"/>
      <c r="F15" s="1"/>
      <c r="G15" s="1"/>
      <c r="H15" s="1"/>
    </row>
    <row r="16" spans="1:8">
      <c r="A16" s="56" t="s">
        <v>31</v>
      </c>
      <c r="B16" s="54">
        <f>1+16/30</f>
        <v>1.5333333333333332</v>
      </c>
      <c r="C16" s="9" t="s">
        <v>32</v>
      </c>
      <c r="D16" s="9" t="s">
        <v>33</v>
      </c>
      <c r="E16" s="1"/>
      <c r="F16" s="1"/>
      <c r="G16" s="1"/>
      <c r="H16" s="1"/>
    </row>
    <row r="17" spans="1:8">
      <c r="A17" s="9" t="s">
        <v>34</v>
      </c>
      <c r="B17" s="53">
        <v>4</v>
      </c>
      <c r="C17" s="9"/>
      <c r="D17" s="9"/>
      <c r="E17" s="1"/>
      <c r="F17" s="1"/>
      <c r="G17" s="1"/>
      <c r="H17" s="1"/>
    </row>
    <row r="18" spans="1:8">
      <c r="A18" s="9" t="s">
        <v>35</v>
      </c>
      <c r="B18" s="10">
        <v>0.05</v>
      </c>
      <c r="C18" s="9"/>
      <c r="D18" s="9" t="s">
        <v>36</v>
      </c>
      <c r="E18" s="1"/>
      <c r="F18" s="1"/>
      <c r="G18" s="1"/>
      <c r="H18" s="1"/>
    </row>
    <row r="19" spans="1:8">
      <c r="A19" s="9" t="s">
        <v>37</v>
      </c>
      <c r="B19" s="55">
        <f>ROUND(B9*(1+B7),0)</f>
        <v>1899732</v>
      </c>
      <c r="C19" s="9"/>
      <c r="D19" s="9"/>
      <c r="E19" s="1"/>
      <c r="F19" s="1"/>
      <c r="G19" s="1"/>
      <c r="H19" s="1"/>
    </row>
    <row r="20" spans="1:8">
      <c r="A20" s="9" t="s">
        <v>38</v>
      </c>
      <c r="B20" s="54">
        <v>10.210000000000001</v>
      </c>
      <c r="C20" s="9"/>
      <c r="D20" s="9"/>
      <c r="E20" s="1"/>
      <c r="F20" s="1"/>
      <c r="G20" s="1"/>
      <c r="H20" s="1"/>
    </row>
    <row r="21" spans="1:8">
      <c r="A21" s="9" t="s">
        <v>39</v>
      </c>
      <c r="B21" s="10">
        <f>B13</f>
        <v>0.47589999999999999</v>
      </c>
      <c r="C21" s="9"/>
      <c r="D21" s="9"/>
      <c r="E21" s="1"/>
      <c r="F21" s="1"/>
      <c r="G21" s="1"/>
      <c r="H21" s="1"/>
    </row>
    <row r="22" spans="1:8">
      <c r="A22" s="9" t="s">
        <v>40</v>
      </c>
      <c r="B22" s="11" t="s">
        <v>41</v>
      </c>
      <c r="C22" s="9"/>
      <c r="D22" s="9"/>
      <c r="E22" s="1"/>
      <c r="F22" s="1"/>
      <c r="G22" s="1"/>
      <c r="H22" s="1"/>
    </row>
    <row r="23" spans="1:8">
      <c r="A23" s="9" t="s">
        <v>42</v>
      </c>
      <c r="B23" s="11" t="s">
        <v>43</v>
      </c>
      <c r="C23" s="9"/>
      <c r="D23" s="9"/>
      <c r="E23" s="1"/>
      <c r="F23" s="1"/>
      <c r="G23" s="1"/>
      <c r="H23" s="1"/>
    </row>
    <row r="24" spans="1:8">
      <c r="A24" s="1"/>
      <c r="B24" s="1"/>
      <c r="C24" s="1"/>
      <c r="D24" s="1"/>
      <c r="E24" s="1"/>
      <c r="F24" s="1"/>
      <c r="G24" s="1"/>
      <c r="H24" s="1"/>
    </row>
    <row r="25" spans="1:8">
      <c r="A25" s="1"/>
      <c r="B25" s="1"/>
      <c r="C25" s="1"/>
      <c r="D25" s="1"/>
      <c r="E25" s="1"/>
      <c r="F25" s="1"/>
      <c r="G25" s="1"/>
      <c r="H25" s="1"/>
    </row>
    <row r="26" spans="1:8">
      <c r="A26" s="1"/>
      <c r="B26" s="1"/>
      <c r="C26" s="1"/>
      <c r="D26" s="1"/>
      <c r="E26" s="1"/>
      <c r="F26" s="1"/>
      <c r="G26" s="1"/>
      <c r="H26" s="1"/>
    </row>
    <row r="27" spans="1:8">
      <c r="A27" s="1"/>
      <c r="B27" s="1"/>
      <c r="C27" s="1"/>
      <c r="D27" s="1"/>
      <c r="E27" s="1"/>
      <c r="F27" s="1"/>
      <c r="G27" s="1"/>
      <c r="H27" s="1"/>
    </row>
    <row r="28" spans="1:8">
      <c r="A28" s="1"/>
      <c r="B28" s="1"/>
      <c r="C28" s="1"/>
      <c r="D28" s="1"/>
      <c r="E28" s="1"/>
      <c r="F28" s="1"/>
      <c r="G28" s="1"/>
      <c r="H28" s="1"/>
    </row>
    <row r="29" spans="1:8">
      <c r="A29" s="1"/>
      <c r="B29" s="1"/>
      <c r="C29" s="1"/>
      <c r="D29" s="1"/>
      <c r="E29" s="1"/>
      <c r="F29" s="1"/>
      <c r="G29" s="1"/>
      <c r="H29" s="1"/>
    </row>
    <row r="30" spans="1:8">
      <c r="A30" s="1"/>
      <c r="B30" s="1"/>
      <c r="C30" s="1"/>
      <c r="D30" s="1"/>
      <c r="E30" s="1"/>
      <c r="F30" s="1"/>
      <c r="G30" s="1"/>
      <c r="H30" s="1"/>
    </row>
    <row r="31" spans="1:8">
      <c r="A31" s="1"/>
      <c r="B31" s="1"/>
      <c r="C31" s="1"/>
      <c r="D31" s="1"/>
      <c r="E31" s="1"/>
      <c r="F31" s="1"/>
      <c r="G31" s="1"/>
      <c r="H31" s="1"/>
    </row>
    <row r="32" spans="1:8">
      <c r="A32" s="1"/>
      <c r="B32" s="1"/>
      <c r="C32" s="1"/>
      <c r="D32" s="1"/>
      <c r="E32" s="1"/>
      <c r="F32" s="1"/>
      <c r="G32" s="1"/>
      <c r="H32" s="1"/>
    </row>
    <row r="33" spans="1:8">
      <c r="A33" s="1"/>
      <c r="B33" s="1"/>
      <c r="C33" s="1"/>
      <c r="D33" s="1"/>
      <c r="E33" s="1"/>
      <c r="F33" s="1"/>
      <c r="G33" s="1"/>
      <c r="H33" s="1"/>
    </row>
    <row r="34" spans="1:8">
      <c r="A34" s="1"/>
      <c r="B34" s="1"/>
      <c r="C34" s="1"/>
      <c r="D34" s="1"/>
      <c r="E34" s="1"/>
      <c r="F34" s="1"/>
      <c r="G34" s="1"/>
      <c r="H34" s="1"/>
    </row>
    <row r="35" spans="1:8">
      <c r="A35" s="1"/>
      <c r="B35" s="1"/>
      <c r="C35" s="1"/>
      <c r="D35" s="1"/>
      <c r="E35" s="1"/>
      <c r="F35" s="1"/>
      <c r="G35" s="1"/>
      <c r="H35" s="1"/>
    </row>
    <row r="36" spans="1:8">
      <c r="A36" s="1"/>
      <c r="B36" s="1"/>
      <c r="C36" s="1"/>
      <c r="D36" s="1"/>
      <c r="E36" s="1"/>
      <c r="F36" s="1"/>
      <c r="G36" s="1"/>
      <c r="H36" s="1"/>
    </row>
    <row r="37" spans="1:8">
      <c r="A37" s="1"/>
      <c r="B37" s="1"/>
      <c r="C37" s="1"/>
      <c r="D37" s="1"/>
      <c r="E37" s="1"/>
      <c r="F37" s="1"/>
      <c r="G37" s="1"/>
      <c r="H37" s="1"/>
    </row>
    <row r="38" spans="1:8">
      <c r="A38" s="1"/>
      <c r="B38" s="1"/>
      <c r="C38" s="1"/>
      <c r="D38" s="1"/>
      <c r="E38" s="1"/>
      <c r="F38" s="1"/>
      <c r="G38" s="1"/>
      <c r="H38" s="1"/>
    </row>
    <row r="39" spans="1:8">
      <c r="A39" s="1"/>
      <c r="B39" s="1"/>
      <c r="C39" s="1"/>
      <c r="D39" s="1"/>
      <c r="E39" s="1"/>
      <c r="F39" s="1"/>
      <c r="G39" s="1"/>
      <c r="H39" s="1"/>
    </row>
    <row r="40" spans="1:8">
      <c r="A40" s="1"/>
      <c r="B40" s="1"/>
      <c r="C40" s="1"/>
      <c r="D40" s="1"/>
      <c r="E40" s="1"/>
      <c r="F40" s="1"/>
      <c r="G40" s="1"/>
      <c r="H40" s="1"/>
    </row>
  </sheetData>
  <mergeCells count="1">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9"/>
  <sheetViews>
    <sheetView topLeftCell="A5" workbookViewId="0">
      <selection sqref="A1:H1"/>
    </sheetView>
  </sheetViews>
  <sheetFormatPr baseColWidth="10" defaultColWidth="8.6875" defaultRowHeight="13.5"/>
  <cols>
    <col min="1" max="1" width="26.9375" style="2" customWidth="1"/>
    <col min="2" max="2" width="9.75" style="2" customWidth="1"/>
    <col min="3" max="3" width="18.75" style="2" customWidth="1"/>
    <col min="4" max="4" width="12.25" style="2" customWidth="1"/>
    <col min="5" max="5" width="20.1875" style="2" customWidth="1"/>
    <col min="6" max="6" width="13.8125" style="2" customWidth="1"/>
    <col min="7" max="7" width="16.25" style="2" customWidth="1"/>
    <col min="8" max="9" width="13.25" style="2" customWidth="1"/>
    <col min="10" max="16384" width="8.6875" style="2"/>
  </cols>
  <sheetData>
    <row r="1" spans="1:8" ht="13.9">
      <c r="A1" s="32" t="s">
        <v>44</v>
      </c>
      <c r="B1" s="32"/>
      <c r="C1" s="32"/>
      <c r="D1" s="32"/>
      <c r="E1" s="32"/>
      <c r="F1" s="32"/>
      <c r="G1" s="32"/>
      <c r="H1" s="32"/>
    </row>
    <row r="2" spans="1:8">
      <c r="A2" s="1"/>
      <c r="B2" s="1"/>
      <c r="C2" s="1"/>
      <c r="D2" s="1"/>
      <c r="E2" s="1"/>
      <c r="F2" s="1"/>
      <c r="G2" s="1"/>
      <c r="H2" s="1"/>
    </row>
    <row r="3" spans="1:8" ht="13.9">
      <c r="A3" s="33" t="s">
        <v>45</v>
      </c>
      <c r="B3" s="33"/>
      <c r="C3" s="33"/>
      <c r="D3" s="33"/>
      <c r="E3" s="33"/>
      <c r="F3" s="33"/>
      <c r="G3" s="33"/>
      <c r="H3" s="33"/>
    </row>
    <row r="4" spans="1:8" ht="41.65">
      <c r="A4" s="3" t="s">
        <v>46</v>
      </c>
      <c r="B4" s="3" t="s">
        <v>47</v>
      </c>
      <c r="C4" s="3" t="s">
        <v>48</v>
      </c>
      <c r="D4" s="3" t="s">
        <v>49</v>
      </c>
      <c r="E4" s="3" t="s">
        <v>50</v>
      </c>
      <c r="F4" s="3" t="s">
        <v>51</v>
      </c>
      <c r="G4" s="3" t="s">
        <v>52</v>
      </c>
      <c r="H4" s="3" t="s">
        <v>53</v>
      </c>
    </row>
    <row r="5" spans="1:8" ht="40.5">
      <c r="A5" s="4" t="s">
        <v>54</v>
      </c>
      <c r="B5" s="4">
        <v>180</v>
      </c>
      <c r="C5" s="14">
        <v>9750000</v>
      </c>
      <c r="D5" s="14">
        <f>C5/B5</f>
        <v>54166.666666666664</v>
      </c>
      <c r="E5" s="14">
        <f>D5*Parámetros!$B$6</f>
        <v>64380.082672749995</v>
      </c>
      <c r="F5" s="20">
        <v>41</v>
      </c>
      <c r="G5" s="14">
        <f>E5*F5</f>
        <v>2639583.3895827499</v>
      </c>
      <c r="H5" s="4" t="s">
        <v>55</v>
      </c>
    </row>
    <row r="6" spans="1:8" ht="40.5">
      <c r="A6" s="4" t="s">
        <v>56</v>
      </c>
      <c r="B6" s="4">
        <v>6</v>
      </c>
      <c r="C6" s="14">
        <v>325000</v>
      </c>
      <c r="D6" s="14">
        <f>C6/B6</f>
        <v>54166.666666666664</v>
      </c>
      <c r="E6" s="14">
        <f>D6*Parámetros!$B$6</f>
        <v>64380.082672749995</v>
      </c>
      <c r="F6" s="20">
        <v>2</v>
      </c>
      <c r="G6" s="14">
        <f>E6*F6</f>
        <v>128760.16534549999</v>
      </c>
      <c r="H6" s="4" t="s">
        <v>55</v>
      </c>
    </row>
    <row r="7" spans="1:8" ht="40.5">
      <c r="A7" s="4" t="s">
        <v>57</v>
      </c>
      <c r="B7" s="4">
        <v>15</v>
      </c>
      <c r="C7" s="14">
        <v>4000000</v>
      </c>
      <c r="D7" s="14">
        <f>C7/B7</f>
        <v>266666.66666666669</v>
      </c>
      <c r="E7" s="14">
        <f>D7*Parámetros!$B$6</f>
        <v>316948.09931200003</v>
      </c>
      <c r="F7" s="20">
        <v>2</v>
      </c>
      <c r="G7" s="14">
        <f>E7*F7</f>
        <v>633896.19862400007</v>
      </c>
      <c r="H7" s="4" t="s">
        <v>55</v>
      </c>
    </row>
    <row r="8" spans="1:8" ht="40.5">
      <c r="A8" s="4" t="s">
        <v>58</v>
      </c>
      <c r="B8" s="4">
        <v>12</v>
      </c>
      <c r="C8" s="14">
        <v>250000</v>
      </c>
      <c r="D8" s="14">
        <f>C8/B8</f>
        <v>20833.333333333332</v>
      </c>
      <c r="E8" s="14">
        <f>D8*Parámetros!$B$6</f>
        <v>24761.570258749998</v>
      </c>
      <c r="F8" s="20">
        <v>2</v>
      </c>
      <c r="G8" s="14">
        <f>E8*F8</f>
        <v>49523.140517499996</v>
      </c>
      <c r="H8" s="4" t="s">
        <v>55</v>
      </c>
    </row>
    <row r="9" spans="1:8">
      <c r="A9" s="1"/>
      <c r="B9" s="1"/>
      <c r="C9" s="1"/>
      <c r="D9" s="1"/>
      <c r="E9" s="1"/>
      <c r="F9" s="1"/>
      <c r="G9" s="1"/>
      <c r="H9" s="1"/>
    </row>
    <row r="10" spans="1:8" ht="13.9">
      <c r="A10" s="34" t="s">
        <v>59</v>
      </c>
      <c r="B10" s="34"/>
      <c r="C10" s="34"/>
      <c r="D10" s="34"/>
      <c r="E10" s="34"/>
      <c r="F10" s="34"/>
      <c r="G10" s="34"/>
      <c r="H10" s="34"/>
    </row>
    <row r="11" spans="1:8" ht="27.75">
      <c r="A11" s="3" t="s">
        <v>60</v>
      </c>
      <c r="B11" s="3" t="s">
        <v>61</v>
      </c>
      <c r="C11" s="3" t="s">
        <v>62</v>
      </c>
      <c r="D11" s="3" t="s">
        <v>63</v>
      </c>
      <c r="E11" s="3" t="s">
        <v>64</v>
      </c>
      <c r="F11" s="3" t="s">
        <v>65</v>
      </c>
      <c r="G11" s="41" t="s">
        <v>66</v>
      </c>
      <c r="H11" s="42"/>
    </row>
    <row r="12" spans="1:8" ht="27">
      <c r="A12" s="4" t="s">
        <v>67</v>
      </c>
      <c r="B12" s="4">
        <v>2025</v>
      </c>
      <c r="C12" s="14">
        <v>181441</v>
      </c>
      <c r="D12" s="15">
        <f>1+0.0494</f>
        <v>1.0493999999999999</v>
      </c>
      <c r="E12" s="14">
        <f>C12*D12</f>
        <v>190404.18539999999</v>
      </c>
      <c r="F12" s="4" t="s">
        <v>68</v>
      </c>
      <c r="G12" s="43" t="s">
        <v>69</v>
      </c>
      <c r="H12" s="44"/>
    </row>
    <row r="13" spans="1:8" ht="27">
      <c r="A13" s="4" t="s">
        <v>70</v>
      </c>
      <c r="B13" s="4">
        <v>2025</v>
      </c>
      <c r="C13" s="14">
        <v>553275</v>
      </c>
      <c r="D13" s="15">
        <f>1+0.0494</f>
        <v>1.0493999999999999</v>
      </c>
      <c r="E13" s="14">
        <f>ROUND(C13*10494/10000,2)</f>
        <v>580606.79</v>
      </c>
      <c r="F13" s="4" t="s">
        <v>71</v>
      </c>
      <c r="G13" s="43" t="s">
        <v>72</v>
      </c>
      <c r="H13" s="44"/>
    </row>
    <row r="14" spans="1:8" ht="27">
      <c r="A14" s="4" t="s">
        <v>73</v>
      </c>
      <c r="B14" s="4">
        <v>2026</v>
      </c>
      <c r="C14" s="14">
        <v>1215513</v>
      </c>
      <c r="D14" s="15">
        <f>1+Parámetros!$B$8</f>
        <v>1.0189999999999999</v>
      </c>
      <c r="E14" s="14">
        <f>C14*D14</f>
        <v>1238607.747</v>
      </c>
      <c r="F14" s="4" t="s">
        <v>68</v>
      </c>
      <c r="G14" s="43" t="s">
        <v>74</v>
      </c>
      <c r="H14" s="44"/>
    </row>
    <row r="15" spans="1:8" ht="27.75">
      <c r="A15" s="37" t="s">
        <v>75</v>
      </c>
      <c r="B15" s="38"/>
      <c r="C15" s="39"/>
      <c r="D15" s="40"/>
      <c r="E15" s="16">
        <f>ROUND(MEDIAN(E12:E14),2)</f>
        <v>580606.79</v>
      </c>
      <c r="F15" s="17" t="s">
        <v>76</v>
      </c>
      <c r="G15" s="45"/>
      <c r="H15" s="46"/>
    </row>
    <row r="16" spans="1:8">
      <c r="A16" s="1"/>
      <c r="B16" s="1"/>
      <c r="C16" s="1"/>
      <c r="D16" s="1"/>
      <c r="E16" s="1"/>
      <c r="F16" s="1"/>
      <c r="G16" s="1"/>
      <c r="H16" s="1"/>
    </row>
    <row r="17" spans="1:9" ht="13.9">
      <c r="A17" s="33" t="s">
        <v>77</v>
      </c>
      <c r="B17" s="33"/>
      <c r="C17" s="33"/>
      <c r="D17" s="33"/>
      <c r="E17" s="33"/>
      <c r="F17" s="33"/>
      <c r="G17" s="33"/>
      <c r="H17" s="33"/>
    </row>
    <row r="18" spans="1:9" ht="27.75">
      <c r="A18" s="3" t="s">
        <v>46</v>
      </c>
      <c r="B18" s="3" t="s">
        <v>78</v>
      </c>
      <c r="C18" s="3" t="s">
        <v>79</v>
      </c>
      <c r="D18" s="3" t="s">
        <v>52</v>
      </c>
      <c r="E18" s="3" t="s">
        <v>80</v>
      </c>
      <c r="F18" s="3" t="s">
        <v>81</v>
      </c>
      <c r="G18" s="3" t="s">
        <v>82</v>
      </c>
      <c r="H18" s="3" t="s">
        <v>83</v>
      </c>
    </row>
    <row r="19" spans="1:9">
      <c r="A19" s="12" t="s">
        <v>54</v>
      </c>
      <c r="B19" s="12">
        <v>41</v>
      </c>
      <c r="C19" s="13">
        <f>ROUND(E5,2)</f>
        <v>64380.08</v>
      </c>
      <c r="D19" s="13">
        <f>ROUND(C19*B19,2)</f>
        <v>2639583.2799999998</v>
      </c>
      <c r="E19" s="15">
        <f>1+Parámetros!$B$18</f>
        <v>1.05</v>
      </c>
      <c r="F19" s="13">
        <f>ROUND(D19*Parámetros!$B$16,2)</f>
        <v>4047361.03</v>
      </c>
      <c r="G19" s="13">
        <f>ROUND(D19*E19*Parámetros!$B$17,2)</f>
        <v>11086249.779999999</v>
      </c>
      <c r="H19" s="13">
        <f>SUM(F19:G19)</f>
        <v>15133610.809999999</v>
      </c>
    </row>
    <row r="20" spans="1:9">
      <c r="A20" s="12" t="s">
        <v>56</v>
      </c>
      <c r="B20" s="12">
        <v>2</v>
      </c>
      <c r="C20" s="13">
        <f>ROUND(E6,2)</f>
        <v>64380.08</v>
      </c>
      <c r="D20" s="13">
        <f>ROUND(C20*B20,2)</f>
        <v>128760.16</v>
      </c>
      <c r="E20" s="15">
        <f>1+Parámetros!$B$18</f>
        <v>1.05</v>
      </c>
      <c r="F20" s="13">
        <f>ROUND(D20*Parámetros!$B$16,2)</f>
        <v>197432.25</v>
      </c>
      <c r="G20" s="13">
        <f>ROUND(D20*E20*Parámetros!$B$17,2)</f>
        <v>540792.67000000004</v>
      </c>
      <c r="H20" s="13">
        <f>SUM(F20:G20)</f>
        <v>738224.92</v>
      </c>
    </row>
    <row r="21" spans="1:9">
      <c r="A21" s="12" t="s">
        <v>57</v>
      </c>
      <c r="B21" s="12">
        <v>2</v>
      </c>
      <c r="C21" s="13">
        <f>ROUND(E7,2)</f>
        <v>316948.09999999998</v>
      </c>
      <c r="D21" s="13">
        <f>ROUND(C21*B21,2)</f>
        <v>633896.19999999995</v>
      </c>
      <c r="E21" s="15">
        <f>1+Parámetros!$B$18</f>
        <v>1.05</v>
      </c>
      <c r="F21" s="13">
        <f>ROUND(D21*Parámetros!$B$16,2)</f>
        <v>971974.17</v>
      </c>
      <c r="G21" s="13">
        <f>ROUND(D21*E21*Parámetros!$B$17,2)</f>
        <v>2662364.04</v>
      </c>
      <c r="H21" s="13">
        <f>SUM(F21:G21)</f>
        <v>3634338.21</v>
      </c>
    </row>
    <row r="22" spans="1:9">
      <c r="A22" s="12" t="s">
        <v>58</v>
      </c>
      <c r="B22" s="12">
        <v>2</v>
      </c>
      <c r="C22" s="13">
        <f>ROUND(E8,2)</f>
        <v>24761.57</v>
      </c>
      <c r="D22" s="13">
        <f>ROUND(C22*B22,2)</f>
        <v>49523.14</v>
      </c>
      <c r="E22" s="15">
        <f>1+Parámetros!$B$18</f>
        <v>1.05</v>
      </c>
      <c r="F22" s="13">
        <f>ROUND(D22*Parámetros!$B$16,2)</f>
        <v>75935.48</v>
      </c>
      <c r="G22" s="13">
        <f>ROUND(D22*E22*Parámetros!$B$17,2)</f>
        <v>207997.19</v>
      </c>
      <c r="H22" s="13">
        <f>SUM(F22:G22)</f>
        <v>283932.67</v>
      </c>
    </row>
    <row r="23" spans="1:9">
      <c r="A23" s="12" t="s">
        <v>84</v>
      </c>
      <c r="B23" s="12">
        <v>2</v>
      </c>
      <c r="C23" s="13">
        <f>ROUND(E15,2)</f>
        <v>580606.79</v>
      </c>
      <c r="D23" s="13">
        <f>ROUND(C23*B23,2)</f>
        <v>1161213.58</v>
      </c>
      <c r="E23" s="15">
        <f>1+Parámetros!$B$18</f>
        <v>1.05</v>
      </c>
      <c r="F23" s="13">
        <f>ROUND(D23*Parámetros!$B$16,2)</f>
        <v>1780527.49</v>
      </c>
      <c r="G23" s="13">
        <f>ROUND(D23*E23*Parámetros!$B$17,2)</f>
        <v>4877097.04</v>
      </c>
      <c r="H23" s="13">
        <f>SUM(F23:G23)</f>
        <v>6657624.5300000003</v>
      </c>
      <c r="I23" s="18"/>
    </row>
    <row r="24" spans="1:9" ht="13.9">
      <c r="A24" s="35" t="s">
        <v>85</v>
      </c>
      <c r="B24" s="35"/>
      <c r="C24" s="36"/>
      <c r="D24" s="36"/>
      <c r="E24" s="36"/>
      <c r="F24" s="19">
        <f>SUM(F19:F23)</f>
        <v>7073230.4199999999</v>
      </c>
      <c r="G24" s="19">
        <f>SUM(G19:G23)</f>
        <v>19374500.719999999</v>
      </c>
      <c r="H24" s="19">
        <f>SUM(H19:H23)</f>
        <v>26447731.140000001</v>
      </c>
    </row>
    <row r="25" spans="1:9">
      <c r="A25" s="1"/>
      <c r="B25" s="1"/>
      <c r="C25" s="1"/>
      <c r="D25" s="1"/>
      <c r="E25" s="1"/>
      <c r="F25" s="1"/>
      <c r="G25" s="1"/>
      <c r="H25" s="1"/>
    </row>
    <row r="26" spans="1:9">
      <c r="A26" s="1"/>
      <c r="B26" s="1"/>
      <c r="C26" s="1"/>
      <c r="D26" s="1"/>
      <c r="E26" s="1"/>
      <c r="F26" s="1"/>
      <c r="G26" s="1"/>
      <c r="H26" s="1"/>
    </row>
    <row r="27" spans="1:9">
      <c r="A27" s="1"/>
      <c r="B27" s="1"/>
      <c r="C27" s="1"/>
      <c r="D27" s="1"/>
      <c r="E27" s="1"/>
      <c r="F27" s="1"/>
      <c r="G27" s="1"/>
      <c r="H27" s="1"/>
    </row>
    <row r="28" spans="1:9">
      <c r="A28" s="1"/>
      <c r="B28" s="1"/>
      <c r="C28" s="1"/>
      <c r="D28" s="1"/>
      <c r="E28" s="1"/>
      <c r="F28" s="1"/>
      <c r="G28" s="1"/>
      <c r="H28" s="1"/>
    </row>
    <row r="29" spans="1:9">
      <c r="A29" s="1"/>
      <c r="B29" s="1"/>
      <c r="C29" s="1"/>
      <c r="D29" s="1"/>
      <c r="E29" s="1"/>
      <c r="F29" s="1"/>
      <c r="G29" s="1"/>
      <c r="H29" s="1"/>
    </row>
    <row r="30" spans="1:9">
      <c r="A30" s="1"/>
      <c r="B30" s="1"/>
      <c r="C30" s="1"/>
      <c r="D30" s="1"/>
      <c r="E30" s="1"/>
      <c r="F30" s="1"/>
      <c r="G30" s="1"/>
      <c r="H30" s="1"/>
    </row>
    <row r="31" spans="1:9">
      <c r="A31" s="1"/>
      <c r="B31" s="1"/>
      <c r="C31" s="1"/>
      <c r="D31" s="1"/>
      <c r="E31" s="1"/>
      <c r="F31" s="1"/>
      <c r="G31" s="1"/>
      <c r="H31" s="1"/>
    </row>
    <row r="32" spans="1:9">
      <c r="A32" s="1"/>
      <c r="B32" s="1"/>
      <c r="C32" s="1"/>
      <c r="D32" s="1"/>
      <c r="E32" s="1"/>
      <c r="F32" s="1"/>
      <c r="G32" s="1"/>
      <c r="H32" s="1"/>
    </row>
    <row r="33" spans="1:8">
      <c r="A33" s="1"/>
      <c r="B33" s="1"/>
      <c r="C33" s="1"/>
      <c r="D33" s="1"/>
      <c r="E33" s="1"/>
      <c r="F33" s="1"/>
      <c r="G33" s="1"/>
      <c r="H33" s="1"/>
    </row>
    <row r="34" spans="1:8">
      <c r="A34" s="1"/>
      <c r="B34" s="1"/>
      <c r="C34" s="1"/>
      <c r="D34" s="1"/>
      <c r="E34" s="1"/>
      <c r="F34" s="1"/>
      <c r="G34" s="1"/>
      <c r="H34" s="1"/>
    </row>
    <row r="35" spans="1:8">
      <c r="A35" s="1"/>
      <c r="B35" s="1"/>
      <c r="C35" s="1"/>
      <c r="D35" s="1"/>
      <c r="E35" s="1"/>
      <c r="F35" s="1"/>
      <c r="G35" s="1"/>
      <c r="H35" s="1"/>
    </row>
    <row r="36" spans="1:8">
      <c r="A36" s="1"/>
      <c r="B36" s="1"/>
      <c r="C36" s="1"/>
      <c r="D36" s="1"/>
      <c r="E36" s="1"/>
      <c r="F36" s="1"/>
      <c r="G36" s="1"/>
      <c r="H36" s="1"/>
    </row>
    <row r="37" spans="1:8">
      <c r="A37" s="1"/>
      <c r="B37" s="1"/>
      <c r="C37" s="1"/>
      <c r="D37" s="1"/>
      <c r="E37" s="1"/>
      <c r="F37" s="1"/>
      <c r="G37" s="1"/>
      <c r="H37" s="1"/>
    </row>
    <row r="38" spans="1:8">
      <c r="A38" s="1"/>
      <c r="B38" s="1"/>
      <c r="C38" s="1"/>
      <c r="D38" s="1"/>
      <c r="E38" s="1"/>
      <c r="F38" s="1"/>
      <c r="G38" s="1"/>
      <c r="H38" s="1"/>
    </row>
    <row r="39" spans="1:8">
      <c r="A39" s="1"/>
      <c r="B39" s="1"/>
      <c r="C39" s="1"/>
      <c r="D39" s="1"/>
      <c r="E39" s="1"/>
      <c r="F39" s="1"/>
      <c r="G39" s="1"/>
      <c r="H39" s="1"/>
    </row>
  </sheetData>
  <mergeCells count="11">
    <mergeCell ref="A1:H1"/>
    <mergeCell ref="A3:H3"/>
    <mergeCell ref="A10:H10"/>
    <mergeCell ref="A17:H17"/>
    <mergeCell ref="A24:E24"/>
    <mergeCell ref="A15:D15"/>
    <mergeCell ref="G11:H11"/>
    <mergeCell ref="G12:H12"/>
    <mergeCell ref="G13:H13"/>
    <mergeCell ref="G14:H14"/>
    <mergeCell ref="G15:H1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40"/>
  <sheetViews>
    <sheetView topLeftCell="A9" workbookViewId="0">
      <selection activeCell="H20" sqref="H20"/>
    </sheetView>
  </sheetViews>
  <sheetFormatPr baseColWidth="10" defaultColWidth="8.6875" defaultRowHeight="13.5"/>
  <cols>
    <col min="1" max="1" width="34" style="2" customWidth="1"/>
    <col min="2" max="2" width="14" style="2" customWidth="1"/>
    <col min="3" max="3" width="42" style="2" customWidth="1"/>
    <col min="4" max="5" width="22" style="2" customWidth="1"/>
    <col min="6" max="6" width="13.375" style="2" customWidth="1"/>
    <col min="7" max="7" width="22" style="2" customWidth="1"/>
    <col min="8" max="8" width="8.6875" style="2"/>
    <col min="9" max="9" width="32" style="2" customWidth="1"/>
    <col min="10" max="12" width="16" style="2" customWidth="1"/>
    <col min="13" max="16384" width="8.6875" style="2"/>
  </cols>
  <sheetData>
    <row r="1" spans="1:8" ht="13.9">
      <c r="A1" s="31" t="s">
        <v>86</v>
      </c>
      <c r="B1" s="31"/>
      <c r="C1" s="31"/>
      <c r="D1" s="31"/>
      <c r="E1" s="31"/>
      <c r="F1" s="31"/>
      <c r="G1" s="31"/>
      <c r="H1" s="1"/>
    </row>
    <row r="2" spans="1:8">
      <c r="A2" s="1"/>
      <c r="B2" s="1"/>
      <c r="C2" s="1"/>
      <c r="D2" s="1"/>
      <c r="E2" s="1"/>
      <c r="F2" s="1"/>
      <c r="G2" s="1"/>
      <c r="H2" s="1"/>
    </row>
    <row r="3" spans="1:8" ht="13.9">
      <c r="A3" s="34" t="s">
        <v>87</v>
      </c>
      <c r="B3" s="34"/>
      <c r="C3" s="34"/>
      <c r="D3" s="34"/>
      <c r="E3" s="34"/>
      <c r="F3" s="34"/>
      <c r="G3" s="34"/>
      <c r="H3" s="1"/>
    </row>
    <row r="4" spans="1:8" ht="13.9">
      <c r="A4" s="3" t="s">
        <v>88</v>
      </c>
      <c r="B4" s="3" t="s">
        <v>78</v>
      </c>
      <c r="C4" s="3" t="s">
        <v>89</v>
      </c>
      <c r="D4" s="3" t="s">
        <v>90</v>
      </c>
      <c r="E4" s="3" t="s">
        <v>91</v>
      </c>
      <c r="F4" s="3" t="s">
        <v>92</v>
      </c>
      <c r="G4" s="3" t="s">
        <v>93</v>
      </c>
      <c r="H4" s="1"/>
    </row>
    <row r="5" spans="1:8">
      <c r="A5" s="4" t="s">
        <v>20</v>
      </c>
      <c r="B5" s="4">
        <v>19</v>
      </c>
      <c r="C5" s="4" t="s">
        <v>94</v>
      </c>
      <c r="D5" s="21">
        <f>(Parámetros!$B$9*Parámetros!$B$10+Parámetros!$B$12)*(1+Parámetros!$B$11)</f>
        <v>19345158.147600003</v>
      </c>
      <c r="E5" s="21">
        <f>ROUND(D5,2)*B5</f>
        <v>367558004.84999996</v>
      </c>
      <c r="F5" s="4">
        <f>Parámetros!$B$16</f>
        <v>1.5333333333333332</v>
      </c>
      <c r="G5" s="21">
        <f>ROUND(E5*F5,2)</f>
        <v>563588940.76999998</v>
      </c>
      <c r="H5" s="1"/>
    </row>
    <row r="6" spans="1:8">
      <c r="A6" s="4" t="s">
        <v>95</v>
      </c>
      <c r="B6" s="4">
        <v>1</v>
      </c>
      <c r="C6" s="4" t="s">
        <v>96</v>
      </c>
      <c r="D6" s="21">
        <f>(Parámetros!$B$9*Parámetros!$B$10+Parámetros!$B$12)*(1+Parámetros!$B$11)*Parámetros!$B$13*10/13</f>
        <v>7081815.9711098773</v>
      </c>
      <c r="E6" s="21">
        <f>ROUND(D6,2)*B6</f>
        <v>7081815.9699999997</v>
      </c>
      <c r="F6" s="4">
        <f>31/30</f>
        <v>1.0333333333333334</v>
      </c>
      <c r="G6" s="21">
        <f>ROUND(E6*F6,2)</f>
        <v>7317876.5</v>
      </c>
      <c r="H6" s="1"/>
    </row>
    <row r="7" spans="1:8" ht="13.9">
      <c r="A7" s="37" t="s">
        <v>97</v>
      </c>
      <c r="B7" s="38"/>
      <c r="C7" s="38"/>
      <c r="D7" s="52"/>
      <c r="E7" s="22">
        <f>SUM(E5:E6)</f>
        <v>374639820.81999999</v>
      </c>
      <c r="F7" s="22"/>
      <c r="G7" s="22">
        <f>ROUND(SUM(G5:G6)*(1+Parámetros!$B$14*Parámetros!$B$15),2)</f>
        <v>581754046.79999995</v>
      </c>
      <c r="H7" s="1"/>
    </row>
    <row r="8" spans="1:8">
      <c r="A8" s="1"/>
      <c r="B8" s="1"/>
      <c r="C8" s="1"/>
      <c r="D8" s="23"/>
      <c r="E8" s="23"/>
      <c r="F8" s="23"/>
      <c r="G8" s="23"/>
      <c r="H8" s="1"/>
    </row>
    <row r="9" spans="1:8">
      <c r="A9" s="1"/>
      <c r="B9" s="1"/>
      <c r="C9" s="1"/>
      <c r="D9" s="23"/>
      <c r="E9" s="23"/>
      <c r="F9" s="23"/>
      <c r="G9" s="23"/>
      <c r="H9" s="1"/>
    </row>
    <row r="10" spans="1:8" ht="13.9">
      <c r="A10" s="34" t="s">
        <v>98</v>
      </c>
      <c r="B10" s="34"/>
      <c r="C10" s="34"/>
      <c r="D10" s="50"/>
      <c r="E10" s="50"/>
      <c r="F10" s="50"/>
      <c r="G10" s="50"/>
      <c r="H10" s="1"/>
    </row>
    <row r="11" spans="1:8" ht="13.9">
      <c r="A11" s="3" t="s">
        <v>88</v>
      </c>
      <c r="B11" s="3" t="s">
        <v>78</v>
      </c>
      <c r="C11" s="3" t="s">
        <v>89</v>
      </c>
      <c r="D11" s="24" t="s">
        <v>90</v>
      </c>
      <c r="E11" s="24" t="s">
        <v>91</v>
      </c>
      <c r="F11" s="24" t="s">
        <v>92</v>
      </c>
      <c r="G11" s="24" t="s">
        <v>93</v>
      </c>
      <c r="H11" s="1"/>
    </row>
    <row r="12" spans="1:8" ht="27">
      <c r="A12" s="4" t="s">
        <v>20</v>
      </c>
      <c r="B12" s="4">
        <v>19</v>
      </c>
      <c r="C12" s="4" t="s">
        <v>99</v>
      </c>
      <c r="D12" s="21">
        <f>(Parámetros!$B$19*Parámetros!$B$20+Parámetros!$B$12)*(1+Parámetros!$B$11)</f>
        <v>20986243.711200006</v>
      </c>
      <c r="E12" s="21">
        <f>ROUND(D12,2)*B12</f>
        <v>398738630.49000001</v>
      </c>
      <c r="F12" s="4">
        <f>Parámetros!$B$17</f>
        <v>4</v>
      </c>
      <c r="G12" s="21">
        <f>ROUND(E12*F12,2)</f>
        <v>1594954521.96</v>
      </c>
      <c r="H12" s="1"/>
    </row>
    <row r="13" spans="1:8" ht="27">
      <c r="A13" s="4" t="s">
        <v>95</v>
      </c>
      <c r="B13" s="4">
        <v>1</v>
      </c>
      <c r="C13" s="4" t="s">
        <v>100</v>
      </c>
      <c r="D13" s="21">
        <f>(Parámetros!$B$19*Parámetros!$B$20+Parámetros!$B$12)*(1+Parámetros!$B$11)*Parámetros!$B$21*10/13</f>
        <v>7682579.524738525</v>
      </c>
      <c r="E13" s="21">
        <f>ROUND(D13,2)*B13</f>
        <v>7682579.5199999996</v>
      </c>
      <c r="F13" s="4">
        <f>81/30</f>
        <v>2.7</v>
      </c>
      <c r="G13" s="21">
        <f>ROUND(E13*F13,2)</f>
        <v>20742964.699999999</v>
      </c>
      <c r="H13" s="1"/>
    </row>
    <row r="14" spans="1:8" ht="13.9">
      <c r="A14" s="37" t="s">
        <v>101</v>
      </c>
      <c r="B14" s="38"/>
      <c r="C14" s="38"/>
      <c r="D14" s="52"/>
      <c r="E14" s="22">
        <f>SUM(E12:E13)</f>
        <v>406421210.00999999</v>
      </c>
      <c r="F14" s="22"/>
      <c r="G14" s="22">
        <f>ROUND(SUM(G12:G13)*(1+Parámetros!$B$14*Parámetros!$B$15),2)</f>
        <v>1646395738.9100001</v>
      </c>
      <c r="H14" s="1"/>
    </row>
    <row r="15" spans="1:8" ht="13.9">
      <c r="A15" s="37" t="s">
        <v>102</v>
      </c>
      <c r="B15" s="38"/>
      <c r="C15" s="38"/>
      <c r="D15" s="51"/>
      <c r="E15" s="51"/>
      <c r="F15" s="52"/>
      <c r="G15" s="22">
        <f>ROUND(G7+G14,2)</f>
        <v>2228149785.71</v>
      </c>
      <c r="H15" s="1"/>
    </row>
    <row r="16" spans="1:8">
      <c r="A16" s="1"/>
      <c r="B16" s="1"/>
      <c r="C16" s="1"/>
      <c r="D16" s="1"/>
      <c r="E16" s="1"/>
      <c r="F16" s="1"/>
      <c r="G16" s="1"/>
      <c r="H16" s="1"/>
    </row>
    <row r="17" spans="1:8">
      <c r="A17" s="1"/>
      <c r="B17" s="1"/>
      <c r="C17" s="1"/>
      <c r="D17" s="1"/>
      <c r="E17" s="1"/>
      <c r="F17" s="1"/>
      <c r="G17" s="1"/>
      <c r="H17" s="1"/>
    </row>
    <row r="18" spans="1:8" ht="13.9">
      <c r="A18" s="1"/>
      <c r="B18" s="1"/>
      <c r="C18" s="47" t="s">
        <v>103</v>
      </c>
      <c r="D18" s="48"/>
      <c r="E18" s="48"/>
      <c r="F18" s="49"/>
      <c r="G18" s="1"/>
      <c r="H18" s="1"/>
    </row>
    <row r="19" spans="1:8" ht="13.9">
      <c r="A19" s="1"/>
      <c r="B19" s="1"/>
      <c r="C19" s="24" t="s">
        <v>104</v>
      </c>
      <c r="D19" s="24" t="s">
        <v>105</v>
      </c>
      <c r="E19" s="24" t="s">
        <v>106</v>
      </c>
      <c r="F19" s="24" t="s">
        <v>83</v>
      </c>
      <c r="G19" s="1"/>
      <c r="H19" s="1"/>
    </row>
    <row r="20" spans="1:8" ht="13.9">
      <c r="A20" s="1"/>
      <c r="B20" s="1"/>
      <c r="C20" s="25" t="s">
        <v>107</v>
      </c>
      <c r="D20" s="26">
        <f>ROUND(SUM(G5:G6),2)</f>
        <v>570906817.26999998</v>
      </c>
      <c r="E20" s="26">
        <f>ROUND(SUM(G12:G13),2)</f>
        <v>1615697486.6600001</v>
      </c>
      <c r="F20" s="27">
        <f>ROUND(D20+E20,2)</f>
        <v>2186604303.9299998</v>
      </c>
      <c r="G20" s="1"/>
      <c r="H20" s="1"/>
    </row>
    <row r="21" spans="1:8" ht="13.9">
      <c r="A21" s="1"/>
      <c r="B21" s="1"/>
      <c r="C21" s="25" t="s">
        <v>108</v>
      </c>
      <c r="D21" s="26">
        <f>ROUND(D20*Parámetros!$B$14,2)</f>
        <v>57090681.729999997</v>
      </c>
      <c r="E21" s="26">
        <f>ROUND(E20*Parámetros!$B$14,2)</f>
        <v>161569748.66999999</v>
      </c>
      <c r="F21" s="27">
        <f>ROUND(D21+E21,2)</f>
        <v>218660430.40000001</v>
      </c>
      <c r="G21" s="1"/>
      <c r="H21" s="1"/>
    </row>
    <row r="22" spans="1:8" ht="13.9">
      <c r="A22" s="1"/>
      <c r="B22" s="1"/>
      <c r="C22" s="25" t="s">
        <v>109</v>
      </c>
      <c r="D22" s="26">
        <f>D21*Parámetros!$B$15</f>
        <v>10847229.5287</v>
      </c>
      <c r="E22" s="26">
        <f>E21*Parámetros!$B$15</f>
        <v>30698252.247299999</v>
      </c>
      <c r="F22" s="27">
        <f>D22+E22</f>
        <v>41545481.776000001</v>
      </c>
      <c r="G22" s="1"/>
      <c r="H22" s="1"/>
    </row>
    <row r="23" spans="1:8" ht="13.9">
      <c r="A23" s="1"/>
      <c r="B23" s="1"/>
      <c r="C23" s="25" t="s">
        <v>110</v>
      </c>
      <c r="D23" s="26">
        <f>D20+D22</f>
        <v>581754046.79869998</v>
      </c>
      <c r="E23" s="26">
        <f>E20+E22</f>
        <v>1646395738.9073</v>
      </c>
      <c r="F23" s="27">
        <f>D23+E23</f>
        <v>2228149785.7059999</v>
      </c>
      <c r="G23" s="1"/>
      <c r="H23" s="1"/>
    </row>
    <row r="24" spans="1:8">
      <c r="A24" s="1"/>
      <c r="B24" s="1"/>
      <c r="G24" s="1"/>
      <c r="H24" s="1"/>
    </row>
    <row r="25" spans="1:8">
      <c r="A25" s="1"/>
      <c r="B25" s="1"/>
      <c r="G25" s="1"/>
      <c r="H25" s="1"/>
    </row>
    <row r="26" spans="1:8">
      <c r="A26" s="1"/>
      <c r="B26" s="1"/>
      <c r="C26" s="1"/>
      <c r="D26" s="1"/>
      <c r="E26" s="1"/>
      <c r="F26" s="1"/>
      <c r="G26" s="1"/>
      <c r="H26" s="1"/>
    </row>
    <row r="27" spans="1:8">
      <c r="A27" s="1"/>
      <c r="B27" s="1"/>
      <c r="C27" s="1"/>
      <c r="D27" s="1"/>
      <c r="E27" s="1"/>
      <c r="F27" s="1"/>
      <c r="G27" s="1"/>
      <c r="H27" s="1"/>
    </row>
    <row r="28" spans="1:8">
      <c r="A28" s="1"/>
      <c r="B28" s="1"/>
      <c r="C28" s="1"/>
      <c r="D28" s="1"/>
      <c r="E28" s="1"/>
      <c r="F28" s="1"/>
      <c r="G28" s="1"/>
      <c r="H28" s="1"/>
    </row>
    <row r="29" spans="1:8">
      <c r="A29" s="1"/>
      <c r="B29" s="1"/>
      <c r="C29" s="1"/>
      <c r="D29" s="1"/>
      <c r="E29" s="1"/>
      <c r="F29" s="1"/>
      <c r="G29" s="1"/>
      <c r="H29" s="1"/>
    </row>
    <row r="30" spans="1:8">
      <c r="A30" s="1"/>
      <c r="B30" s="1"/>
      <c r="C30" s="1"/>
      <c r="D30" s="1"/>
      <c r="E30" s="1"/>
      <c r="F30" s="1"/>
      <c r="G30" s="1"/>
      <c r="H30" s="1"/>
    </row>
    <row r="31" spans="1:8">
      <c r="A31" s="1"/>
      <c r="B31" s="1"/>
      <c r="C31" s="1"/>
      <c r="D31" s="1"/>
      <c r="E31" s="1"/>
      <c r="F31" s="1"/>
      <c r="G31" s="1"/>
      <c r="H31" s="1"/>
    </row>
    <row r="32" spans="1:8">
      <c r="A32" s="1"/>
      <c r="B32" s="1"/>
      <c r="C32" s="1"/>
      <c r="D32" s="1"/>
      <c r="E32" s="1"/>
      <c r="F32" s="1"/>
      <c r="G32" s="1"/>
      <c r="H32" s="1"/>
    </row>
    <row r="33" spans="1:8">
      <c r="A33" s="1"/>
      <c r="B33" s="1"/>
      <c r="C33" s="1"/>
      <c r="D33" s="1"/>
      <c r="E33" s="1"/>
      <c r="F33" s="1"/>
      <c r="G33" s="1"/>
      <c r="H33" s="1"/>
    </row>
    <row r="34" spans="1:8">
      <c r="A34" s="1"/>
      <c r="B34" s="1"/>
      <c r="C34" s="1"/>
      <c r="D34" s="1"/>
      <c r="E34" s="1"/>
      <c r="F34" s="1"/>
      <c r="G34" s="1"/>
      <c r="H34" s="1"/>
    </row>
    <row r="35" spans="1:8">
      <c r="A35" s="1"/>
      <c r="B35" s="1"/>
      <c r="C35" s="1"/>
      <c r="D35" s="1"/>
      <c r="E35" s="1"/>
      <c r="F35" s="1"/>
      <c r="G35" s="1"/>
      <c r="H35" s="1"/>
    </row>
    <row r="36" spans="1:8">
      <c r="A36" s="1"/>
      <c r="B36" s="1"/>
      <c r="C36" s="1"/>
      <c r="D36" s="1"/>
      <c r="E36" s="1"/>
      <c r="F36" s="1"/>
      <c r="G36" s="1"/>
      <c r="H36" s="1"/>
    </row>
    <row r="37" spans="1:8">
      <c r="A37" s="1"/>
      <c r="B37" s="1"/>
      <c r="C37" s="1"/>
      <c r="D37" s="1"/>
      <c r="E37" s="1"/>
      <c r="F37" s="1"/>
      <c r="G37" s="1"/>
      <c r="H37" s="1"/>
    </row>
    <row r="38" spans="1:8">
      <c r="A38" s="1"/>
      <c r="B38" s="1"/>
      <c r="C38" s="1"/>
      <c r="D38" s="1"/>
      <c r="E38" s="1"/>
      <c r="F38" s="1"/>
      <c r="G38" s="1"/>
      <c r="H38" s="1"/>
    </row>
    <row r="39" spans="1:8">
      <c r="A39" s="1"/>
      <c r="B39" s="1"/>
      <c r="C39" s="1"/>
      <c r="D39" s="1"/>
      <c r="E39" s="1"/>
      <c r="F39" s="1"/>
      <c r="G39" s="1"/>
      <c r="H39" s="1"/>
    </row>
    <row r="40" spans="1:8">
      <c r="A40" s="1"/>
      <c r="B40" s="1"/>
      <c r="C40" s="1"/>
      <c r="D40" s="1"/>
      <c r="E40" s="1"/>
      <c r="F40" s="1"/>
      <c r="G40" s="1"/>
      <c r="H40" s="1"/>
    </row>
  </sheetData>
  <mergeCells count="7">
    <mergeCell ref="C18:F18"/>
    <mergeCell ref="A1:G1"/>
    <mergeCell ref="A3:G3"/>
    <mergeCell ref="A10:G10"/>
    <mergeCell ref="A15:F15"/>
    <mergeCell ref="A7:D7"/>
    <mergeCell ref="A14:D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0"/>
  <sheetViews>
    <sheetView workbookViewId="0">
      <selection activeCell="C15" sqref="C15"/>
    </sheetView>
  </sheetViews>
  <sheetFormatPr baseColWidth="10" defaultColWidth="8.6875" defaultRowHeight="13.5"/>
  <cols>
    <col min="1" max="1" width="36.5625" style="2" customWidth="1"/>
    <col min="2" max="3" width="22" style="2" customWidth="1"/>
    <col min="4" max="4" width="30" style="2" customWidth="1"/>
    <col min="5" max="16384" width="8.6875" style="2"/>
  </cols>
  <sheetData>
    <row r="1" spans="1:8" ht="13.9">
      <c r="A1" s="32" t="s">
        <v>111</v>
      </c>
      <c r="B1" s="32"/>
      <c r="C1" s="32"/>
      <c r="D1" s="32"/>
      <c r="E1" s="1"/>
      <c r="F1" s="1"/>
      <c r="G1" s="1"/>
      <c r="H1" s="1"/>
    </row>
    <row r="2" spans="1:8">
      <c r="A2" s="1"/>
      <c r="B2" s="1"/>
      <c r="C2" s="1"/>
      <c r="D2" s="1"/>
      <c r="E2" s="1"/>
      <c r="F2" s="1"/>
      <c r="G2" s="1"/>
      <c r="H2" s="1"/>
    </row>
    <row r="3" spans="1:8" ht="13.9">
      <c r="A3" s="3" t="s">
        <v>112</v>
      </c>
      <c r="B3" s="3" t="s">
        <v>113</v>
      </c>
      <c r="C3" s="3" t="s">
        <v>114</v>
      </c>
      <c r="D3" s="3" t="s">
        <v>115</v>
      </c>
      <c r="E3" s="1"/>
      <c r="F3" s="1"/>
      <c r="G3" s="1"/>
      <c r="H3" s="1"/>
    </row>
    <row r="4" spans="1:8">
      <c r="A4" s="4" t="s">
        <v>18</v>
      </c>
      <c r="B4" s="14">
        <f>'Componente regulado'!G7</f>
        <v>581754046.79999995</v>
      </c>
      <c r="C4" s="14">
        <f>'Componente regulado'!G14</f>
        <v>1646395738.9100001</v>
      </c>
      <c r="D4" s="14">
        <f>B4+C4</f>
        <v>2228149785.71</v>
      </c>
      <c r="E4" s="1"/>
      <c r="F4" s="1"/>
      <c r="G4" s="1"/>
      <c r="H4" s="1"/>
    </row>
    <row r="5" spans="1:8">
      <c r="A5" s="4" t="s">
        <v>116</v>
      </c>
      <c r="B5" s="14">
        <f>'Componente tecnológico'!F24</f>
        <v>7073230.4199999999</v>
      </c>
      <c r="C5" s="14">
        <f>'Componente tecnológico'!G24</f>
        <v>19374500.719999999</v>
      </c>
      <c r="D5" s="14">
        <f>B5+C5</f>
        <v>26447731.140000001</v>
      </c>
      <c r="E5" s="1"/>
      <c r="F5" s="1"/>
      <c r="G5" s="1"/>
      <c r="H5" s="1"/>
    </row>
    <row r="6" spans="1:8" ht="13.9">
      <c r="A6" s="17" t="s">
        <v>117</v>
      </c>
      <c r="B6" s="16">
        <f>ROUND(B4+B5,2)</f>
        <v>588827277.22000003</v>
      </c>
      <c r="C6" s="16">
        <f>ROUND(C4+C5,2)</f>
        <v>1665770239.6300001</v>
      </c>
      <c r="D6" s="22">
        <f>ROUND(B6+C6,0)</f>
        <v>2254597517</v>
      </c>
      <c r="E6" s="1"/>
      <c r="F6" s="1"/>
      <c r="G6" s="1"/>
      <c r="H6" s="1"/>
    </row>
    <row r="7" spans="1:8">
      <c r="A7" s="1"/>
      <c r="B7" s="1"/>
      <c r="C7" s="1"/>
      <c r="D7" s="1"/>
      <c r="E7" s="1"/>
      <c r="F7" s="1"/>
      <c r="G7" s="1"/>
      <c r="H7" s="1"/>
    </row>
    <row r="8" spans="1:8" ht="13.9">
      <c r="A8" s="28"/>
      <c r="B8" s="28"/>
      <c r="C8" s="28"/>
      <c r="D8" s="28"/>
      <c r="E8" s="1"/>
      <c r="F8" s="1"/>
      <c r="G8" s="1"/>
      <c r="H8" s="1"/>
    </row>
    <row r="9" spans="1:8">
      <c r="A9" s="1"/>
      <c r="B9" s="23"/>
      <c r="C9" s="1"/>
      <c r="D9" s="1"/>
      <c r="E9" s="1"/>
      <c r="F9" s="1"/>
      <c r="G9" s="1"/>
      <c r="H9" s="1"/>
    </row>
    <row r="10" spans="1:8" ht="13.9">
      <c r="A10" s="28"/>
      <c r="B10" s="29"/>
      <c r="C10" s="28"/>
      <c r="D10" s="28"/>
      <c r="E10" s="1"/>
      <c r="F10" s="1"/>
      <c r="G10" s="1"/>
      <c r="H10" s="1"/>
    </row>
    <row r="11" spans="1:8">
      <c r="A11" s="1"/>
      <c r="B11" s="1"/>
      <c r="C11" s="1"/>
      <c r="D11" s="1"/>
      <c r="E11" s="1"/>
      <c r="F11" s="1"/>
      <c r="G11" s="1"/>
      <c r="H11" s="1"/>
    </row>
    <row r="12" spans="1:8">
      <c r="A12" s="1"/>
      <c r="B12" s="1"/>
      <c r="C12" s="1"/>
      <c r="D12" s="30"/>
      <c r="E12" s="1"/>
      <c r="F12" s="1"/>
      <c r="G12" s="1"/>
      <c r="H12" s="1"/>
    </row>
    <row r="13" spans="1:8">
      <c r="A13" s="1"/>
      <c r="B13" s="1"/>
      <c r="C13" s="1"/>
      <c r="D13" s="1"/>
      <c r="E13" s="1"/>
      <c r="F13" s="1"/>
      <c r="G13" s="1"/>
      <c r="H13" s="1"/>
    </row>
    <row r="14" spans="1:8">
      <c r="A14" s="1"/>
      <c r="B14" s="1"/>
      <c r="C14" s="1"/>
      <c r="D14" s="1"/>
      <c r="E14" s="1"/>
      <c r="F14" s="1"/>
      <c r="G14" s="1"/>
      <c r="H14" s="1"/>
    </row>
    <row r="15" spans="1:8">
      <c r="A15" s="1"/>
      <c r="B15" s="1"/>
      <c r="C15" s="1"/>
      <c r="D15" s="1"/>
      <c r="E15" s="1"/>
      <c r="F15" s="1"/>
      <c r="G15" s="1"/>
      <c r="H15" s="1"/>
    </row>
    <row r="16" spans="1:8">
      <c r="A16" s="1"/>
      <c r="B16" s="1"/>
      <c r="C16" s="1"/>
      <c r="D16" s="1"/>
      <c r="E16" s="1"/>
      <c r="F16" s="1"/>
      <c r="G16" s="1"/>
      <c r="H16" s="1"/>
    </row>
    <row r="17" spans="1:8">
      <c r="A17" s="1"/>
      <c r="B17" s="1"/>
      <c r="C17" s="1"/>
      <c r="D17" s="1"/>
      <c r="E17" s="1"/>
      <c r="F17" s="1"/>
      <c r="G17" s="1"/>
      <c r="H17" s="1"/>
    </row>
    <row r="18" spans="1:8">
      <c r="A18" s="1"/>
      <c r="B18" s="1"/>
      <c r="C18" s="1"/>
      <c r="D18" s="1"/>
      <c r="E18" s="1"/>
      <c r="F18" s="1"/>
      <c r="G18" s="1"/>
      <c r="H18" s="1"/>
    </row>
    <row r="19" spans="1:8">
      <c r="A19" s="1"/>
      <c r="B19" s="1"/>
      <c r="C19" s="1"/>
      <c r="D19" s="1"/>
      <c r="E19" s="1"/>
      <c r="F19" s="1"/>
      <c r="G19" s="1"/>
      <c r="H19" s="1"/>
    </row>
    <row r="20" spans="1:8">
      <c r="A20" s="1"/>
      <c r="B20" s="1"/>
      <c r="C20" s="1"/>
      <c r="D20" s="1"/>
      <c r="E20" s="1"/>
      <c r="F20" s="1"/>
      <c r="G20" s="1"/>
      <c r="H20" s="1"/>
    </row>
    <row r="21" spans="1:8">
      <c r="A21" s="1"/>
      <c r="B21" s="1"/>
      <c r="C21" s="1"/>
      <c r="D21" s="1"/>
      <c r="E21" s="1"/>
      <c r="F21" s="1"/>
      <c r="G21" s="1"/>
      <c r="H21" s="1"/>
    </row>
    <row r="22" spans="1:8">
      <c r="A22" s="1"/>
      <c r="B22" s="1"/>
      <c r="C22" s="1"/>
      <c r="D22" s="1"/>
      <c r="E22" s="1"/>
      <c r="F22" s="1"/>
      <c r="G22" s="1"/>
      <c r="H22" s="1"/>
    </row>
    <row r="23" spans="1:8">
      <c r="A23" s="1"/>
      <c r="B23" s="1"/>
      <c r="C23" s="1"/>
      <c r="D23" s="1"/>
      <c r="E23" s="1"/>
      <c r="F23" s="1"/>
      <c r="G23" s="1"/>
      <c r="H23" s="1"/>
    </row>
    <row r="24" spans="1:8">
      <c r="A24" s="1"/>
      <c r="B24" s="1"/>
      <c r="C24" s="1"/>
      <c r="D24" s="1"/>
      <c r="E24" s="1"/>
      <c r="F24" s="1"/>
      <c r="G24" s="1"/>
      <c r="H24" s="1"/>
    </row>
    <row r="25" spans="1:8">
      <c r="A25" s="1"/>
      <c r="B25" s="1"/>
      <c r="C25" s="1"/>
      <c r="D25" s="1"/>
      <c r="E25" s="1"/>
      <c r="F25" s="1"/>
      <c r="G25" s="1"/>
      <c r="H25" s="1"/>
    </row>
    <row r="26" spans="1:8">
      <c r="A26" s="1"/>
      <c r="B26" s="1"/>
      <c r="C26" s="1"/>
      <c r="D26" s="1"/>
      <c r="E26" s="1"/>
      <c r="F26" s="1"/>
      <c r="G26" s="1"/>
      <c r="H26" s="1"/>
    </row>
    <row r="27" spans="1:8">
      <c r="A27" s="1"/>
      <c r="B27" s="1"/>
      <c r="C27" s="1"/>
      <c r="D27" s="1"/>
      <c r="E27" s="1"/>
      <c r="F27" s="1"/>
      <c r="G27" s="1"/>
      <c r="H27" s="1"/>
    </row>
    <row r="28" spans="1:8">
      <c r="A28" s="1"/>
      <c r="B28" s="1"/>
      <c r="C28" s="1"/>
      <c r="D28" s="1"/>
      <c r="E28" s="1"/>
      <c r="F28" s="1"/>
      <c r="G28" s="1"/>
      <c r="H28" s="1"/>
    </row>
    <row r="29" spans="1:8">
      <c r="A29" s="1"/>
      <c r="B29" s="1"/>
      <c r="C29" s="1"/>
      <c r="D29" s="1"/>
      <c r="E29" s="1"/>
      <c r="F29" s="1"/>
      <c r="G29" s="1"/>
      <c r="H29" s="1"/>
    </row>
    <row r="30" spans="1:8">
      <c r="A30" s="1"/>
      <c r="B30" s="1"/>
      <c r="C30" s="1"/>
      <c r="D30" s="1"/>
      <c r="E30" s="1"/>
      <c r="F30" s="1"/>
      <c r="G30" s="1"/>
      <c r="H30" s="1"/>
    </row>
    <row r="31" spans="1:8">
      <c r="A31" s="1"/>
      <c r="B31" s="1"/>
      <c r="C31" s="1"/>
      <c r="D31" s="1"/>
      <c r="E31" s="1"/>
      <c r="F31" s="1"/>
      <c r="G31" s="1"/>
      <c r="H31" s="1"/>
    </row>
    <row r="32" spans="1:8">
      <c r="A32" s="1"/>
      <c r="B32" s="1"/>
      <c r="C32" s="1"/>
      <c r="D32" s="1"/>
      <c r="E32" s="1"/>
      <c r="F32" s="1"/>
      <c r="G32" s="1"/>
      <c r="H32" s="1"/>
    </row>
    <row r="33" spans="1:8">
      <c r="A33" s="1"/>
      <c r="B33" s="1"/>
      <c r="C33" s="1"/>
      <c r="D33" s="1"/>
      <c r="E33" s="1"/>
      <c r="F33" s="1"/>
      <c r="G33" s="1"/>
      <c r="H33" s="1"/>
    </row>
    <row r="34" spans="1:8">
      <c r="A34" s="1"/>
      <c r="B34" s="1"/>
      <c r="C34" s="1"/>
      <c r="D34" s="1"/>
      <c r="E34" s="1"/>
      <c r="F34" s="1"/>
      <c r="G34" s="1"/>
      <c r="H34" s="1"/>
    </row>
    <row r="35" spans="1:8">
      <c r="A35" s="1"/>
      <c r="B35" s="1"/>
      <c r="C35" s="1"/>
      <c r="D35" s="1"/>
      <c r="E35" s="1"/>
      <c r="F35" s="1"/>
      <c r="G35" s="1"/>
      <c r="H35" s="1"/>
    </row>
    <row r="36" spans="1:8">
      <c r="A36" s="1"/>
      <c r="B36" s="1"/>
      <c r="C36" s="1"/>
      <c r="D36" s="1"/>
      <c r="E36" s="1"/>
      <c r="F36" s="1"/>
      <c r="G36" s="1"/>
      <c r="H36" s="1"/>
    </row>
    <row r="37" spans="1:8">
      <c r="A37" s="1"/>
      <c r="B37" s="1"/>
      <c r="C37" s="1"/>
      <c r="D37" s="1"/>
      <c r="E37" s="1"/>
      <c r="F37" s="1"/>
      <c r="G37" s="1"/>
      <c r="H37" s="1"/>
    </row>
    <row r="38" spans="1:8">
      <c r="A38" s="1"/>
      <c r="B38" s="1"/>
      <c r="C38" s="1"/>
      <c r="D38" s="1"/>
      <c r="E38" s="1"/>
      <c r="F38" s="1"/>
      <c r="G38" s="1"/>
      <c r="H38" s="1"/>
    </row>
    <row r="39" spans="1:8">
      <c r="A39" s="1"/>
      <c r="B39" s="1"/>
      <c r="C39" s="1"/>
      <c r="D39" s="1"/>
      <c r="E39" s="1"/>
      <c r="F39" s="1"/>
      <c r="G39" s="1"/>
      <c r="H39" s="1"/>
    </row>
    <row r="40" spans="1:8">
      <c r="A40" s="1"/>
      <c r="B40" s="1"/>
      <c r="C40" s="1"/>
      <c r="D40" s="1"/>
      <c r="E40" s="1"/>
      <c r="F40" s="1"/>
      <c r="G40" s="1"/>
      <c r="H40" s="1"/>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Parámetros</vt:lpstr>
      <vt:lpstr>Componente tecnológico</vt:lpstr>
      <vt:lpstr>Componente regulado</vt:lpstr>
      <vt:lpstr>Resumen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Guzman Rodriguez</dc:creator>
  <cp:lastModifiedBy>Carlos Andres Guzman Rodriguez</cp:lastModifiedBy>
  <dcterms:created xsi:type="dcterms:W3CDTF">2026-10-14T17:06:30Z</dcterms:created>
  <dcterms:modified xsi:type="dcterms:W3CDTF">2026-10-14T18:44:22Z</dcterms:modified>
</cp:coreProperties>
</file>