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docs.live.net/b145abbfa742ac15/Escritorio/Unidades Ancla/"/>
    </mc:Choice>
  </mc:AlternateContent>
  <xr:revisionPtr revIDLastSave="167" documentId="8_{1490AFFC-40A6-4707-9431-9BAF2C7836D1}" xr6:coauthVersionLast="47" xr6:coauthVersionMax="47" xr10:uidLastSave="{5D986C3D-6798-48E3-AF29-099BA5280DFB}"/>
  <bookViews>
    <workbookView xWindow="-120" yWindow="-120" windowWidth="20730" windowHeight="11040" firstSheet="6" activeTab="7" xr2:uid="{2ECCA601-6527-46C9-A748-75286642ACA6}"/>
  </bookViews>
  <sheets>
    <sheet name="VALORES OTROS PROCESOS" sheetId="1" r:id="rId1"/>
    <sheet name="KIT ASEO" sheetId="3" r:id="rId2"/>
    <sheet name="KIT DE MANCUERNAS" sheetId="7" r:id="rId3"/>
    <sheet name="MATERIAL DIDÁCTICO" sheetId="5" r:id="rId4"/>
    <sheet name="CAMINADORA" sheetId="6" r:id="rId5"/>
    <sheet name="VALORES MERCADO GRANDES SUPERFI" sheetId="10" r:id="rId6"/>
    <sheet name="INDEXACION VALORES 2026" sheetId="9" r:id="rId7"/>
    <sheet name="VALORES PROCESOS- MERCADO COMPA" sheetId="8" r:id="rId8"/>
    <sheet name="DESVIACION ESTANDAR" sheetId="11" r:id="rId9"/>
    <sheet name="MEDIA ARMONICA" sheetId="12" r:id="rId10"/>
    <sheet name="OTROS VALORES " sheetId="13" r:id="rId11"/>
    <sheet name="VALORES REFERENCIA ANTES  IVA" sheetId="14" r:id="rId12"/>
    <sheet name="VALORES REFERENCIA CON IVA" sheetId="15" r:id="rId13"/>
    <sheet name="PORCENTAJE DE LANCE " sheetId="16" r:id="rId14"/>
  </sheets>
  <definedNames>
    <definedName name="_xlnm._FilterDatabase" localSheetId="8" hidden="1">'DESVIACION ESTANDAR'!$A$5:$H$48</definedName>
    <definedName name="_xlnm._FilterDatabase" localSheetId="6" hidden="1">'INDEXACION VALORES 2026'!$A$5:$M$20</definedName>
    <definedName name="_xlnm._FilterDatabase" localSheetId="9" hidden="1">'MEDIA ARMONICA'!$A$5:$H$48</definedName>
    <definedName name="_xlnm._FilterDatabase" localSheetId="10" hidden="1">'OTROS VALORES '!$A$5:$H$48</definedName>
    <definedName name="_xlnm._FilterDatabase" localSheetId="0" hidden="1">'VALORES OTROS PROCESOS'!$A$5:$O$48</definedName>
    <definedName name="_xlnm._FilterDatabase" localSheetId="7" hidden="1">'VALORES PROCESOS- MERCADO COMPA'!$A$5:$H$48</definedName>
    <definedName name="_xlnm._FilterDatabase" localSheetId="11" hidden="1">'VALORES REFERENCIA ANTES  IVA'!$A$5:$E$48</definedName>
    <definedName name="_xlnm._FilterDatabase" localSheetId="12" hidden="1">'VALORES REFERENCIA CON IVA'!$A$5:$E$48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9" i="15" l="1"/>
  <c r="H9" i="15" s="1"/>
  <c r="X9" i="13"/>
  <c r="Y9" i="13" s="1"/>
  <c r="AB9" i="13" s="1"/>
  <c r="V9" i="13"/>
  <c r="K9" i="13"/>
  <c r="X9" i="12"/>
  <c r="V9" i="12"/>
  <c r="K9" i="12"/>
  <c r="V9" i="11"/>
  <c r="I9" i="11"/>
  <c r="I9" i="8"/>
  <c r="X42" i="13"/>
  <c r="Y42" i="13"/>
  <c r="AB42" i="13" s="1"/>
  <c r="X42" i="12"/>
  <c r="V42" i="12"/>
  <c r="V42" i="11"/>
  <c r="H9" i="13"/>
  <c r="G9" i="13"/>
  <c r="H9" i="12"/>
  <c r="G9" i="12"/>
  <c r="H9" i="11"/>
  <c r="G9" i="11"/>
  <c r="H9" i="8"/>
  <c r="G9" i="8"/>
  <c r="M37" i="13"/>
  <c r="X37" i="12"/>
  <c r="V37" i="11"/>
  <c r="U10" i="16"/>
  <c r="U9" i="16"/>
  <c r="U8" i="16"/>
  <c r="U7" i="16"/>
  <c r="U6" i="16"/>
  <c r="G43" i="15"/>
  <c r="H43" i="15" s="1"/>
  <c r="G42" i="15"/>
  <c r="H42" i="15" s="1"/>
  <c r="G41" i="15"/>
  <c r="H41" i="15" s="1"/>
  <c r="G40" i="15"/>
  <c r="H40" i="15" s="1"/>
  <c r="G39" i="15"/>
  <c r="H39" i="15" s="1"/>
  <c r="G38" i="15"/>
  <c r="H38" i="15" s="1"/>
  <c r="G37" i="15"/>
  <c r="H37" i="15" s="1"/>
  <c r="G36" i="15"/>
  <c r="H36" i="15" s="1"/>
  <c r="G35" i="15"/>
  <c r="H35" i="15" s="1"/>
  <c r="G34" i="15"/>
  <c r="H34" i="15" s="1"/>
  <c r="G33" i="15"/>
  <c r="H33" i="15" s="1"/>
  <c r="G32" i="15"/>
  <c r="H32" i="15" s="1"/>
  <c r="G31" i="15"/>
  <c r="H31" i="15" s="1"/>
  <c r="G30" i="15"/>
  <c r="H30" i="15" s="1"/>
  <c r="G29" i="15"/>
  <c r="H29" i="15" s="1"/>
  <c r="G28" i="15"/>
  <c r="H28" i="15" s="1"/>
  <c r="G27" i="15"/>
  <c r="H27" i="15" s="1"/>
  <c r="G26" i="15"/>
  <c r="H26" i="15" s="1"/>
  <c r="G25" i="15"/>
  <c r="H25" i="15" s="1"/>
  <c r="G24" i="15"/>
  <c r="H24" i="15" s="1"/>
  <c r="G23" i="15"/>
  <c r="H23" i="15" s="1"/>
  <c r="G22" i="15"/>
  <c r="H22" i="15" s="1"/>
  <c r="G21" i="15"/>
  <c r="H21" i="15" s="1"/>
  <c r="G20" i="15"/>
  <c r="H20" i="15" s="1"/>
  <c r="G19" i="15"/>
  <c r="H19" i="15" s="1"/>
  <c r="G18" i="15"/>
  <c r="H18" i="15" s="1"/>
  <c r="G17" i="15"/>
  <c r="H17" i="15" s="1"/>
  <c r="G16" i="15"/>
  <c r="H16" i="15" s="1"/>
  <c r="G15" i="15"/>
  <c r="H15" i="15" s="1"/>
  <c r="G14" i="15"/>
  <c r="H14" i="15" s="1"/>
  <c r="G13" i="15"/>
  <c r="H13" i="15" s="1"/>
  <c r="G12" i="15"/>
  <c r="H12" i="15" s="1"/>
  <c r="G11" i="15"/>
  <c r="H11" i="15" s="1"/>
  <c r="G10" i="15"/>
  <c r="H10" i="15" s="1"/>
  <c r="G8" i="15"/>
  <c r="H8" i="15" s="1"/>
  <c r="G7" i="15"/>
  <c r="H7" i="15" s="1"/>
  <c r="G6" i="15"/>
  <c r="H6" i="15" s="1"/>
  <c r="AB43" i="13"/>
  <c r="AB41" i="13"/>
  <c r="AB40" i="13"/>
  <c r="AB39" i="13"/>
  <c r="AB38" i="13"/>
  <c r="AB35" i="13"/>
  <c r="AB34" i="13"/>
  <c r="AB33" i="13"/>
  <c r="AB32" i="13"/>
  <c r="AB31" i="13"/>
  <c r="AB30" i="13"/>
  <c r="AB29" i="13"/>
  <c r="AB28" i="13"/>
  <c r="AB27" i="13"/>
  <c r="AB26" i="13"/>
  <c r="AB25" i="13"/>
  <c r="AB24" i="13"/>
  <c r="AB22" i="13"/>
  <c r="AB21" i="13"/>
  <c r="AB20" i="13"/>
  <c r="AB19" i="13"/>
  <c r="AB18" i="13"/>
  <c r="AB17" i="13"/>
  <c r="AB16" i="13"/>
  <c r="AB15" i="13"/>
  <c r="AB14" i="13"/>
  <c r="AB13" i="13"/>
  <c r="AB12" i="13"/>
  <c r="AB11" i="13"/>
  <c r="AB10" i="13"/>
  <c r="AB8" i="13"/>
  <c r="AB7" i="13"/>
  <c r="AB6" i="13"/>
  <c r="Z41" i="13"/>
  <c r="Z35" i="13"/>
  <c r="Z34" i="13"/>
  <c r="AA24" i="13"/>
  <c r="AA22" i="13"/>
  <c r="AA21" i="13"/>
  <c r="Z8" i="13"/>
  <c r="Z7" i="13"/>
  <c r="Z6" i="13"/>
  <c r="H43" i="13"/>
  <c r="G43" i="13"/>
  <c r="F43" i="13"/>
  <c r="M42" i="13"/>
  <c r="K42" i="13"/>
  <c r="H41" i="13"/>
  <c r="G41" i="13"/>
  <c r="F41" i="13"/>
  <c r="X40" i="13"/>
  <c r="Y40" i="13" s="1"/>
  <c r="M40" i="13"/>
  <c r="K40" i="13"/>
  <c r="X39" i="13"/>
  <c r="Y39" i="13" s="1"/>
  <c r="M39" i="13"/>
  <c r="K39" i="13"/>
  <c r="H38" i="13"/>
  <c r="G38" i="13"/>
  <c r="F38" i="13"/>
  <c r="X37" i="13"/>
  <c r="Y37" i="13" s="1"/>
  <c r="AB37" i="13" s="1"/>
  <c r="K37" i="13"/>
  <c r="H36" i="13"/>
  <c r="G36" i="13"/>
  <c r="F36" i="13"/>
  <c r="X35" i="13"/>
  <c r="Y35" i="13" s="1"/>
  <c r="M35" i="13"/>
  <c r="K35" i="13"/>
  <c r="X34" i="13"/>
  <c r="Y34" i="13" s="1"/>
  <c r="M34" i="13"/>
  <c r="K34" i="13"/>
  <c r="H33" i="13"/>
  <c r="G33" i="13"/>
  <c r="F33" i="13"/>
  <c r="X32" i="13"/>
  <c r="Y32" i="13" s="1"/>
  <c r="M32" i="13"/>
  <c r="K32" i="13"/>
  <c r="X31" i="13"/>
  <c r="Y31" i="13" s="1"/>
  <c r="M31" i="13"/>
  <c r="K31" i="13"/>
  <c r="X30" i="13"/>
  <c r="Y30" i="13" s="1"/>
  <c r="M30" i="13"/>
  <c r="K30" i="13"/>
  <c r="X29" i="13"/>
  <c r="Y29" i="13" s="1"/>
  <c r="M29" i="13"/>
  <c r="K29" i="13"/>
  <c r="X28" i="13"/>
  <c r="Y28" i="13" s="1"/>
  <c r="M28" i="13"/>
  <c r="K28" i="13"/>
  <c r="X27" i="13"/>
  <c r="Y27" i="13" s="1"/>
  <c r="M27" i="13"/>
  <c r="K27" i="13"/>
  <c r="H26" i="13"/>
  <c r="G26" i="13"/>
  <c r="F26" i="13"/>
  <c r="X25" i="13"/>
  <c r="Y25" i="13" s="1"/>
  <c r="M25" i="13"/>
  <c r="K25" i="13"/>
  <c r="H24" i="13"/>
  <c r="G24" i="13"/>
  <c r="F24" i="13"/>
  <c r="X23" i="13"/>
  <c r="Y23" i="13" s="1"/>
  <c r="M23" i="13"/>
  <c r="K23" i="13"/>
  <c r="H22" i="13"/>
  <c r="G22" i="13"/>
  <c r="F22" i="13"/>
  <c r="H21" i="13"/>
  <c r="G21" i="13"/>
  <c r="F21" i="13"/>
  <c r="X20" i="13"/>
  <c r="Y20" i="13" s="1"/>
  <c r="H20" i="13"/>
  <c r="G19" i="13"/>
  <c r="F19" i="13"/>
  <c r="X18" i="13"/>
  <c r="Y18" i="13" s="1"/>
  <c r="M18" i="13"/>
  <c r="K18" i="13"/>
  <c r="X17" i="13"/>
  <c r="Y17" i="13" s="1"/>
  <c r="M17" i="13"/>
  <c r="K17" i="13"/>
  <c r="X16" i="13"/>
  <c r="Y16" i="13" s="1"/>
  <c r="M16" i="13"/>
  <c r="K16" i="13"/>
  <c r="X15" i="13"/>
  <c r="Y15" i="13" s="1"/>
  <c r="M15" i="13"/>
  <c r="K15" i="13"/>
  <c r="X14" i="13"/>
  <c r="Y14" i="13" s="1"/>
  <c r="M14" i="13"/>
  <c r="K14" i="13"/>
  <c r="X13" i="13"/>
  <c r="Y13" i="13" s="1"/>
  <c r="N13" i="13"/>
  <c r="M13" i="13"/>
  <c r="K13" i="13"/>
  <c r="X12" i="13"/>
  <c r="Y12" i="13" s="1"/>
  <c r="M12" i="13"/>
  <c r="K12" i="13"/>
  <c r="X11" i="13"/>
  <c r="Y11" i="13" s="1"/>
  <c r="M11" i="13"/>
  <c r="K11" i="13"/>
  <c r="X10" i="13"/>
  <c r="Y10" i="13" s="1"/>
  <c r="M10" i="13"/>
  <c r="K10" i="13"/>
  <c r="M9" i="13"/>
  <c r="X8" i="13"/>
  <c r="Y8" i="13" s="1"/>
  <c r="M8" i="13"/>
  <c r="K8" i="13"/>
  <c r="H7" i="13"/>
  <c r="G7" i="13"/>
  <c r="F7" i="13"/>
  <c r="X6" i="13"/>
  <c r="Y6" i="13" s="1"/>
  <c r="Q6" i="13"/>
  <c r="M6" i="13"/>
  <c r="K6" i="13"/>
  <c r="X40" i="12"/>
  <c r="X39" i="12"/>
  <c r="X31" i="12"/>
  <c r="X35" i="12"/>
  <c r="X34" i="12"/>
  <c r="X32" i="12"/>
  <c r="X30" i="12"/>
  <c r="X29" i="12"/>
  <c r="X28" i="12"/>
  <c r="X27" i="12"/>
  <c r="X25" i="12"/>
  <c r="X23" i="12"/>
  <c r="X20" i="12"/>
  <c r="X18" i="12"/>
  <c r="X17" i="12"/>
  <c r="X16" i="12"/>
  <c r="X15" i="12"/>
  <c r="X14" i="12"/>
  <c r="X13" i="12"/>
  <c r="X12" i="12"/>
  <c r="X11" i="12"/>
  <c r="X10" i="12"/>
  <c r="X8" i="12"/>
  <c r="X6" i="12"/>
  <c r="H43" i="12"/>
  <c r="G43" i="12"/>
  <c r="F43" i="12"/>
  <c r="M42" i="12"/>
  <c r="K42" i="12"/>
  <c r="H41" i="12"/>
  <c r="G41" i="12"/>
  <c r="F41" i="12"/>
  <c r="M40" i="12"/>
  <c r="K40" i="12"/>
  <c r="M39" i="12"/>
  <c r="K39" i="12"/>
  <c r="H38" i="12"/>
  <c r="G38" i="12"/>
  <c r="F38" i="12"/>
  <c r="X38" i="12" s="1"/>
  <c r="M37" i="12"/>
  <c r="K37" i="12"/>
  <c r="H36" i="12"/>
  <c r="G36" i="12"/>
  <c r="F36" i="12"/>
  <c r="X36" i="12" s="1"/>
  <c r="M35" i="12"/>
  <c r="K35" i="12"/>
  <c r="M34" i="12"/>
  <c r="K34" i="12"/>
  <c r="H33" i="12"/>
  <c r="G33" i="12"/>
  <c r="F33" i="12"/>
  <c r="X33" i="12" s="1"/>
  <c r="M32" i="12"/>
  <c r="K32" i="12"/>
  <c r="M31" i="12"/>
  <c r="K31" i="12"/>
  <c r="M30" i="12"/>
  <c r="K30" i="12"/>
  <c r="M29" i="12"/>
  <c r="K29" i="12"/>
  <c r="M28" i="12"/>
  <c r="K28" i="12"/>
  <c r="M27" i="12"/>
  <c r="K27" i="12"/>
  <c r="H26" i="12"/>
  <c r="G26" i="12"/>
  <c r="F26" i="12"/>
  <c r="X26" i="12" s="1"/>
  <c r="M25" i="12"/>
  <c r="K25" i="12"/>
  <c r="H24" i="12"/>
  <c r="G24" i="12"/>
  <c r="F24" i="12"/>
  <c r="X24" i="12" s="1"/>
  <c r="M23" i="12"/>
  <c r="K23" i="12"/>
  <c r="H22" i="12"/>
  <c r="G22" i="12"/>
  <c r="X22" i="12" s="1"/>
  <c r="F22" i="12"/>
  <c r="H21" i="12"/>
  <c r="G21" i="12"/>
  <c r="F21" i="12"/>
  <c r="X21" i="12" s="1"/>
  <c r="H20" i="12"/>
  <c r="G19" i="12"/>
  <c r="F19" i="12"/>
  <c r="X19" i="12" s="1"/>
  <c r="M18" i="12"/>
  <c r="K18" i="12"/>
  <c r="M17" i="12"/>
  <c r="K17" i="12"/>
  <c r="M16" i="12"/>
  <c r="K16" i="12"/>
  <c r="M15" i="12"/>
  <c r="K15" i="12"/>
  <c r="M14" i="12"/>
  <c r="K14" i="12"/>
  <c r="O13" i="12"/>
  <c r="M13" i="12"/>
  <c r="K13" i="12"/>
  <c r="M12" i="12"/>
  <c r="K12" i="12"/>
  <c r="M11" i="12"/>
  <c r="K11" i="12"/>
  <c r="M10" i="12"/>
  <c r="K10" i="12"/>
  <c r="M9" i="12"/>
  <c r="M8" i="12"/>
  <c r="K8" i="12"/>
  <c r="H7" i="12"/>
  <c r="G7" i="12"/>
  <c r="F7" i="12"/>
  <c r="X7" i="12" s="1"/>
  <c r="M6" i="12"/>
  <c r="K6" i="12"/>
  <c r="V43" i="11"/>
  <c r="V41" i="11"/>
  <c r="V40" i="11"/>
  <c r="V39" i="11"/>
  <c r="V38" i="11"/>
  <c r="V35" i="11"/>
  <c r="V34" i="11"/>
  <c r="V33" i="11"/>
  <c r="V31" i="11"/>
  <c r="V32" i="11"/>
  <c r="V30" i="11"/>
  <c r="V29" i="11"/>
  <c r="V28" i="11"/>
  <c r="V27" i="11"/>
  <c r="V26" i="11"/>
  <c r="V25" i="11"/>
  <c r="V24" i="11"/>
  <c r="V22" i="11"/>
  <c r="V21" i="11"/>
  <c r="V20" i="11"/>
  <c r="V19" i="11"/>
  <c r="V18" i="11"/>
  <c r="V17" i="11"/>
  <c r="V16" i="11"/>
  <c r="V15" i="11"/>
  <c r="V14" i="11"/>
  <c r="V13" i="11"/>
  <c r="V12" i="11"/>
  <c r="V11" i="11"/>
  <c r="V10" i="11"/>
  <c r="V8" i="11"/>
  <c r="V7" i="11"/>
  <c r="V6" i="11"/>
  <c r="T43" i="11"/>
  <c r="S43" i="11"/>
  <c r="R43" i="11"/>
  <c r="Q43" i="11"/>
  <c r="T41" i="11"/>
  <c r="S41" i="11"/>
  <c r="R41" i="11"/>
  <c r="Q41" i="11"/>
  <c r="T40" i="11"/>
  <c r="S40" i="11"/>
  <c r="R40" i="11"/>
  <c r="Q40" i="11"/>
  <c r="T39" i="11"/>
  <c r="S39" i="11"/>
  <c r="R39" i="11"/>
  <c r="Q39" i="11"/>
  <c r="T38" i="11"/>
  <c r="S38" i="11"/>
  <c r="R38" i="11"/>
  <c r="Q38" i="11"/>
  <c r="T35" i="11"/>
  <c r="S35" i="11"/>
  <c r="R35" i="11"/>
  <c r="Q35" i="11"/>
  <c r="T34" i="11"/>
  <c r="S34" i="11"/>
  <c r="R34" i="11"/>
  <c r="Q34" i="11"/>
  <c r="T33" i="11"/>
  <c r="S33" i="11"/>
  <c r="R33" i="11"/>
  <c r="Q33" i="11"/>
  <c r="T32" i="11"/>
  <c r="S32" i="11"/>
  <c r="R32" i="11"/>
  <c r="Q32" i="11"/>
  <c r="T31" i="11"/>
  <c r="S31" i="11"/>
  <c r="R31" i="11"/>
  <c r="Q31" i="11"/>
  <c r="T30" i="11"/>
  <c r="S30" i="11"/>
  <c r="R30" i="11"/>
  <c r="Q30" i="11"/>
  <c r="T29" i="11"/>
  <c r="S29" i="11"/>
  <c r="R29" i="11"/>
  <c r="Q29" i="11"/>
  <c r="T28" i="11"/>
  <c r="S28" i="11"/>
  <c r="R28" i="11"/>
  <c r="Q28" i="11"/>
  <c r="T27" i="11"/>
  <c r="S27" i="11"/>
  <c r="R27" i="11"/>
  <c r="Q27" i="11"/>
  <c r="T26" i="11"/>
  <c r="S26" i="11"/>
  <c r="R26" i="11"/>
  <c r="Q26" i="11"/>
  <c r="T25" i="11"/>
  <c r="S25" i="11"/>
  <c r="R25" i="11"/>
  <c r="Q25" i="11"/>
  <c r="T24" i="11"/>
  <c r="S24" i="11"/>
  <c r="R24" i="11"/>
  <c r="Q24" i="11"/>
  <c r="T22" i="11"/>
  <c r="S22" i="11"/>
  <c r="R22" i="11"/>
  <c r="Q22" i="11"/>
  <c r="T21" i="11"/>
  <c r="S21" i="11"/>
  <c r="R21" i="11"/>
  <c r="Q21" i="11"/>
  <c r="T20" i="11"/>
  <c r="S20" i="11"/>
  <c r="R20" i="11"/>
  <c r="Q20" i="11"/>
  <c r="T19" i="11"/>
  <c r="S19" i="11"/>
  <c r="R19" i="11"/>
  <c r="Q19" i="11"/>
  <c r="T18" i="11"/>
  <c r="S18" i="11"/>
  <c r="R18" i="11"/>
  <c r="Q18" i="11"/>
  <c r="T17" i="11"/>
  <c r="S17" i="11"/>
  <c r="R17" i="11"/>
  <c r="Q17" i="11"/>
  <c r="T16" i="11"/>
  <c r="S16" i="11"/>
  <c r="R16" i="11"/>
  <c r="Q16" i="11"/>
  <c r="T15" i="11"/>
  <c r="S15" i="11"/>
  <c r="R15" i="11"/>
  <c r="Q15" i="11"/>
  <c r="T14" i="11"/>
  <c r="S14" i="11"/>
  <c r="R14" i="11"/>
  <c r="Q14" i="11"/>
  <c r="T13" i="11"/>
  <c r="S13" i="11"/>
  <c r="R13" i="11"/>
  <c r="Q13" i="11"/>
  <c r="T12" i="11"/>
  <c r="S12" i="11"/>
  <c r="R12" i="11"/>
  <c r="Q12" i="11"/>
  <c r="T11" i="11"/>
  <c r="S11" i="11"/>
  <c r="R11" i="11"/>
  <c r="Q11" i="11"/>
  <c r="T10" i="11"/>
  <c r="S10" i="11"/>
  <c r="R10" i="11"/>
  <c r="Q10" i="11"/>
  <c r="T8" i="11"/>
  <c r="S8" i="11"/>
  <c r="R8" i="11"/>
  <c r="Q8" i="11"/>
  <c r="T7" i="11"/>
  <c r="S7" i="11"/>
  <c r="R7" i="11"/>
  <c r="Q7" i="11"/>
  <c r="T6" i="11"/>
  <c r="S6" i="11"/>
  <c r="R6" i="11"/>
  <c r="Q6" i="11"/>
  <c r="M43" i="11"/>
  <c r="M42" i="11"/>
  <c r="M41" i="11"/>
  <c r="M40" i="11"/>
  <c r="M39" i="11"/>
  <c r="M38" i="11"/>
  <c r="M37" i="11"/>
  <c r="M35" i="11"/>
  <c r="M34" i="11"/>
  <c r="M33" i="11"/>
  <c r="M32" i="11"/>
  <c r="M31" i="11"/>
  <c r="M30" i="11"/>
  <c r="M29" i="11"/>
  <c r="M28" i="11"/>
  <c r="M27" i="11"/>
  <c r="M26" i="11"/>
  <c r="M25" i="11"/>
  <c r="M24" i="11"/>
  <c r="M23" i="11"/>
  <c r="M22" i="11"/>
  <c r="M21" i="11"/>
  <c r="M20" i="11"/>
  <c r="M19" i="11"/>
  <c r="M18" i="11"/>
  <c r="M17" i="11"/>
  <c r="M16" i="11"/>
  <c r="M15" i="11"/>
  <c r="M14" i="11"/>
  <c r="M13" i="11"/>
  <c r="M12" i="11"/>
  <c r="M11" i="11"/>
  <c r="M10" i="11"/>
  <c r="M9" i="11"/>
  <c r="M8" i="11"/>
  <c r="M7" i="11"/>
  <c r="O6" i="11"/>
  <c r="N6" i="11"/>
  <c r="M6" i="11"/>
  <c r="K43" i="11"/>
  <c r="K42" i="11"/>
  <c r="K41" i="11"/>
  <c r="K40" i="11"/>
  <c r="K39" i="11"/>
  <c r="K38" i="11"/>
  <c r="K37" i="11"/>
  <c r="K36" i="11"/>
  <c r="K35" i="11"/>
  <c r="K34" i="11"/>
  <c r="K33" i="11"/>
  <c r="K32" i="11"/>
  <c r="K31" i="11"/>
  <c r="K30" i="11"/>
  <c r="K29" i="11"/>
  <c r="K28" i="11"/>
  <c r="K27" i="11"/>
  <c r="K26" i="11"/>
  <c r="K25" i="11"/>
  <c r="K24" i="11"/>
  <c r="K23" i="11"/>
  <c r="K22" i="11"/>
  <c r="K21" i="11"/>
  <c r="K20" i="11"/>
  <c r="K19" i="11"/>
  <c r="K18" i="11"/>
  <c r="K17" i="11"/>
  <c r="K16" i="11"/>
  <c r="K15" i="11"/>
  <c r="K14" i="11"/>
  <c r="K13" i="11"/>
  <c r="K12" i="11"/>
  <c r="K11" i="11"/>
  <c r="K10" i="11"/>
  <c r="K9" i="11"/>
  <c r="K8" i="11"/>
  <c r="K7" i="11"/>
  <c r="K6" i="11"/>
  <c r="H43" i="11"/>
  <c r="G43" i="11"/>
  <c r="F43" i="11"/>
  <c r="H41" i="11"/>
  <c r="G41" i="11"/>
  <c r="F41" i="11"/>
  <c r="H38" i="11"/>
  <c r="G38" i="11"/>
  <c r="F38" i="11"/>
  <c r="H36" i="11"/>
  <c r="M36" i="11" s="1"/>
  <c r="G36" i="11"/>
  <c r="F36" i="11"/>
  <c r="H33" i="11"/>
  <c r="G33" i="11"/>
  <c r="F33" i="11"/>
  <c r="H26" i="11"/>
  <c r="G26" i="11"/>
  <c r="F26" i="11"/>
  <c r="H24" i="11"/>
  <c r="G24" i="11"/>
  <c r="F24" i="11"/>
  <c r="H22" i="11"/>
  <c r="G22" i="11"/>
  <c r="F22" i="11"/>
  <c r="H21" i="11"/>
  <c r="G21" i="11"/>
  <c r="F21" i="11"/>
  <c r="H20" i="11"/>
  <c r="G19" i="11"/>
  <c r="F19" i="11"/>
  <c r="H7" i="11"/>
  <c r="G7" i="11"/>
  <c r="F7" i="11"/>
  <c r="H38" i="8"/>
  <c r="G38" i="8"/>
  <c r="F38" i="8"/>
  <c r="H36" i="8"/>
  <c r="G36" i="8"/>
  <c r="F36" i="8"/>
  <c r="H26" i="8"/>
  <c r="G26" i="8"/>
  <c r="F26" i="8"/>
  <c r="H43" i="8"/>
  <c r="G43" i="8"/>
  <c r="F43" i="8"/>
  <c r="H24" i="8"/>
  <c r="G24" i="8"/>
  <c r="F24" i="8"/>
  <c r="H41" i="8"/>
  <c r="G41" i="8"/>
  <c r="F41" i="8"/>
  <c r="H33" i="8"/>
  <c r="G33" i="8"/>
  <c r="F33" i="8"/>
  <c r="V20" i="9"/>
  <c r="W20" i="9" s="1"/>
  <c r="X20" i="9" s="1"/>
  <c r="Y20" i="9" s="1"/>
  <c r="Z20" i="9" s="1"/>
  <c r="O20" i="9"/>
  <c r="P20" i="9" s="1"/>
  <c r="Q20" i="9" s="1"/>
  <c r="R20" i="9" s="1"/>
  <c r="S20" i="9" s="1"/>
  <c r="H20" i="9"/>
  <c r="I20" i="9" s="1"/>
  <c r="J20" i="9" s="1"/>
  <c r="K20" i="9" s="1"/>
  <c r="L20" i="9" s="1"/>
  <c r="X15" i="9"/>
  <c r="Y15" i="9" s="1"/>
  <c r="Z15" i="9" s="1"/>
  <c r="AA15" i="9" s="1"/>
  <c r="AB15" i="9" s="1"/>
  <c r="AC15" i="9" s="1"/>
  <c r="P15" i="9"/>
  <c r="Q15" i="9" s="1"/>
  <c r="R15" i="9" s="1"/>
  <c r="S15" i="9" s="1"/>
  <c r="T15" i="9" s="1"/>
  <c r="U15" i="9" s="1"/>
  <c r="H15" i="9"/>
  <c r="I15" i="9" s="1"/>
  <c r="J15" i="9" s="1"/>
  <c r="K15" i="9" s="1"/>
  <c r="L15" i="9" s="1"/>
  <c r="M15" i="9" s="1"/>
  <c r="N10" i="9"/>
  <c r="N9" i="9"/>
  <c r="N8" i="9"/>
  <c r="H22" i="8" s="1"/>
  <c r="N7" i="9"/>
  <c r="H21" i="8" s="1"/>
  <c r="N6" i="9"/>
  <c r="H20" i="8" s="1"/>
  <c r="K10" i="9"/>
  <c r="K9" i="9"/>
  <c r="K8" i="9"/>
  <c r="G22" i="8" s="1"/>
  <c r="K7" i="9"/>
  <c r="G21" i="8" s="1"/>
  <c r="K6" i="9"/>
  <c r="G19" i="8" s="1"/>
  <c r="H10" i="9"/>
  <c r="H9" i="9"/>
  <c r="H7" i="9"/>
  <c r="F21" i="8" s="1"/>
  <c r="H8" i="9"/>
  <c r="F22" i="8" s="1"/>
  <c r="H6" i="9"/>
  <c r="F19" i="8" s="1"/>
  <c r="H7" i="8"/>
  <c r="G7" i="8"/>
  <c r="F7" i="8"/>
  <c r="K14" i="5"/>
  <c r="H14" i="5"/>
  <c r="E14" i="5"/>
  <c r="K13" i="5"/>
  <c r="H13" i="5"/>
  <c r="E13" i="5"/>
  <c r="K12" i="5"/>
  <c r="H12" i="5"/>
  <c r="E12" i="5"/>
  <c r="K11" i="5"/>
  <c r="H11" i="5"/>
  <c r="E11" i="5"/>
  <c r="K10" i="5"/>
  <c r="H10" i="5"/>
  <c r="E10" i="5"/>
  <c r="K9" i="5"/>
  <c r="H9" i="5"/>
  <c r="E9" i="5"/>
  <c r="K8" i="5"/>
  <c r="H8" i="5"/>
  <c r="E8" i="5"/>
  <c r="K7" i="5"/>
  <c r="H7" i="5"/>
  <c r="E7" i="5"/>
  <c r="K6" i="5"/>
  <c r="H6" i="5"/>
  <c r="E6" i="5"/>
  <c r="K5" i="5"/>
  <c r="K15" i="5" s="1"/>
  <c r="H5" i="5"/>
  <c r="H15" i="5" s="1"/>
  <c r="E5" i="5"/>
  <c r="E15" i="5" s="1"/>
  <c r="K45" i="3"/>
  <c r="H45" i="3"/>
  <c r="K44" i="3"/>
  <c r="K43" i="3"/>
  <c r="K42" i="3"/>
  <c r="K41" i="3"/>
  <c r="K40" i="3"/>
  <c r="K39" i="3"/>
  <c r="K38" i="3"/>
  <c r="K37" i="3"/>
  <c r="K36" i="3"/>
  <c r="K35" i="3"/>
  <c r="H44" i="3"/>
  <c r="H43" i="3"/>
  <c r="H42" i="3"/>
  <c r="H41" i="3"/>
  <c r="H40" i="3"/>
  <c r="H39" i="3"/>
  <c r="H38" i="3"/>
  <c r="H37" i="3"/>
  <c r="H36" i="3"/>
  <c r="H35" i="3"/>
  <c r="E44" i="3"/>
  <c r="E43" i="3"/>
  <c r="E42" i="3"/>
  <c r="E45" i="3" s="1"/>
  <c r="E41" i="3"/>
  <c r="E40" i="3"/>
  <c r="E39" i="3"/>
  <c r="E38" i="3"/>
  <c r="E37" i="3"/>
  <c r="E36" i="3"/>
  <c r="E35" i="3"/>
  <c r="K4" i="3"/>
  <c r="K3" i="3"/>
  <c r="K8" i="3" s="1"/>
  <c r="H4" i="3"/>
  <c r="H3" i="3"/>
  <c r="H8" i="3" s="1"/>
  <c r="E4" i="3"/>
  <c r="E3" i="3"/>
  <c r="E8" i="3" s="1"/>
  <c r="B27" i="3"/>
  <c r="K7" i="3"/>
  <c r="K6" i="3"/>
  <c r="K5" i="3"/>
  <c r="H7" i="3"/>
  <c r="H6" i="3"/>
  <c r="H5" i="3"/>
  <c r="E7" i="3"/>
  <c r="E6" i="3"/>
  <c r="E5" i="3"/>
  <c r="Q9" i="11" l="1"/>
  <c r="R9" i="11"/>
  <c r="T42" i="11"/>
  <c r="S42" i="11"/>
  <c r="R42" i="11"/>
  <c r="Q42" i="11"/>
  <c r="T9" i="11"/>
  <c r="S9" i="11"/>
  <c r="AA23" i="13"/>
  <c r="AB23" i="13" s="1"/>
  <c r="T23" i="11"/>
  <c r="S23" i="11"/>
  <c r="R23" i="11"/>
  <c r="Q23" i="11"/>
  <c r="V23" i="11" s="1"/>
  <c r="O37" i="13"/>
  <c r="N37" i="13"/>
  <c r="S37" i="11"/>
  <c r="R37" i="11"/>
  <c r="Q37" i="11"/>
  <c r="T37" i="11"/>
  <c r="Q36" i="11"/>
  <c r="T36" i="11"/>
  <c r="S36" i="11"/>
  <c r="R36" i="11"/>
  <c r="V36" i="11" s="1"/>
  <c r="X43" i="12"/>
  <c r="M43" i="12"/>
  <c r="X41" i="12"/>
  <c r="M41" i="12"/>
  <c r="M43" i="13"/>
  <c r="X43" i="13"/>
  <c r="Y43" i="13" s="1"/>
  <c r="K43" i="13"/>
  <c r="Q43" i="13" s="1"/>
  <c r="T42" i="13"/>
  <c r="S42" i="13"/>
  <c r="R42" i="13"/>
  <c r="Q42" i="13"/>
  <c r="N42" i="13"/>
  <c r="O42" i="13"/>
  <c r="K41" i="13"/>
  <c r="Q41" i="13" s="1"/>
  <c r="M41" i="13"/>
  <c r="X41" i="13"/>
  <c r="Y41" i="13" s="1"/>
  <c r="T40" i="13"/>
  <c r="Q40" i="13"/>
  <c r="N40" i="13"/>
  <c r="R40" i="13"/>
  <c r="S40" i="13"/>
  <c r="O40" i="13"/>
  <c r="Q39" i="13"/>
  <c r="V39" i="13" s="1"/>
  <c r="N39" i="13"/>
  <c r="O39" i="13"/>
  <c r="S39" i="13"/>
  <c r="T39" i="13"/>
  <c r="R39" i="13"/>
  <c r="X38" i="13"/>
  <c r="Y38" i="13" s="1"/>
  <c r="M38" i="13"/>
  <c r="K38" i="13"/>
  <c r="Q38" i="13" s="1"/>
  <c r="T37" i="13"/>
  <c r="S37" i="13"/>
  <c r="Q37" i="13"/>
  <c r="V37" i="13" s="1"/>
  <c r="R37" i="13"/>
  <c r="M36" i="13"/>
  <c r="X36" i="13"/>
  <c r="Y36" i="13" s="1"/>
  <c r="AB36" i="13" s="1"/>
  <c r="K36" i="13"/>
  <c r="Q36" i="13" s="1"/>
  <c r="O35" i="13"/>
  <c r="Q35" i="13"/>
  <c r="R35" i="13"/>
  <c r="S35" i="13"/>
  <c r="N35" i="13"/>
  <c r="T35" i="13"/>
  <c r="T34" i="13"/>
  <c r="N34" i="13"/>
  <c r="R34" i="13"/>
  <c r="Q34" i="13"/>
  <c r="V34" i="13" s="1"/>
  <c r="S34" i="13"/>
  <c r="O34" i="13"/>
  <c r="K33" i="13"/>
  <c r="Q33" i="13" s="1"/>
  <c r="X33" i="13"/>
  <c r="Y33" i="13" s="1"/>
  <c r="M33" i="13"/>
  <c r="O32" i="13"/>
  <c r="R32" i="13"/>
  <c r="V32" i="13" s="1"/>
  <c r="Q32" i="13"/>
  <c r="T32" i="13"/>
  <c r="S32" i="13"/>
  <c r="N32" i="13"/>
  <c r="N31" i="13"/>
  <c r="S31" i="13"/>
  <c r="O31" i="13"/>
  <c r="Q31" i="13"/>
  <c r="V31" i="13" s="1"/>
  <c r="T31" i="13"/>
  <c r="R31" i="13"/>
  <c r="O30" i="13"/>
  <c r="N30" i="13"/>
  <c r="T30" i="13"/>
  <c r="S30" i="13"/>
  <c r="R30" i="13"/>
  <c r="Q30" i="13"/>
  <c r="V30" i="13" s="1"/>
  <c r="T29" i="13"/>
  <c r="N29" i="13"/>
  <c r="O29" i="13"/>
  <c r="Q29" i="13"/>
  <c r="V29" i="13" s="1"/>
  <c r="R29" i="13"/>
  <c r="S29" i="13"/>
  <c r="R28" i="13"/>
  <c r="N28" i="13"/>
  <c r="S28" i="13"/>
  <c r="Q28" i="13"/>
  <c r="V28" i="13" s="1"/>
  <c r="T28" i="13"/>
  <c r="O28" i="13"/>
  <c r="R27" i="13"/>
  <c r="Q27" i="13"/>
  <c r="V27" i="13" s="1"/>
  <c r="T27" i="13"/>
  <c r="S27" i="13"/>
  <c r="O27" i="13"/>
  <c r="N27" i="13"/>
  <c r="X26" i="13"/>
  <c r="Y26" i="13" s="1"/>
  <c r="M26" i="13"/>
  <c r="K26" i="13"/>
  <c r="Q26" i="13" s="1"/>
  <c r="S25" i="13"/>
  <c r="O25" i="13"/>
  <c r="Q25" i="13"/>
  <c r="N25" i="13"/>
  <c r="R25" i="13"/>
  <c r="V25" i="13" s="1"/>
  <c r="T25" i="13"/>
  <c r="X24" i="13"/>
  <c r="Y24" i="13" s="1"/>
  <c r="M24" i="13"/>
  <c r="K24" i="13"/>
  <c r="Q24" i="13" s="1"/>
  <c r="N23" i="13"/>
  <c r="Q23" i="13"/>
  <c r="R23" i="13"/>
  <c r="O23" i="13"/>
  <c r="S23" i="13"/>
  <c r="T23" i="13"/>
  <c r="X22" i="13"/>
  <c r="Y22" i="13" s="1"/>
  <c r="K22" i="13"/>
  <c r="R22" i="13" s="1"/>
  <c r="Q22" i="13"/>
  <c r="M22" i="13"/>
  <c r="M21" i="13"/>
  <c r="K21" i="13"/>
  <c r="Q21" i="13" s="1"/>
  <c r="X21" i="13"/>
  <c r="Y21" i="13" s="1"/>
  <c r="M20" i="13"/>
  <c r="K20" i="13"/>
  <c r="S20" i="13" s="1"/>
  <c r="M19" i="13"/>
  <c r="K19" i="13"/>
  <c r="X19" i="13"/>
  <c r="Y19" i="13" s="1"/>
  <c r="N18" i="13"/>
  <c r="Q18" i="13"/>
  <c r="S18" i="13"/>
  <c r="T18" i="13"/>
  <c r="R18" i="13"/>
  <c r="O18" i="13"/>
  <c r="O17" i="13"/>
  <c r="T17" i="13"/>
  <c r="N17" i="13"/>
  <c r="R17" i="13"/>
  <c r="S17" i="13"/>
  <c r="Q17" i="13"/>
  <c r="V17" i="13" s="1"/>
  <c r="S16" i="13"/>
  <c r="O16" i="13"/>
  <c r="N16" i="13"/>
  <c r="Q16" i="13"/>
  <c r="V16" i="13" s="1"/>
  <c r="T16" i="13"/>
  <c r="R16" i="13"/>
  <c r="Q15" i="13"/>
  <c r="R15" i="13"/>
  <c r="N15" i="13"/>
  <c r="T15" i="13"/>
  <c r="S15" i="13"/>
  <c r="O15" i="13"/>
  <c r="Q14" i="13"/>
  <c r="N14" i="13"/>
  <c r="S14" i="13"/>
  <c r="O14" i="13"/>
  <c r="T14" i="13"/>
  <c r="R14" i="13"/>
  <c r="O13" i="13"/>
  <c r="R13" i="13"/>
  <c r="T13" i="13"/>
  <c r="S13" i="13"/>
  <c r="Q13" i="13"/>
  <c r="V13" i="13" s="1"/>
  <c r="T12" i="13"/>
  <c r="Q12" i="13"/>
  <c r="V12" i="13" s="1"/>
  <c r="O12" i="13"/>
  <c r="N12" i="13"/>
  <c r="S12" i="13"/>
  <c r="R12" i="13"/>
  <c r="T11" i="13"/>
  <c r="Q11" i="13"/>
  <c r="N11" i="13"/>
  <c r="R11" i="13"/>
  <c r="O11" i="13"/>
  <c r="S11" i="13"/>
  <c r="Q10" i="13"/>
  <c r="V10" i="13" s="1"/>
  <c r="N10" i="13"/>
  <c r="R10" i="13"/>
  <c r="O10" i="13"/>
  <c r="S10" i="13"/>
  <c r="T10" i="13"/>
  <c r="S9" i="13"/>
  <c r="Q9" i="13"/>
  <c r="T9" i="13"/>
  <c r="R9" i="13"/>
  <c r="N9" i="13"/>
  <c r="O9" i="13"/>
  <c r="N8" i="13"/>
  <c r="O8" i="13"/>
  <c r="Q8" i="13"/>
  <c r="T8" i="13"/>
  <c r="S8" i="13"/>
  <c r="R8" i="13"/>
  <c r="X7" i="13"/>
  <c r="Y7" i="13" s="1"/>
  <c r="M7" i="13"/>
  <c r="K7" i="13"/>
  <c r="Q7" i="13" s="1"/>
  <c r="R6" i="13"/>
  <c r="V6" i="13" s="1"/>
  <c r="S6" i="13"/>
  <c r="N6" i="13"/>
  <c r="T6" i="13"/>
  <c r="O6" i="13"/>
  <c r="K43" i="12"/>
  <c r="Q43" i="12" s="1"/>
  <c r="S42" i="12"/>
  <c r="T42" i="12"/>
  <c r="N42" i="12"/>
  <c r="Q42" i="12"/>
  <c r="O42" i="12"/>
  <c r="R42" i="12"/>
  <c r="K41" i="12"/>
  <c r="Q41" i="12" s="1"/>
  <c r="T40" i="12"/>
  <c r="S40" i="12"/>
  <c r="R40" i="12"/>
  <c r="Q40" i="12"/>
  <c r="V40" i="12" s="1"/>
  <c r="O40" i="12"/>
  <c r="N40" i="12"/>
  <c r="T39" i="12"/>
  <c r="R39" i="12"/>
  <c r="Q39" i="12"/>
  <c r="O39" i="12"/>
  <c r="N39" i="12"/>
  <c r="S39" i="12"/>
  <c r="M38" i="12"/>
  <c r="K38" i="12"/>
  <c r="Q38" i="12" s="1"/>
  <c r="S37" i="12"/>
  <c r="O37" i="12"/>
  <c r="Q37" i="12"/>
  <c r="R37" i="12"/>
  <c r="T37" i="12"/>
  <c r="N37" i="12"/>
  <c r="K36" i="12"/>
  <c r="Q36" i="12" s="1"/>
  <c r="M36" i="12"/>
  <c r="R35" i="12"/>
  <c r="S35" i="12"/>
  <c r="T35" i="12"/>
  <c r="N35" i="12"/>
  <c r="Q35" i="12"/>
  <c r="V35" i="12" s="1"/>
  <c r="O35" i="12"/>
  <c r="T34" i="12"/>
  <c r="R34" i="12"/>
  <c r="N34" i="12"/>
  <c r="Q34" i="12"/>
  <c r="V34" i="12" s="1"/>
  <c r="S34" i="12"/>
  <c r="O34" i="12"/>
  <c r="M33" i="12"/>
  <c r="K33" i="12"/>
  <c r="Q33" i="12" s="1"/>
  <c r="Q32" i="12"/>
  <c r="R32" i="12"/>
  <c r="T32" i="12"/>
  <c r="O32" i="12"/>
  <c r="N32" i="12"/>
  <c r="S32" i="12"/>
  <c r="S31" i="12"/>
  <c r="O31" i="12"/>
  <c r="R31" i="12"/>
  <c r="T31" i="12"/>
  <c r="Q31" i="12"/>
  <c r="V31" i="12" s="1"/>
  <c r="N31" i="12"/>
  <c r="T30" i="12"/>
  <c r="O30" i="12"/>
  <c r="Q30" i="12"/>
  <c r="V30" i="12" s="1"/>
  <c r="R30" i="12"/>
  <c r="N30" i="12"/>
  <c r="S30" i="12"/>
  <c r="R29" i="12"/>
  <c r="O29" i="12"/>
  <c r="S29" i="12"/>
  <c r="N29" i="12"/>
  <c r="T29" i="12"/>
  <c r="Q29" i="12"/>
  <c r="V29" i="12" s="1"/>
  <c r="R28" i="12"/>
  <c r="O28" i="12"/>
  <c r="S28" i="12"/>
  <c r="Q28" i="12"/>
  <c r="V28" i="12" s="1"/>
  <c r="N28" i="12"/>
  <c r="T28" i="12"/>
  <c r="R27" i="12"/>
  <c r="O27" i="12"/>
  <c r="S27" i="12"/>
  <c r="Q27" i="12"/>
  <c r="V27" i="12" s="1"/>
  <c r="N27" i="12"/>
  <c r="T27" i="12"/>
  <c r="M26" i="12"/>
  <c r="K26" i="12"/>
  <c r="Q26" i="12" s="1"/>
  <c r="T25" i="12"/>
  <c r="N25" i="12"/>
  <c r="Q25" i="12"/>
  <c r="S25" i="12"/>
  <c r="R25" i="12"/>
  <c r="V25" i="12" s="1"/>
  <c r="O25" i="12"/>
  <c r="K24" i="12"/>
  <c r="Q24" i="12" s="1"/>
  <c r="M24" i="12"/>
  <c r="T23" i="12"/>
  <c r="O23" i="12"/>
  <c r="Q23" i="12"/>
  <c r="V23" i="12" s="1"/>
  <c r="N23" i="12"/>
  <c r="S23" i="12"/>
  <c r="R23" i="12"/>
  <c r="M22" i="12"/>
  <c r="K22" i="12"/>
  <c r="Q22" i="12" s="1"/>
  <c r="K21" i="12"/>
  <c r="Q21" i="12" s="1"/>
  <c r="M21" i="12"/>
  <c r="K20" i="12"/>
  <c r="S20" i="12" s="1"/>
  <c r="M20" i="12"/>
  <c r="M19" i="12"/>
  <c r="K19" i="12"/>
  <c r="Q19" i="12" s="1"/>
  <c r="O18" i="12"/>
  <c r="T18" i="12"/>
  <c r="S18" i="12"/>
  <c r="Q18" i="12"/>
  <c r="V18" i="12" s="1"/>
  <c r="N18" i="12"/>
  <c r="R18" i="12"/>
  <c r="O17" i="12"/>
  <c r="T17" i="12"/>
  <c r="R17" i="12"/>
  <c r="N17" i="12"/>
  <c r="S17" i="12"/>
  <c r="Q17" i="12"/>
  <c r="V17" i="12" s="1"/>
  <c r="S16" i="12"/>
  <c r="O16" i="12"/>
  <c r="Q16" i="12"/>
  <c r="T16" i="12"/>
  <c r="N16" i="12"/>
  <c r="R16" i="12"/>
  <c r="S15" i="12"/>
  <c r="R15" i="12"/>
  <c r="O15" i="12"/>
  <c r="T15" i="12"/>
  <c r="N15" i="12"/>
  <c r="Q15" i="12"/>
  <c r="V15" i="12" s="1"/>
  <c r="N14" i="12"/>
  <c r="Q14" i="12"/>
  <c r="R14" i="12"/>
  <c r="O14" i="12"/>
  <c r="T14" i="12"/>
  <c r="S14" i="12"/>
  <c r="N13" i="12"/>
  <c r="S13" i="12"/>
  <c r="R13" i="12"/>
  <c r="T13" i="12"/>
  <c r="Q13" i="12"/>
  <c r="V13" i="12" s="1"/>
  <c r="S12" i="12"/>
  <c r="O12" i="12"/>
  <c r="R12" i="12"/>
  <c r="Q12" i="12"/>
  <c r="V12" i="12" s="1"/>
  <c r="N12" i="12"/>
  <c r="T12" i="12"/>
  <c r="O11" i="12"/>
  <c r="S11" i="12"/>
  <c r="Q11" i="12"/>
  <c r="V11" i="12" s="1"/>
  <c r="T11" i="12"/>
  <c r="R11" i="12"/>
  <c r="N11" i="12"/>
  <c r="S10" i="12"/>
  <c r="Q10" i="12"/>
  <c r="O10" i="12"/>
  <c r="N10" i="12"/>
  <c r="R10" i="12"/>
  <c r="T10" i="12"/>
  <c r="T9" i="12"/>
  <c r="Q9" i="12"/>
  <c r="O9" i="12"/>
  <c r="S9" i="12"/>
  <c r="N9" i="12"/>
  <c r="R9" i="12"/>
  <c r="Q8" i="12"/>
  <c r="V8" i="12" s="1"/>
  <c r="R8" i="12"/>
  <c r="S8" i="12"/>
  <c r="N8" i="12"/>
  <c r="T8" i="12"/>
  <c r="O8" i="12"/>
  <c r="K7" i="12"/>
  <c r="Q7" i="12" s="1"/>
  <c r="M7" i="12"/>
  <c r="Q6" i="12"/>
  <c r="V6" i="12" s="1"/>
  <c r="S6" i="12"/>
  <c r="R6" i="12"/>
  <c r="O6" i="12"/>
  <c r="N6" i="12"/>
  <c r="T6" i="12"/>
  <c r="O43" i="11"/>
  <c r="N43" i="11"/>
  <c r="O42" i="11"/>
  <c r="N42" i="11"/>
  <c r="O41" i="11"/>
  <c r="N41" i="11"/>
  <c r="O40" i="11"/>
  <c r="N40" i="11"/>
  <c r="O39" i="11"/>
  <c r="N39" i="11"/>
  <c r="O38" i="11"/>
  <c r="N38" i="11"/>
  <c r="O37" i="11"/>
  <c r="N37" i="11"/>
  <c r="O36" i="11"/>
  <c r="N36" i="11"/>
  <c r="O35" i="11"/>
  <c r="N35" i="11"/>
  <c r="O34" i="11"/>
  <c r="N34" i="11"/>
  <c r="O33" i="11"/>
  <c r="N33" i="11"/>
  <c r="O32" i="11"/>
  <c r="N32" i="11"/>
  <c r="O31" i="11"/>
  <c r="N31" i="11"/>
  <c r="O30" i="11"/>
  <c r="N30" i="11"/>
  <c r="O29" i="11"/>
  <c r="N29" i="11"/>
  <c r="O28" i="11"/>
  <c r="N28" i="11"/>
  <c r="O27" i="11"/>
  <c r="N27" i="11"/>
  <c r="O26" i="11"/>
  <c r="N26" i="11"/>
  <c r="O25" i="11"/>
  <c r="N25" i="11"/>
  <c r="O24" i="11"/>
  <c r="N24" i="11"/>
  <c r="O23" i="11"/>
  <c r="N23" i="11"/>
  <c r="O22" i="11"/>
  <c r="N22" i="11"/>
  <c r="O21" i="11"/>
  <c r="N21" i="11"/>
  <c r="O20" i="11"/>
  <c r="N20" i="11"/>
  <c r="O19" i="11"/>
  <c r="N19" i="11"/>
  <c r="O18" i="11"/>
  <c r="N18" i="11"/>
  <c r="O17" i="11"/>
  <c r="N17" i="11"/>
  <c r="O16" i="11"/>
  <c r="N16" i="11"/>
  <c r="O15" i="11"/>
  <c r="N15" i="11"/>
  <c r="O14" i="11"/>
  <c r="N14" i="11"/>
  <c r="O13" i="11"/>
  <c r="N13" i="11"/>
  <c r="O12" i="11"/>
  <c r="N12" i="11"/>
  <c r="O11" i="11"/>
  <c r="N11" i="11"/>
  <c r="O10" i="11"/>
  <c r="N10" i="11"/>
  <c r="O9" i="11"/>
  <c r="N9" i="11"/>
  <c r="O8" i="11"/>
  <c r="N8" i="11"/>
  <c r="O7" i="11"/>
  <c r="N7" i="11"/>
  <c r="K9" i="3"/>
  <c r="K10" i="3" s="1"/>
  <c r="L7" i="1" s="1"/>
  <c r="H9" i="3"/>
  <c r="H10" i="3" s="1"/>
  <c r="I7" i="1" s="1"/>
  <c r="E9" i="3"/>
  <c r="E10" i="3" s="1"/>
  <c r="F7" i="1" s="1"/>
  <c r="V42" i="13" l="1"/>
  <c r="V37" i="12"/>
  <c r="V32" i="12"/>
  <c r="V16" i="12"/>
  <c r="S43" i="13"/>
  <c r="R43" i="13"/>
  <c r="N43" i="13"/>
  <c r="O43" i="13"/>
  <c r="T43" i="13"/>
  <c r="R41" i="13"/>
  <c r="S41" i="13"/>
  <c r="O41" i="13"/>
  <c r="T41" i="13"/>
  <c r="N41" i="13"/>
  <c r="R38" i="13"/>
  <c r="S38" i="13"/>
  <c r="O38" i="13"/>
  <c r="T38" i="13"/>
  <c r="N38" i="13"/>
  <c r="S36" i="13"/>
  <c r="R36" i="13"/>
  <c r="V36" i="13" s="1"/>
  <c r="N36" i="13"/>
  <c r="T36" i="13"/>
  <c r="O36" i="13"/>
  <c r="R33" i="13"/>
  <c r="N33" i="13"/>
  <c r="O33" i="13"/>
  <c r="T33" i="13"/>
  <c r="S33" i="13"/>
  <c r="S26" i="13"/>
  <c r="R26" i="13"/>
  <c r="V26" i="13" s="1"/>
  <c r="N26" i="13"/>
  <c r="T26" i="13"/>
  <c r="O26" i="13"/>
  <c r="S24" i="13"/>
  <c r="R24" i="13"/>
  <c r="V24" i="13" s="1"/>
  <c r="T24" i="13"/>
  <c r="O24" i="13"/>
  <c r="N24" i="13"/>
  <c r="S22" i="13"/>
  <c r="V22" i="13" s="1"/>
  <c r="N22" i="13"/>
  <c r="O22" i="13"/>
  <c r="T22" i="13"/>
  <c r="R21" i="13"/>
  <c r="S21" i="13"/>
  <c r="O21" i="13"/>
  <c r="N21" i="13"/>
  <c r="T21" i="13"/>
  <c r="N20" i="13"/>
  <c r="O20" i="13"/>
  <c r="R20" i="13"/>
  <c r="T20" i="13"/>
  <c r="Q20" i="13"/>
  <c r="V20" i="13" s="1"/>
  <c r="R19" i="13"/>
  <c r="O19" i="13"/>
  <c r="S19" i="13"/>
  <c r="N19" i="13"/>
  <c r="T19" i="13"/>
  <c r="Q19" i="13"/>
  <c r="V19" i="13" s="1"/>
  <c r="R7" i="13"/>
  <c r="S7" i="13"/>
  <c r="N7" i="13"/>
  <c r="T7" i="13"/>
  <c r="O7" i="13"/>
  <c r="V40" i="13"/>
  <c r="V35" i="13"/>
  <c r="V23" i="13"/>
  <c r="V15" i="13"/>
  <c r="V14" i="13"/>
  <c r="V11" i="13"/>
  <c r="V8" i="13"/>
  <c r="V18" i="13"/>
  <c r="R43" i="12"/>
  <c r="S43" i="12"/>
  <c r="N43" i="12"/>
  <c r="T43" i="12"/>
  <c r="O43" i="12"/>
  <c r="R41" i="12"/>
  <c r="S41" i="12"/>
  <c r="N41" i="12"/>
  <c r="O41" i="12"/>
  <c r="T41" i="12"/>
  <c r="R38" i="12"/>
  <c r="S38" i="12"/>
  <c r="N38" i="12"/>
  <c r="T38" i="12"/>
  <c r="O38" i="12"/>
  <c r="R36" i="12"/>
  <c r="S36" i="12"/>
  <c r="T36" i="12"/>
  <c r="N36" i="12"/>
  <c r="O36" i="12"/>
  <c r="R33" i="12"/>
  <c r="S33" i="12"/>
  <c r="O33" i="12"/>
  <c r="N33" i="12"/>
  <c r="T33" i="12"/>
  <c r="R26" i="12"/>
  <c r="S26" i="12"/>
  <c r="O26" i="12"/>
  <c r="N26" i="12"/>
  <c r="T26" i="12"/>
  <c r="R24" i="12"/>
  <c r="V24" i="12" s="1"/>
  <c r="S24" i="12"/>
  <c r="O24" i="12"/>
  <c r="T24" i="12"/>
  <c r="N24" i="12"/>
  <c r="R22" i="12"/>
  <c r="V22" i="12" s="1"/>
  <c r="S22" i="12"/>
  <c r="N22" i="12"/>
  <c r="O22" i="12"/>
  <c r="T22" i="12"/>
  <c r="R21" i="12"/>
  <c r="V21" i="12" s="1"/>
  <c r="S21" i="12"/>
  <c r="T21" i="12"/>
  <c r="O21" i="12"/>
  <c r="N21" i="12"/>
  <c r="O20" i="12"/>
  <c r="T20" i="12"/>
  <c r="Q20" i="12"/>
  <c r="V20" i="12" s="1"/>
  <c r="N20" i="12"/>
  <c r="R20" i="12"/>
  <c r="R19" i="12"/>
  <c r="S19" i="12"/>
  <c r="N19" i="12"/>
  <c r="O19" i="12"/>
  <c r="T19" i="12"/>
  <c r="R7" i="12"/>
  <c r="S7" i="12"/>
  <c r="O7" i="12"/>
  <c r="N7" i="12"/>
  <c r="T7" i="12"/>
  <c r="V14" i="12"/>
  <c r="V10" i="12"/>
  <c r="V39" i="12"/>
  <c r="V36" i="12" l="1"/>
  <c r="V41" i="12"/>
  <c r="V33" i="12"/>
  <c r="V43" i="13"/>
  <c r="V41" i="13"/>
  <c r="V38" i="13"/>
  <c r="V33" i="13"/>
  <c r="V21" i="13"/>
  <c r="V7" i="13"/>
  <c r="V26" i="12"/>
  <c r="V43" i="12"/>
  <c r="V38" i="12"/>
  <c r="V19" i="12"/>
  <c r="V7" i="12"/>
</calcChain>
</file>

<file path=xl/sharedStrings.xml><?xml version="1.0" encoding="utf-8"?>
<sst xmlns="http://schemas.openxmlformats.org/spreadsheetml/2006/main" count="2101" uniqueCount="464">
  <si>
    <t>DEPARTAMENTO  DE CUNDINAMARCA</t>
  </si>
  <si>
    <t>SECRETARIA DE LA MUJER Y EQUIDAD DE GÉNERO</t>
  </si>
  <si>
    <t>1. COMPONENTE TECNICO</t>
  </si>
  <si>
    <t>ITEM</t>
  </si>
  <si>
    <t>PRODUCTO / SERVICIO</t>
  </si>
  <si>
    <t>DESCRIPCIÓN PRODUCTO / SERVICIO</t>
  </si>
  <si>
    <t>UNIDAD DE MEDIDA</t>
  </si>
  <si>
    <t>CANTIDAD</t>
  </si>
  <si>
    <t xml:space="preserve">VALOR UNITARIO ANTES DE IVA Y DEMÁS IMPUESTOS A LOS QUE HAYAN LUGAR </t>
  </si>
  <si>
    <t>Televisor de última tecnología</t>
  </si>
  <si>
    <t>Insumos de aseo para lavado de manos y asepsia de los asistentes (jabón, antibacterial, toallas de mano)</t>
  </si>
  <si>
    <t>Tablero acrílico</t>
  </si>
  <si>
    <t>Mesa plegable amplia para diferentes actividades grupales</t>
  </si>
  <si>
    <t>Sillas plásticas</t>
  </si>
  <si>
    <t>Torre de sonido</t>
  </si>
  <si>
    <t>Microfono con cable</t>
  </si>
  <si>
    <t>Microfono inalambrico</t>
  </si>
  <si>
    <t>Camilla - Divan de enfermeria</t>
  </si>
  <si>
    <t>Estetoscopio</t>
  </si>
  <si>
    <t>Otoscopio</t>
  </si>
  <si>
    <t>Termómetro</t>
  </si>
  <si>
    <t>Oxímetro</t>
  </si>
  <si>
    <t>Tensiómetro</t>
  </si>
  <si>
    <t>Tallímetro</t>
  </si>
  <si>
    <t>Material didáctico (cartulinas, pintura, pincel, papel Kraft, pegante, crayolas, lápices, esferos, colores, plastilina no tóxica)</t>
  </si>
  <si>
    <t>Aros plásticos</t>
  </si>
  <si>
    <t>Lazos para saltar</t>
  </si>
  <si>
    <t>Balones de diferentes disciplinas deportivas</t>
  </si>
  <si>
    <t>Bandas elásticas</t>
  </si>
  <si>
    <t xml:space="preserve">Colchonetas </t>
  </si>
  <si>
    <t>Tapetes infantiles antigolpes desarmables</t>
  </si>
  <si>
    <t>Material didáctico para niños (bloques didácticos)</t>
  </si>
  <si>
    <t>Equipo tipo All‑in‑One con pantalla de 24"; procesador Intel Core i7 de última generación o equivalente con rendimiento ≥6000 puntos en PCMark10; memoria RAM 16 GB DDR4; disco SSD mínimo 512 GB NVMe; sistema operativo Windows 11 Pro con licencia; conectividad Wi‑Fi 802.11ac, Bluetooth, mínimo 3 puertos USB y 1 HDMI; cámara integrada HD, micrófono y altavoces; garantía mínima 3 años on‑site.</t>
  </si>
  <si>
    <t>Mesa plegable rectangular de mínimo 180×75 cm; estructura metálica con pintura anticorrosiva; superficie en resina o melamina de alta resistencia, lavable; capacidad de carga mínima 80 kg; sistema de plegado seguro con bloqueo.</t>
  </si>
  <si>
    <t>Silla monobloque en polipropileno de alta densidad; capacidad de carga ≥120 kg; diseño ergonómico; superficie lavable; apilables; certificación de resistencia mecánica según norma de mobiliario de asiento.</t>
  </si>
  <si>
    <t>Sistema de sonido tipo parlante amplificado con potencia mínima 150–200 W RMS; entradas de audio (Bluetooth, USB, AUX, micrófono); control de volumen y ecualización; alimentación eléctrica 110–120 V; estructura portátil con ruedas opcionales.</t>
  </si>
  <si>
    <t>Micrófono dinámico de mano con respuesta de frecuencia 80 Hz–15 kHz; cable de mínimo 3 m; conector XLR o 6.3 mm; interruptor de encendido/apagado; cuerpo metálico.</t>
  </si>
  <si>
    <t>Sistema de micrófono inalámbrico UHF o 2.4 GHz; alcance mínimo 30 m; receptor con salida de audio balanceada; batería recargable o pilas AA; indicador de nivel de señal.</t>
  </si>
  <si>
    <t>Camilla fija o diván con estructura metálica; superficie acolchada en vinilo lavable y antibacterial; capacidad de carga ≥120 kg; altura aproximada 70–80 cm; incluye almohadilla. De fácil traslado.</t>
  </si>
  <si>
    <t>Estetoscopio acústico de doble campana; tubo de PVC resistente; olivas suaves; rango de frecuencia apto para uso general clínico; registro sanitario vigente.</t>
  </si>
  <si>
    <t>Otoscopio de mano con fuente de luz LED; alimentación por baterías recargables o pilas; incluye espéculos reutilizables o desechables de varios tamaños; registro sanitario.</t>
  </si>
  <si>
    <t>corresponde a un maletín rígido o semirrígido de primeros auxilios, elaborado en plástico ABS o lona reforzada, con cierre seguro, compartimentos internos y rotulado institucional. Debe incluir insumos nuevos y con registro sanitario vigente, siguiendo los lineamientos del Ministerio de Salud  y la normatividad legal aplicable sobre la materia; las cantidades mínimas observadas en adquisiciones del SECOP: 10 gasas estériles, 5 vendas elásticas, 5 vendas de gasa, 1 rollo de esparadrapo, 1 cinta micropore, 1 paquete de algodón, 10 guantes de nitrilo, 1 mascarilla de RCP, 1 solución salina de 250 ml, 1 antiséptico de 120–250 ml, 1 alcohol de 120–250 ml, 1 caja de analgésico básico, 1 caja de antihistamínico, 1 sobre de sales de rehidratación, bajalengua 1 paquete X 20, tijeras punta roma, pinza metálica, termómetro digital, linterna con pilas de repuesto, manta térmica y férula flexible. 
El conjunto debe entregarse completamente dotado, con todos los elementos organizados dentro del maletín y con fechas de vencimiento no inferiores a doce meses</t>
  </si>
  <si>
    <t xml:space="preserve"> Lazos de saltar elaborados en cuerda resistente con mangos plásticos</t>
  </si>
  <si>
    <t xml:space="preserve"> Balones reglamentarios,tres (3) para fútbol, tamaño 5 cinco, cuatro (4) para baloncesto tamaño 7 y tres (3) para voleibol tamaño oficial.</t>
  </si>
  <si>
    <t xml:space="preserve"> Bandas elásticas de resistencia ligera y media (diez de cada nivel), fabricadas en látex o material sintético de alta durabilidad.</t>
  </si>
  <si>
    <t xml:space="preserve"> Colchonetas de espuma de alta densidad con recubrimiento lavable en vinilo, de mínimo 1,80 m × 60 cm × 3 cm, aptas para ejercicios de piso y actividades recreativas. De fácil limpieza y desinfección.</t>
  </si>
  <si>
    <t xml:space="preserve">Escritorio </t>
  </si>
  <si>
    <t xml:space="preserve">La silla ergonómica debe ser de uso corporativo, con respaldo en malla transpirable, soporte lumbar ajustable, regulación de altura mediante pistón neumático, asiento acolchado en espuma de alta densidad, base de cinco apoyos en nylon o metal con ruedas tipo PU, brazos fijos o ajustables y mecanismo de reclinación o basculante. </t>
  </si>
  <si>
    <t>Sillas de atención deben ser de tipo visita o interlocutor, con estructura metálica en tubo redondo o cuadrado, pintura electrostática, asiento y respaldo acolchados en espuma de alta densidad y tapizados en tela o vinilo institucional de fácil limpieza. Alternativamente, pueden ser sillas tipo polipropileno de alta resistencia con capacidad de carga mínima de 120 kg, apilables y con superficie lavable.</t>
  </si>
  <si>
    <t xml:space="preserve">Computadores (AIO) de línea corporativa </t>
  </si>
  <si>
    <t xml:space="preserve">El escritorio debe ser de diseño institucional, con dimensiones mínimas de 120 cm de ancho × 60 cm de fondo × 74 cm de altura, fabricado en MDF o aglomerado de alta densidad con recubrimiento en melamina de mínimo 18 mm, canto rígido en PVC, superficie resistente a limpieza frecuente y a derrames, estructura metálica o en MDF reforzado, y niveladores en las patas. Debe incluir pasacables y garantizar estabilidad estructural.
</t>
  </si>
  <si>
    <t>Silla ergonomica</t>
  </si>
  <si>
    <t>Silla de interlocución</t>
  </si>
  <si>
    <t>Botiquín dotado según requerimientos de Ministerio de salud y normas aplicables</t>
  </si>
  <si>
    <t>Proyector Láser</t>
  </si>
  <si>
    <t>Telón para proyección</t>
  </si>
  <si>
    <t>Caminadora</t>
  </si>
  <si>
    <t>Debe contar con un motor eléctrico de potencia mínima de 1.5 HP continuos, preferiblemente 2.0 HP o superior, con sistema de transmisión silencioso y protección térmica. La velocidad debe ser ajustable desde 1 km/h hasta mínimo 12 km/h, mediante panel digital, y debe incluir pantalla de control LCD o LED que permita visualizar velocidad, tiempo, distancia, calorías y frecuencia cardíaca. La estructura debe ser metálica, con superficie de trote mínima de 40 cm × 120 cm, barandas laterales de apoyo, sistema de amortiguación antimpacto, banda antideslizante y capacidad de carga mínima de 110–130 kg.
El equipo debe incluir sensores de pulso, programas automáticos de entrenamiento, botón de parada de emergencia, ruedas para transporte y sistema plegable opcional. Debe operar a 110 V, contar con certificación eléctrica y de seguridad, manual de usuario y garantía mínima de un (1) año.</t>
  </si>
  <si>
    <t>Bicicleta Estatica</t>
  </si>
  <si>
    <t>Debe contar con una estructura metálica reforzada, sistema de transmisión silencioso tipo banda o correa, y capacidad de carga mínima de 110–130 kg,  El sistema de resistencia debe ser ajustable en múltiples niveles, preferiblemente magnético, para garantizar suavidad en el pedaleo y menor desgaste mecánico. El equipo debe incluir manubrio ergonómico con recubrimiento antideslizante, sillín acolchado con ajuste vertical y horizontal, pedales con correas de seguridad y base con niveladores para estabilidad en superficies irregulares.
Debe incorporar una pantalla digital LCD o LED que permita visualizar velocidad, tiempo, distancia, calorías y frecuencia cardíaca, con sensores de pulso integrados en el manubrio. La operación debe ser a 110 V cuando incluya componentes eléctricos, y el equipo debe contar con certificación eléctrica y de seguridad, ruedas para transporte y manual de usuario.</t>
  </si>
  <si>
    <t>Juego de mancuernas de peso ligero y medio</t>
  </si>
  <si>
    <t>Balones para pilates</t>
  </si>
  <si>
    <t xml:space="preserve">El kit debe incluir tres (3) balones de pilates en diferentes diámetros: 55 cm, 65 cm y 75 cm, fabricados en PVC de alta resistencia, con superficie antideslizante, capacidad de carga mínima de 120 kg y diseño anti‑explosión (sistema anti‑burst). Cada balón debe incluir su válvula de inflado y bomba manual o sistema de inflado compatible. </t>
  </si>
  <si>
    <t>Gimnasio infantil</t>
  </si>
  <si>
    <t>Lavadora</t>
  </si>
  <si>
    <t>Nevera</t>
  </si>
  <si>
    <t>Refrigerador de uso doméstico o institucional; capacidad mínima 400 L; sistema de refrigeración No Frost; control de temperatura; eficiencia energética; alimentación 110 V.</t>
  </si>
  <si>
    <t>Trampolin cama elastica para ejercicio</t>
  </si>
  <si>
    <t>Trampolín para ejercicio; Peso máximo soportado: 100kg; Tipo de amortiguación: resortes; Material de los resortes: acero; plegable para fácil traslado; .Material de la estructura: hierro.</t>
  </si>
  <si>
    <r>
      <t xml:space="preserve">El kit debe incluir: </t>
    </r>
    <r>
      <rPr>
        <b/>
        <sz val="10"/>
        <rFont val="Arial"/>
        <family val="2"/>
      </rPr>
      <t>20 cartulinas tamaño pliego</t>
    </r>
    <r>
      <rPr>
        <sz val="10"/>
        <rFont val="Arial"/>
        <family val="2"/>
      </rPr>
      <t xml:space="preserve"> en colores surtidos; </t>
    </r>
    <r>
      <rPr>
        <b/>
        <sz val="10"/>
        <rFont val="Arial"/>
        <family val="2"/>
      </rPr>
      <t>10 frascos de pintura vinílica de 1000 ml</t>
    </r>
    <r>
      <rPr>
        <sz val="10"/>
        <rFont val="Arial"/>
        <family val="2"/>
      </rPr>
      <t xml:space="preserve"> en colores básicos; </t>
    </r>
    <r>
      <rPr>
        <b/>
        <sz val="10"/>
        <rFont val="Arial"/>
        <family val="2"/>
      </rPr>
      <t>20 pinceles escolares</t>
    </r>
    <r>
      <rPr>
        <sz val="10"/>
        <rFont val="Arial"/>
        <family val="2"/>
      </rPr>
      <t xml:space="preserve"> de diferentes grosores; </t>
    </r>
    <r>
      <rPr>
        <b/>
        <sz val="10"/>
        <rFont val="Arial"/>
        <family val="2"/>
      </rPr>
      <t>5 rollos de papel Kraft</t>
    </r>
    <r>
      <rPr>
        <sz val="10"/>
        <rFont val="Arial"/>
        <family val="2"/>
      </rPr>
      <t xml:space="preserve"> de mínimo 10 metros; </t>
    </r>
    <r>
      <rPr>
        <b/>
        <sz val="10"/>
        <rFont val="Arial"/>
        <family val="2"/>
      </rPr>
      <t>10 unidades de pegante escolar</t>
    </r>
    <r>
      <rPr>
        <sz val="10"/>
        <rFont val="Arial"/>
        <family val="2"/>
      </rPr>
      <t xml:space="preserve"> de 480 g; </t>
    </r>
    <r>
      <rPr>
        <b/>
        <sz val="10"/>
        <rFont val="Arial"/>
        <family val="2"/>
      </rPr>
      <t>20 cajas de  Crayones de Cera Crayola</t>
    </r>
    <r>
      <rPr>
        <sz val="10"/>
        <rFont val="Arial"/>
        <family val="2"/>
      </rPr>
      <t xml:space="preserve">, Tamaño Estándar, Colores Surtidos No Tóxicos, Caja con mínimo 48 Piezas; </t>
    </r>
    <r>
      <rPr>
        <b/>
        <sz val="10"/>
        <rFont val="Arial"/>
        <family val="2"/>
      </rPr>
      <t xml:space="preserve">20 cajas de lápices Mirado 2 caja X 12 </t>
    </r>
    <r>
      <rPr>
        <sz val="10"/>
        <rFont val="Arial"/>
        <family val="2"/>
      </rPr>
      <t xml:space="preserve">; </t>
    </r>
    <r>
      <rPr>
        <b/>
        <sz val="10"/>
        <rFont val="Arial"/>
        <family val="2"/>
      </rPr>
      <t>20 cajas de esferos</t>
    </r>
    <r>
      <rPr>
        <sz val="10"/>
        <rFont val="Arial"/>
        <family val="2"/>
      </rPr>
      <t xml:space="preserve"> de 12 unidades; </t>
    </r>
    <r>
      <rPr>
        <b/>
        <sz val="10"/>
        <rFont val="Arial"/>
        <family val="2"/>
      </rPr>
      <t>20 cajas de colores</t>
    </r>
    <r>
      <rPr>
        <sz val="10"/>
        <rFont val="Arial"/>
        <family val="2"/>
      </rPr>
      <t xml:space="preserve"> de 12 unidades; y </t>
    </r>
    <r>
      <rPr>
        <b/>
        <sz val="10"/>
        <rFont val="Arial"/>
        <family val="2"/>
      </rPr>
      <t>20 cajas de plastilina no tóxica</t>
    </r>
    <r>
      <rPr>
        <sz val="10"/>
        <rFont val="Arial"/>
        <family val="2"/>
      </rPr>
      <t xml:space="preserve"> en colores variados. Todos los materiales deben ser de uso escolar, no tóxicos, con certificación de seguridad para niños y presentación institucional.</t>
    </r>
  </si>
  <si>
    <r>
      <rPr>
        <b/>
        <sz val="10"/>
        <rFont val="Arial"/>
        <family val="2"/>
      </rPr>
      <t>Aros plásticos</t>
    </r>
    <r>
      <rPr>
        <sz val="10"/>
        <rFont val="Arial"/>
        <family val="2"/>
      </rPr>
      <t xml:space="preserve"> de diámetro entre 60 y 80 cm en colores surtidos</t>
    </r>
  </si>
  <si>
    <r>
      <t xml:space="preserve">Un </t>
    </r>
    <r>
      <rPr>
        <b/>
        <sz val="10"/>
        <rFont val="Arial"/>
        <family val="2"/>
      </rPr>
      <t>kit de tapetes infantiles tipo rompecabezas</t>
    </r>
    <r>
      <rPr>
        <sz val="10"/>
        <rFont val="Arial"/>
        <family val="2"/>
      </rPr>
      <t xml:space="preserve">, fabricados en </t>
    </r>
    <r>
      <rPr>
        <b/>
        <sz val="10"/>
        <rFont val="Arial"/>
        <family val="2"/>
      </rPr>
      <t>EVA de alta densidad</t>
    </r>
    <r>
      <rPr>
        <sz val="10"/>
        <rFont val="Arial"/>
        <family val="2"/>
      </rPr>
      <t xml:space="preserve">, con </t>
    </r>
    <r>
      <rPr>
        <b/>
        <sz val="10"/>
        <rFont val="Arial"/>
        <family val="2"/>
      </rPr>
      <t>espesor mínimo de 1 cm</t>
    </r>
    <r>
      <rPr>
        <sz val="10"/>
        <rFont val="Arial"/>
        <family val="2"/>
      </rPr>
      <t xml:space="preserve">, superficie </t>
    </r>
    <r>
      <rPr>
        <b/>
        <sz val="10"/>
        <rFont val="Arial"/>
        <family val="2"/>
      </rPr>
      <t>antideslizante</t>
    </r>
    <r>
      <rPr>
        <sz val="10"/>
        <rFont val="Arial"/>
        <family val="2"/>
      </rPr>
      <t xml:space="preserve">, bordes seguros y piezas encajables entre sí. El kit debe incluir </t>
    </r>
    <r>
      <rPr>
        <b/>
        <sz val="10"/>
        <rFont val="Arial"/>
        <family val="2"/>
      </rPr>
      <t>veinte (20) piezas</t>
    </r>
    <r>
      <rPr>
        <sz val="10"/>
        <rFont val="Arial"/>
        <family val="2"/>
      </rPr>
      <t xml:space="preserve"> de 60 × 60 cm en colores surtidos, equivalentes a una superficie aproximada de 7 m². Cada pieza debe ser lavable, resistente al uso continuo, libre de sustancias tóxicas y contar con </t>
    </r>
    <r>
      <rPr>
        <b/>
        <sz val="10"/>
        <rFont val="Arial"/>
        <family val="2"/>
      </rPr>
      <t>certificación para uso infantil</t>
    </r>
    <r>
      <rPr>
        <sz val="10"/>
        <rFont val="Arial"/>
        <family val="2"/>
      </rPr>
      <t>, conforme a los estándares exigidos en dotaciones institucionales para primera infancia. El kit debe entregarse completamente organizado y empacado, apto para instalación inmediata en espacios de juego, estimulación y actividades pedagógicas.</t>
    </r>
  </si>
  <si>
    <r>
      <t xml:space="preserve">Un </t>
    </r>
    <r>
      <rPr>
        <b/>
        <sz val="10"/>
        <rFont val="Arial"/>
        <family val="2"/>
      </rPr>
      <t>kit de bloques didácticos para uso infantil</t>
    </r>
    <r>
      <rPr>
        <sz val="10"/>
        <rFont val="Arial"/>
        <family val="2"/>
      </rPr>
      <t xml:space="preserve">, elaborados en </t>
    </r>
    <r>
      <rPr>
        <b/>
        <sz val="10"/>
        <rFont val="Arial"/>
        <family val="2"/>
      </rPr>
      <t>plástico o madera no tóxica</t>
    </r>
    <r>
      <rPr>
        <sz val="10"/>
        <rFont val="Arial"/>
        <family val="2"/>
      </rPr>
      <t xml:space="preserve">, con </t>
    </r>
    <r>
      <rPr>
        <b/>
        <sz val="10"/>
        <rFont val="Arial"/>
        <family val="2"/>
      </rPr>
      <t>bordes redondeados</t>
    </r>
    <r>
      <rPr>
        <sz val="10"/>
        <rFont val="Arial"/>
        <family val="2"/>
      </rPr>
      <t xml:space="preserve">, superficies lisas y </t>
    </r>
    <r>
      <rPr>
        <b/>
        <sz val="10"/>
        <rFont val="Arial"/>
        <family val="2"/>
      </rPr>
      <t>tamaños adecuados para evitar riesgo de atragantamiento</t>
    </r>
    <r>
      <rPr>
        <sz val="10"/>
        <rFont val="Arial"/>
        <family val="2"/>
      </rPr>
      <t xml:space="preserve">, conforme a las especificaciones utilizadas en compras del SECOP para dotación de ludotecas y centros de desarrollo infantil. El kit debe incluir </t>
    </r>
    <r>
      <rPr>
        <b/>
        <sz val="10"/>
        <rFont val="Arial"/>
        <family val="2"/>
      </rPr>
      <t>treinta (30) bloques didácticos</t>
    </r>
    <r>
      <rPr>
        <sz val="10"/>
        <rFont val="Arial"/>
        <family val="2"/>
      </rPr>
      <t xml:space="preserve"> de diferentes formas y colores, con dimensiones mínimas de 4 cm por lado, fabricados en material de alta resistencia, lavable y libre de sustancias peligrosas. Todos los elementos deben contar con </t>
    </r>
    <r>
      <rPr>
        <b/>
        <sz val="10"/>
        <rFont val="Arial"/>
        <family val="2"/>
      </rPr>
      <t>certificación para uso infantil</t>
    </r>
    <r>
      <rPr>
        <sz val="10"/>
        <rFont val="Arial"/>
        <family val="2"/>
      </rPr>
      <t>, ser aptos para actividades de motricidad fina, construcción y juego libre, y presentarse en empaque institucional que facilite su almacenamiento y manipulación.</t>
    </r>
  </si>
  <si>
    <r>
      <t xml:space="preserve">El kit debe incluir </t>
    </r>
    <r>
      <rPr>
        <b/>
        <sz val="10"/>
        <rFont val="Arial"/>
        <family val="2"/>
      </rPr>
      <t>seis (6) pares de mancuernas</t>
    </r>
    <r>
      <rPr>
        <sz val="10"/>
        <rFont val="Arial"/>
        <family val="2"/>
      </rPr>
      <t xml:space="preserve">, distribuidos en pesos ligeros y medios: </t>
    </r>
    <r>
      <rPr>
        <b/>
        <sz val="10"/>
        <rFont val="Arial"/>
        <family val="2"/>
      </rPr>
      <t>dos (2) pares de 1 kg</t>
    </r>
    <r>
      <rPr>
        <sz val="10"/>
        <rFont val="Arial"/>
        <family val="2"/>
      </rPr>
      <t xml:space="preserve">, </t>
    </r>
    <r>
      <rPr>
        <b/>
        <sz val="10"/>
        <rFont val="Arial"/>
        <family val="2"/>
      </rPr>
      <t>dos (2) pares de 2 kg</t>
    </r>
    <r>
      <rPr>
        <sz val="10"/>
        <rFont val="Arial"/>
        <family val="2"/>
      </rPr>
      <t xml:space="preserve"> y </t>
    </r>
    <r>
      <rPr>
        <b/>
        <sz val="10"/>
        <rFont val="Arial"/>
        <family val="2"/>
      </rPr>
      <t>dos (2) pares de 3 kg</t>
    </r>
    <r>
      <rPr>
        <sz val="10"/>
        <rFont val="Arial"/>
        <family val="2"/>
      </rPr>
      <t>, fabricadas en hierro recubierto en vinilo, neopreno o material sintético de alta resistencia, con superficie antideslizante y diseño ergonómico. Cada mancuerna debe ser de color diferenciado por peso, resistente al uso continuo y fácil de limpiar</t>
    </r>
  </si>
  <si>
    <r>
      <t xml:space="preserve">El kit debe incluir </t>
    </r>
    <r>
      <rPr>
        <b/>
        <sz val="10"/>
        <rFont val="Arial"/>
        <family val="2"/>
      </rPr>
      <t>un (1) módulo de escalada suave</t>
    </r>
    <r>
      <rPr>
        <sz val="10"/>
        <rFont val="Arial"/>
        <family val="2"/>
      </rPr>
      <t xml:space="preserve"> elaborado en espuma de alta densidad con recubrimiento en vinilo lavable, compuesto por mínimo </t>
    </r>
    <r>
      <rPr>
        <b/>
        <sz val="10"/>
        <rFont val="Arial"/>
        <family val="2"/>
      </rPr>
      <t>cuatro (4) piezas encajables</t>
    </r>
    <r>
      <rPr>
        <sz val="10"/>
        <rFont val="Arial"/>
        <family val="2"/>
      </rPr>
      <t xml:space="preserve">; </t>
    </r>
    <r>
      <rPr>
        <b/>
        <sz val="10"/>
        <rFont val="Arial"/>
        <family val="2"/>
      </rPr>
      <t>un (1) túnel o pasadizo infantil</t>
    </r>
    <r>
      <rPr>
        <sz val="10"/>
        <rFont val="Arial"/>
        <family val="2"/>
      </rPr>
      <t xml:space="preserve"> en material plástico resistente; </t>
    </r>
    <r>
      <rPr>
        <b/>
        <sz val="10"/>
        <rFont val="Arial"/>
        <family val="2"/>
      </rPr>
      <t>dos (2) colchonetas</t>
    </r>
    <r>
      <rPr>
        <sz val="10"/>
        <rFont val="Arial"/>
        <family val="2"/>
      </rPr>
      <t xml:space="preserve"> de 1,80 m × 60 cm × 3 cm en espuma de alta densidad con superficie lavable; </t>
    </r>
    <r>
      <rPr>
        <b/>
        <sz val="10"/>
        <rFont val="Arial"/>
        <family val="2"/>
      </rPr>
      <t>un (1) balancín o mecedora infantil</t>
    </r>
    <r>
      <rPr>
        <sz val="10"/>
        <rFont val="Arial"/>
        <family val="2"/>
      </rPr>
      <t xml:space="preserve"> en plástico o madera no tóxica; </t>
    </r>
    <r>
      <rPr>
        <b/>
        <sz val="10"/>
        <rFont val="Arial"/>
        <family val="2"/>
      </rPr>
      <t>un (1) set de bloques gigantes de espuma</t>
    </r>
    <r>
      <rPr>
        <sz val="10"/>
        <rFont val="Arial"/>
        <family val="2"/>
      </rPr>
      <t xml:space="preserve"> con mínimo </t>
    </r>
    <r>
      <rPr>
        <b/>
        <sz val="10"/>
        <rFont val="Arial"/>
        <family val="2"/>
      </rPr>
      <t>ocho (8) piezas</t>
    </r>
    <r>
      <rPr>
        <sz val="10"/>
        <rFont val="Arial"/>
        <family val="2"/>
      </rPr>
      <t xml:space="preserve"> para construcción y motricidad; y </t>
    </r>
    <r>
      <rPr>
        <b/>
        <sz val="10"/>
        <rFont val="Arial"/>
        <family val="2"/>
      </rPr>
      <t>un (1) juego de aros y conos</t>
    </r>
    <r>
      <rPr>
        <sz val="10"/>
        <rFont val="Arial"/>
        <family val="2"/>
      </rPr>
      <t xml:space="preserve"> con mínimo </t>
    </r>
    <r>
      <rPr>
        <b/>
        <sz val="10"/>
        <rFont val="Arial"/>
        <family val="2"/>
      </rPr>
      <t>seis (6) aros</t>
    </r>
    <r>
      <rPr>
        <sz val="10"/>
        <rFont val="Arial"/>
        <family val="2"/>
      </rPr>
      <t xml:space="preserve"> y </t>
    </r>
    <r>
      <rPr>
        <b/>
        <sz val="10"/>
        <rFont val="Arial"/>
        <family val="2"/>
      </rPr>
      <t>cuatro (4) conos</t>
    </r>
    <r>
      <rPr>
        <sz val="10"/>
        <rFont val="Arial"/>
        <family val="2"/>
      </rPr>
      <t xml:space="preserve"> para actividades de coordinación</t>
    </r>
  </si>
  <si>
    <t>2. COMPONENTE P.O.P.</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</si>
  <si>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</si>
  <si>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</si>
  <si>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</si>
  <si>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</si>
  <si>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</si>
  <si>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</si>
  <si>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</si>
  <si>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</si>
  <si>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</si>
  <si>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</si>
  <si>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</si>
  <si>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</si>
  <si>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</si>
  <si>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</si>
  <si>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</si>
  <si>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</si>
  <si>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</si>
  <si>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</si>
  <si>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</si>
  <si>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</si>
  <si>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</si>
  <si>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</si>
  <si>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</si>
  <si>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</si>
  <si>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</si>
  <si>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</si>
  <si>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</si>
  <si>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</si>
  <si>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</si>
  <si>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</si>
  <si>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</si>
  <si>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</si>
  <si>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</si>
  <si>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</si>
  <si>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</si>
  <si>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</si>
  <si>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</si>
  <si>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</si>
  <si>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2.1</t>
  </si>
  <si>
    <t>Dimensiones de 6 cm x 6 cm, en papel adesivo de alta durabilidad, full color según diseño brindado por la Secretaría de la Mujer y Equidad de Género.</t>
  </si>
  <si>
    <t>Sticker corporativo</t>
  </si>
  <si>
    <t>TOTAL 1. COMPONENTE TECNICO</t>
  </si>
  <si>
    <t>OBJETO: SUMINISTRO E INSTALACIÓN DE ELEMENTOS PARA LA DOTACIÓN DE LAS UNIDADES ANCLA EN LOS MUNICIPIOS DE CUNDINAMARCA, EN EL MARCO DE LA IMPLEMENTACIÓN DE LA PRIMERA FASE DEL SISTEMA DEPARTAMENTAL DEL CUIDADO.</t>
  </si>
  <si>
    <t>UNIDAD</t>
  </si>
  <si>
    <t xml:space="preserve">No, proceso </t>
  </si>
  <si>
    <t xml:space="preserve">Link de la informacion </t>
  </si>
  <si>
    <t>No. PROCESO</t>
  </si>
  <si>
    <t xml:space="preserve">LINK DE LA INFORMACION </t>
  </si>
  <si>
    <t>https://community.secop.gov.co/Public/Tendering/ContractNoticeManagement/Index?currentLanguage=es-CO&amp;Page=login&amp;Country=CO&amp;SkinName=CCE</t>
  </si>
  <si>
    <t>SMUEG-SA-PS-192-2026</t>
  </si>
  <si>
    <t>SMUEG-SA-SU-210-2026</t>
  </si>
  <si>
    <t>SMUEG-ES-CA-185-2025</t>
  </si>
  <si>
    <t>httpscommunity.secop.gov.coPublicTenderingContractNoticeManagementIndexcurrentLanguage=es-CO&amp;Page=login&amp;Country=CO&amp;SkinName=CCE</t>
  </si>
  <si>
    <t>SSF-MC-SU-006-2026</t>
  </si>
  <si>
    <t>SSF-SA-SU-001-2026</t>
  </si>
  <si>
    <t xml:space="preserve">SSF-SA-SU-001-2026 </t>
  </si>
  <si>
    <t>https://community.secop.gov.co/Public/Tendering/OpportunityDetail/Index?noticeUID=CO1.NTC.10888899&amp;isFromPublicArea=True&amp;isModal=False</t>
  </si>
  <si>
    <t>SMUEG-SA-SU-210-2026community.secop.gov.co/Public/Tendering/ContractNoticeManagement/Index?currentLanguage=es-CO&amp;Page=login&amp;Country=CO&amp;SkinName=CCE</t>
  </si>
  <si>
    <t>https://community.secop.gov.co/Public/Tendering/OpportunityDetail/Index?noticeUID=CO1.NTC.10738624&amp;isFromPublicArea=True&amp;isModal=False</t>
  </si>
  <si>
    <t>https://community.secop.gov.co/Public/Tendering/OpportunityDetail/Index?noticeUID=CO1.NTC.10278831&amp;isFromPublicArea=True&amp;isModal=False</t>
  </si>
  <si>
    <t>SGSC-SA-PS-426-2026</t>
  </si>
  <si>
    <t>https://community.secop.gov.co/Public/Tendering/OpportunityDetail/Index?noticeUID=CO1.NTC.10320623</t>
  </si>
  <si>
    <t>SMUEG-CD-ES.ESALCO-131-2025</t>
  </si>
  <si>
    <t>https://community.secop.gov.co/Public/Tendering/OpportunityDetail/Index?noticeUID=CO1.NTC.7965348</t>
  </si>
  <si>
    <t>SBV-MC-SU-008-2025</t>
  </si>
  <si>
    <t>https://community.secop.gov.co/Public/Tendering/OpportunityDetail/Index?noticeUID=CO1.NTC.8448892</t>
  </si>
  <si>
    <t>SGSC-SA-SU-453-2026</t>
  </si>
  <si>
    <t>https://community.secop.gov.co/Public/Tendering/OpportunityDetail/Index?noticeUID=CO1.NTC.11013653</t>
  </si>
  <si>
    <t>Producto</t>
  </si>
  <si>
    <t>Precio de referencia 1</t>
  </si>
  <si>
    <t>Precio de referencia 2</t>
  </si>
  <si>
    <t>Dispensador de jabón de 1 L</t>
  </si>
  <si>
    <t>Dispensador de gel de 1 L</t>
  </si>
  <si>
    <t>Jabón antibacterial, galón</t>
  </si>
  <si>
    <t>Gel antibacterial, galón</t>
  </si>
  <si>
    <t>Toallas de papel para manos</t>
  </si>
  <si>
    <t>https://www.homecenter.com.co/</t>
  </si>
  <si>
    <t>https://www.kipclin.com/aseo-personal/ver-todo-aseo-personal/dispensador-de-jabon-liquido-1-l-83510.html</t>
  </si>
  <si>
    <t>https://www.pamo.co/products/dispensador-jabon-1000-ml-acero-inoxidable-304-institucional-alta-calidad</t>
  </si>
  <si>
    <t>Precio de referencia 3</t>
  </si>
  <si>
    <t>https://tamescolombia.com.co/</t>
  </si>
  <si>
    <t>https://www.contraloriabogota.gov.co/sites/default/files/2025-12/Anexo%20del%20AVISO%20DP%201284%20-%202025%20%28Respuesta%29_0.pdf</t>
  </si>
  <si>
    <t>https://www.homecenter.com.co/homecenter-co/product/3014250/dispensador-xpert-professional-para-frasco-jabon-gel-antibacterial-shampoo-de-1000-ml-color-blanco/3014250/</t>
  </si>
  <si>
    <t>https://www.mercadolibre.com.co/dispensador-jabon-liquido-1000-ml-manual-pared-recargable/up/MCOU5334067372</t>
  </si>
  <si>
    <t>https://www.detercol.com/jabon-liquido-antibacterial-para-manos-y-cuerpo-neutro-galon-3800-ml.html</t>
  </si>
  <si>
    <t>https://www.detercol.com/gel-antibacterial-para-manos-galon-38-litros.html</t>
  </si>
  <si>
    <t>https://www.mercadolibre.com.co/toallas-de-papel-para-manos-x-120-para-uso-general-higiene/up/MCOU2436648850</t>
  </si>
  <si>
    <t>https://www.tork.com.co/toallas-de-manos/tork-xpress-toalla-de-manos-doblada-en-z-advanced-blanca-150-toallas-24-fajos-1/</t>
  </si>
  <si>
    <t>https://www.cuidateenfamilia.com/toallas-de-manos-desechables-familia-green-70284/p</t>
  </si>
  <si>
    <t xml:space="preserve">IN STALACIÓN DE LOS DISPENSADORES: contemplar perforación, fijación con tornillos y chazos, mano de obra y herramientas menores. </t>
  </si>
  <si>
    <t>Referencia</t>
  </si>
  <si>
    <t>Costo por unidad</t>
  </si>
  <si>
    <t>Fuente y alcance</t>
  </si>
  <si>
    <t>https://colombia.generadordeprecios.info/presto-equip/obra_nueva/Senalizacion_y_equipamiento/Banos/Dosificadores_de_jabon/Dosificador_mural_de_jabon_liquido_0_1_0_0_1_0_0_0_0_0.html</t>
  </si>
  <si>
    <t>PROMEDIO:</t>
  </si>
  <si>
    <t>VALOR TOTAL KIT</t>
  </si>
  <si>
    <t>PRECIO INSTALACIÓN KIT</t>
  </si>
  <si>
    <t>VALOR TOTAL KIT CON INSTALACION</t>
  </si>
  <si>
    <t>N/A</t>
  </si>
  <si>
    <t>Esta  información se toma del estudio realizado, se encuentra en la hoja con nombre KIT ASEO</t>
  </si>
  <si>
    <r>
      <t xml:space="preserve">Pantalla LED/LCD de mínimo 55" o superior, resolución mínima Full HD 1920×1080 o 4K UHD 3840×2160; relación de aspecto 16:9; brillo adecuado para interiores; sistema Smart TV con conectividad Wi‑Fi y puerto Ethernet; mínimo 2 puertos HDMI y 1 puerto USB; compatibilidad con estándar DVB‑T2; control remoto, soporte de pared tipo VESA y manual de usuario. </t>
    </r>
    <r>
      <rPr>
        <b/>
        <sz val="10"/>
        <rFont val="Arial"/>
        <family val="2"/>
      </rPr>
      <t>-SE DEBE ENTREGAR INSTALADO CON SOPORTE DE PARED.</t>
    </r>
  </si>
  <si>
    <r>
      <t xml:space="preserve">El kit debe incluir: </t>
    </r>
    <r>
      <rPr>
        <b/>
        <sz val="10"/>
        <rFont val="Arial"/>
        <family val="2"/>
      </rPr>
      <t>(i)</t>
    </r>
    <r>
      <rPr>
        <sz val="10"/>
        <rFont val="Arial"/>
        <family val="2"/>
      </rPr>
      <t xml:space="preserve"> un </t>
    </r>
    <r>
      <rPr>
        <b/>
        <sz val="10"/>
        <rFont val="Arial"/>
        <family val="2"/>
      </rPr>
      <t>dispensador de jabón líquido antibacterial</t>
    </r>
    <r>
      <rPr>
        <sz val="10"/>
        <rFont val="Arial"/>
        <family val="2"/>
      </rPr>
      <t xml:space="preserve"> con capacidad mínima de 1 litro, acompañado de </t>
    </r>
    <r>
      <rPr>
        <b/>
        <sz val="10"/>
        <rFont val="Arial"/>
        <family val="2"/>
      </rPr>
      <t>cinco (5) galones de jabón líquido antibacterial</t>
    </r>
    <r>
      <rPr>
        <sz val="10"/>
        <rFont val="Arial"/>
        <family val="2"/>
      </rPr>
      <t xml:space="preserve"> para reposición, cada uno con registro sanitario vigente; </t>
    </r>
    <r>
      <rPr>
        <b/>
        <sz val="10"/>
        <rFont val="Arial"/>
        <family val="2"/>
      </rPr>
      <t>(ii)</t>
    </r>
    <r>
      <rPr>
        <sz val="10"/>
        <rFont val="Arial"/>
        <family val="2"/>
      </rPr>
      <t xml:space="preserve"> un </t>
    </r>
    <r>
      <rPr>
        <b/>
        <sz val="10"/>
        <rFont val="Arial"/>
        <family val="2"/>
      </rPr>
      <t>dispensador de gel antibacterial</t>
    </r>
    <r>
      <rPr>
        <sz val="10"/>
        <rFont val="Arial"/>
        <family val="2"/>
      </rPr>
      <t xml:space="preserve"> con capacidad mínima de 1 litro, junto con </t>
    </r>
    <r>
      <rPr>
        <b/>
        <sz val="10"/>
        <rFont val="Arial"/>
        <family val="2"/>
      </rPr>
      <t xml:space="preserve"> cinco (5) galones de gel antibacterial</t>
    </r>
    <r>
      <rPr>
        <sz val="10"/>
        <rFont val="Arial"/>
        <family val="2"/>
      </rPr>
      <t xml:space="preserve"> con concentración de alcohol igual o superior al </t>
    </r>
    <r>
      <rPr>
        <b/>
        <sz val="10"/>
        <rFont val="Arial"/>
        <family val="2"/>
      </rPr>
      <t>60 %</t>
    </r>
    <r>
      <rPr>
        <sz val="10"/>
        <rFont val="Arial"/>
        <family val="2"/>
      </rPr>
      <t xml:space="preserve">, conforme a las especificaciones de bioseguridad empleadas en entidades públicas; y </t>
    </r>
    <r>
      <rPr>
        <b/>
        <sz val="10"/>
        <rFont val="Arial"/>
        <family val="2"/>
      </rPr>
      <t>(iii)</t>
    </r>
    <r>
      <rPr>
        <sz val="10"/>
        <rFont val="Arial"/>
        <family val="2"/>
      </rPr>
      <t xml:space="preserve"> </t>
    </r>
    <r>
      <rPr>
        <b/>
        <sz val="10"/>
        <rFont val="Arial"/>
        <family val="2"/>
      </rPr>
      <t>cinco (5) paquetes de toallas de mano desechables tipo papel</t>
    </r>
    <r>
      <rPr>
        <sz val="10"/>
        <rFont val="Arial"/>
        <family val="2"/>
      </rPr>
      <t xml:space="preserve">, cada paquete con </t>
    </r>
    <r>
      <rPr>
        <b/>
        <sz val="10"/>
        <rFont val="Arial"/>
        <family val="2"/>
      </rPr>
      <t>100 unidades</t>
    </r>
    <r>
      <rPr>
        <sz val="10"/>
        <rFont val="Arial"/>
        <family val="2"/>
      </rPr>
      <t xml:space="preserve">, fabricadas en papel absorbente de una o dos capas, aptas para dispensador y con certificación sanitaria. Todos los productos deben ser nuevos, contar con registro sanitario vigente y presentarse en envases institucionales adecuados para uso continuo en espacios de atención al público.
</t>
    </r>
    <r>
      <rPr>
        <b/>
        <sz val="10"/>
        <rFont val="Arial"/>
        <family val="2"/>
      </rPr>
      <t>SE DEBE ENTREGAR INSTALADO CON SOPORTE DE PARED.</t>
    </r>
  </si>
  <si>
    <r>
      <t xml:space="preserve">Tablero acrílico blanco de mínimo 120×90 cm; superficie anti‑rayones y apta para marcadores borrables; marco en aluminio; sistema de fijación a pared; bandeja porta‑marcadores, incluye </t>
    </r>
    <r>
      <rPr>
        <b/>
        <sz val="10"/>
        <rFont val="Arial"/>
        <family val="2"/>
      </rPr>
      <t>cinco (5) cajas de marcadores borrables (colores surtidos rojo, negro y azul). -SE DEBE ENTREGAR INSTALADO CON SOPORTE DE PARED.</t>
    </r>
  </si>
  <si>
    <r>
      <t>Termómetro digital infrarrojo o de contacto; rango de medición 32–42 °C; precisión ±0.2 °C; pantalla LCD; memoria de lecturas; registro sanitario.-</t>
    </r>
    <r>
      <rPr>
        <b/>
        <sz val="10"/>
        <color rgb="FFFF0000"/>
        <rFont val="Arial"/>
        <family val="2"/>
      </rPr>
      <t xml:space="preserve"> </t>
    </r>
    <r>
      <rPr>
        <b/>
        <sz val="10"/>
        <rFont val="Arial"/>
        <family val="2"/>
      </rPr>
      <t>Debe Contar Con Certificado de Calibración ONAC</t>
    </r>
    <r>
      <rPr>
        <sz val="10"/>
        <rFont val="Arial"/>
        <family val="2"/>
      </rPr>
      <t xml:space="preserve"> </t>
    </r>
    <r>
      <rPr>
        <b/>
        <sz val="10"/>
        <rFont val="Arial"/>
        <family val="2"/>
      </rPr>
      <t>y Capacitación de Uso.</t>
    </r>
  </si>
  <si>
    <r>
      <t>Oxímetro de pulso portátil; medición de SpO2 y frecuencia cardiaca; pantalla OLED/LCD; rango SpO2 70–100 %; registro sanitario.</t>
    </r>
    <r>
      <rPr>
        <b/>
        <sz val="10"/>
        <rFont val="Arial"/>
        <family val="2"/>
      </rPr>
      <t>Debe Contar Con Certificado de Calibración ONAC</t>
    </r>
    <r>
      <rPr>
        <sz val="10"/>
        <rFont val="Arial"/>
        <family val="2"/>
      </rPr>
      <t xml:space="preserve"> </t>
    </r>
    <r>
      <rPr>
        <b/>
        <sz val="10"/>
        <rFont val="Arial"/>
        <family val="2"/>
      </rPr>
      <t>y Capacitación de Uso.</t>
    </r>
  </si>
  <si>
    <r>
      <t>Tensiómetro digital automático de brazo; rango de presión 0–300 mmHg; brazalete estándar adulto; memoria de lecturas; alimentación por baterías o adaptador; registro sanitario.</t>
    </r>
    <r>
      <rPr>
        <b/>
        <sz val="10"/>
        <rFont val="Arial"/>
        <family val="2"/>
      </rPr>
      <t>Debe Contar Con Certificado de Calibración ONAC y Capacitación de Uso.</t>
    </r>
  </si>
  <si>
    <r>
      <t>Tallímetro mecánico o digital con rango 80–210 cm; graduación en centímetros; estructura estable para fijación a pared o base; material plástico/metal resistente.</t>
    </r>
    <r>
      <rPr>
        <b/>
        <sz val="10"/>
        <rFont val="Arial"/>
        <family val="2"/>
      </rPr>
      <t>Debe Contar Con Certificado de Calibración ONAC y Capacitación de Uso.</t>
    </r>
  </si>
  <si>
    <r>
      <t>Videoproyector láser con resolución mínima Full HD 1080p; brillo ≥4600 lúmenes ANSI; vida útil de fuente de luz ≥20.000 horas; tamaño de imagen hasta 310"; entradas HDMI, USB, LAN y RJ‑45; capacidad de conexión inalámbrica; apto para aula y sala de conferencias.</t>
    </r>
    <r>
      <rPr>
        <b/>
        <sz val="10"/>
        <rFont val="Arial"/>
        <family val="2"/>
      </rPr>
      <t xml:space="preserve"> -SE DEBE ENTREGAR INSTALADO CON SOPORTE DE PARED.</t>
    </r>
  </si>
  <si>
    <r>
      <t xml:space="preserve">Pantalla de proyección manual o eléctrica con área útil 2,65×1,50 m; formato 16:9; diagonal 120"; superficie blanca mate con ganancia estándar; estructura metálica para fijación a pared o techo. </t>
    </r>
    <r>
      <rPr>
        <b/>
        <sz val="10"/>
        <rFont val="Arial"/>
        <family val="2"/>
      </rPr>
      <t>-SE DEBE ENTREGAR INSTALADO CON SOPORTE DE PARED.</t>
    </r>
  </si>
  <si>
    <r>
      <t xml:space="preserve">Lavadora eléctrica de carga frontal o superior; capacidad mínima 22 kg; múltiples programas de lavado; eficiencia energética certificada; alimentación 110 V. </t>
    </r>
    <r>
      <rPr>
        <b/>
        <sz val="10"/>
        <rFont val="Arial"/>
        <family val="2"/>
      </rPr>
      <t>-SE DEBE ENTREGAR INSTALADO EN SITIO.</t>
    </r>
  </si>
  <si>
    <t xml:space="preserve">NOTA 1:  EL OFERENTE DEBE GARANTIZAR LA ENTREGA DE LOS ELEMENTOS ANTES MENCIONADOS EN EL DEPARTAMENTO DE CUNDINAMARCA, DE ACUERDO A LA NECESIDAD SEGÚN CRONOGRAMA Y/O PROGRAMACIÓN DE LA SECRETARÍA DE LA MUJER Y EQUIDAD DE GÉNERO.
NOTA 2: El contratista será responsable de la correcta instalación y puesta en funcionamiento de los equipos electrónicos y demás elementos en las Unidades Ancla de los municipios designados de acuerdo a la programación y/o cronograma de la Secretaría de la Mujer y Equidad de Género, en los espacios que indique la supervisión del contrato. Adicionalmente, deberá capacitar al personal indicado en cada municipio, para su operación. ademas las recomendaciones básicas para su manejo y cuidado, con el fin de verificar su funcionamiento y garantizar el uso adecuado, seguro y eficiente de los equipos y elementos instalados. 
De igual manera el contratista debe entregar los elementos marcados con el sticker corporativo- Dimensiones de 6 cm x 6 cm, en papel adesivo de alta durabilidad, full color según diseño brindado por la Secretaría de la Mujer y Equidad de Género. </t>
  </si>
  <si>
    <t>Orden de compra 169045</t>
  </si>
  <si>
    <t>https://operaciones.colombiacompra.gov.co/tienda-virtual-del-estado-colombiano/ordenes-compra/169045</t>
  </si>
  <si>
    <t>Orden de compra 168646</t>
  </si>
  <si>
    <t>https://operaciones.colombiacompra.gov.co/tienda-virtual-del-estado-colombiano/ordenes-compra/168646/1</t>
  </si>
  <si>
    <t>Orden de compra163931</t>
  </si>
  <si>
    <t>https://operaciones.colombiacompra.gov.co/tienda-virtual-del-estado-colombiano/ordenes-compra/163931</t>
  </si>
  <si>
    <t xml:space="preserve">	MC-MTA-021-2025</t>
  </si>
  <si>
    <t>Orden de compra 165607</t>
  </si>
  <si>
    <t>https://operaciones.colombiacompra.gov.co/tienda-virtual-del-estado-colombiano/ordenes-compra/165607/5</t>
  </si>
  <si>
    <t>Orden de compra 168817</t>
  </si>
  <si>
    <t>https://operaciones.colombiacompra.gov.co/tienda-virtual-del-estado-colombiano/ordenes-compra/168817</t>
  </si>
  <si>
    <t>Orden de compra 160722</t>
  </si>
  <si>
    <t>https://operaciones.colombiacompra.gov.co/tienda-virtual-del-estado-colombiano/ordenes-compra/160722/1</t>
  </si>
  <si>
    <t>SASI-CMC-CAE-0204-2020</t>
  </si>
  <si>
    <t>Orden de compra 162208</t>
  </si>
  <si>
    <t>https://operaciones.colombiacompra.gov.co/tienda-virtual-del-estado-colombiano/ordenes-compra/162208</t>
  </si>
  <si>
    <t>Orden de compra 166923</t>
  </si>
  <si>
    <t>https://operaciones.colombiacompra.gov.co/tienda-virtual-del-estado-colombiano/ordenes-compra/166923</t>
  </si>
  <si>
    <t>Orden de compra 159693</t>
  </si>
  <si>
    <t>https://operaciones.colombiacompra.gov.co/tienda-virtual-del-estado-colombiano/ordenes-compra/159693</t>
  </si>
  <si>
    <t>IDEFLO-SASI-001-2021</t>
  </si>
  <si>
    <t>12 de 2026</t>
  </si>
  <si>
    <t>https://www.mercadolibre.com.co/otoscopio-fibra-optica-luz-led-gmd--invima--envio-gratis/up/MCOU2432291030</t>
  </si>
  <si>
    <t>https://sendaigroup.com.co/products/otoscopio-gmd-equipo-diagnostico</t>
  </si>
  <si>
    <t>Opción 1</t>
  </si>
  <si>
    <t>Opción 2</t>
  </si>
  <si>
    <t>Opción 3</t>
  </si>
  <si>
    <t>Cartulinas pliego colores surtidos (20 und.)</t>
  </si>
  <si>
    <t>Pintura vinílica 1000 ml (10 frascos)</t>
  </si>
  <si>
    <t>Pinceles escolares (20 und.)</t>
  </si>
  <si>
    <t>Papel Kraft rollo 10 m (5 und.)</t>
  </si>
  <si>
    <t>Pegante escolar 480 g (10 und.)</t>
  </si>
  <si>
    <t>Crayones Crayola 48 piezas (20 cajas)</t>
  </si>
  <si>
    <t>Lápices Mirado #2 caja x12 (20 cajas)</t>
  </si>
  <si>
    <t>Esferos caja x12 (20 cajas)</t>
  </si>
  <si>
    <t>Colores caja x12 (20 cajas)</t>
  </si>
  <si>
    <t>Plastilina no tóxica colores surtidos (20 cajas)</t>
  </si>
  <si>
    <t>NOTA: Los valores son actuales y provienen de tiendas como MercadoLibre, Éxito, Falabella y Homecenter.</t>
  </si>
  <si>
    <t>Valor según requerimiento</t>
  </si>
  <si>
    <t>Paquete x10 pliegos surtidos (Mercado libre)</t>
  </si>
  <si>
    <t>Vinilo Payasito 1000 ml (Mercado libre)</t>
  </si>
  <si>
    <t xml:space="preserve"> pinceles (Mercado libre)</t>
  </si>
  <si>
    <t>Kraft corrugado 55 cm x10 m Homecenter</t>
  </si>
  <si>
    <t>Colbón 480 g con aplicador (Mercado libre)</t>
  </si>
  <si>
    <t>Crayones Crayola x48 (Mercado libre)</t>
  </si>
  <si>
    <t>Caja Mirado x12 (Mercado libre)</t>
  </si>
  <si>
    <t>Esferos semigel (Mercado libre)</t>
  </si>
  <si>
    <t>Colores Scribe Jumbo x12 (Mercado libre)</t>
  </si>
  <si>
    <t>Plastilina Jumbo Kores x12 (Mercado libre)</t>
  </si>
  <si>
    <t>Vinilo Power Color 1000 ml (Mercado libre)</t>
  </si>
  <si>
    <t>Kraft corrugado Yumbolon 10 m (Falabella)</t>
  </si>
  <si>
    <t>Colbón 480 g estándar (Éxito)</t>
  </si>
  <si>
    <t>Crayones Crayola x48 (Éxito)</t>
  </si>
  <si>
    <t>Esferos Bic Cristal x12 (Mercado libre)</t>
  </si>
  <si>
    <t>Colores Norma x12 (Mercado libre)</t>
  </si>
  <si>
    <t>Plastilina Mi Trensito x12 barras (Mercado libre)</t>
  </si>
  <si>
    <t>Pinceles Rainbow Brush  (Mercado libre)</t>
  </si>
  <si>
    <t>Paquete x25 medio pliego surtidos (Mercado libre)</t>
  </si>
  <si>
    <t>vinilo x1000 ml  (Mercado libre)</t>
  </si>
  <si>
    <t>Pinceles Eterna unidad (Homecenter)</t>
  </si>
  <si>
    <t>Cartón corrugado Fixser 1.2 m x10 m (Homecenter)</t>
  </si>
  <si>
    <t>Colbón 480 g rápido secado (Mercado libre)</t>
  </si>
  <si>
    <t>Crayones redondos x48 (Mercado libre)</t>
  </si>
  <si>
    <t>Mini set corporativo x12 (Mercado libre)</t>
  </si>
  <si>
    <t>Plastilina Jumbo 235 g x12 barras (Mercado libre)</t>
  </si>
  <si>
    <t>TOTAL KIT</t>
  </si>
  <si>
    <t>Modelo / Tienda</t>
  </si>
  <si>
    <t>Motor</t>
  </si>
  <si>
    <t>Velocidad</t>
  </si>
  <si>
    <t>Superficie de trote</t>
  </si>
  <si>
    <t>Capacidad de carga</t>
  </si>
  <si>
    <t>Precio</t>
  </si>
  <si>
    <t>Centurfit Profesional 2 HP – Homecenter</t>
  </si>
  <si>
    <t>2.0 HP</t>
  </si>
  <si>
    <t>Hasta 14.8 km/h</t>
  </si>
  <si>
    <t>145 × 66 cm</t>
  </si>
  <si>
    <t>120 kg</t>
  </si>
  <si>
    <t>OMA 3304EA 2.0 HP – Falabella</t>
  </si>
  <si>
    <t>2.0 HP DC</t>
  </si>
  <si>
    <t>1–16 km/h</t>
  </si>
  <si>
    <t>125 × 42 cm</t>
  </si>
  <si>
    <t>100 kg</t>
  </si>
  <si>
    <t>Athletic 610T+ Plus 2 HP – MercadoLibre</t>
  </si>
  <si>
    <t>Hasta 18 km/h</t>
  </si>
  <si>
    <t>120 × 40 cm</t>
  </si>
  <si>
    <t>Pantalla digital LCD/LED: Todas incluyen indicadores de velocidad, tiempo, distancia, calorías y pulso.
Programas automáticos: Los tres modelos ofrecen rutinas preinstaladas para entrenamiento variado.
Amortiguación antimpacto y banda antideslizante: Garantizan seguridad y comodidad al correr.
Sistema plegable y ruedas de transporte: Facilitan el almacenamiento en espacios reducidos.</t>
  </si>
  <si>
    <t>Contenido</t>
  </si>
  <si>
    <t>Material</t>
  </si>
  <si>
    <t>Extras</t>
  </si>
  <si>
    <t>Home Sale Set 1–3 kg con Rack – MercadoLibre</t>
  </si>
  <si>
    <t>2 pares de 1 kg, 2 pares de 2 kg, 2 pares de 3 kg</t>
  </si>
  <si>
    <t>Hierro recubierto en neopreno</t>
  </si>
  <si>
    <t>Rack de almacenamiento, colores diferenciados</t>
  </si>
  <si>
    <t>Amazon Basics Hexagonales – MercadoLibre</t>
  </si>
  <si>
    <t>Set de mancuernas recubiertas (incluye pares de 1–3 kg)</t>
  </si>
  <si>
    <t>Hierro recubierto en goma</t>
  </si>
  <si>
    <t>Diseño hexagonal, colores diferenciados</t>
  </si>
  <si>
    <t>Sportfitness 6 kg Set 3 pares – MercadoLibre</t>
  </si>
  <si>
    <t>3 pares de mancuernas (1 kg, 2 kg, 3 kg)</t>
  </si>
  <si>
    <t>Vinilo resistente</t>
  </si>
  <si>
    <t>Colores azul y rojo, superficie antideslizante</t>
  </si>
  <si>
    <t>Recubrimiento antideslizante: Todos los modelos están cubiertos en vinilo o neopreno, lo que facilita el agarre y limpieza.
Colores diferenciados por peso: Permite identificar rápidamente cada mancuerna.
Diseño ergonómico: Mangos cómodos y seguros para uso prolongado.
Durabilidad: Núcleo de hierro fundido que soporta uso continuo sin deformarse.</t>
  </si>
  <si>
    <t>INDEXADO 2026 IPC 5,10%</t>
  </si>
  <si>
    <t>INDEXADO 2025 IPC 5,10%</t>
  </si>
  <si>
    <t>INDEXADO 2021 IPC 5,62%</t>
  </si>
  <si>
    <t>INDEXADO 2022 IPC13,12%</t>
  </si>
  <si>
    <t>INDEXADO 2023 IPC 9,28%</t>
  </si>
  <si>
    <t>INDEXADO 2024 IPC 5,20%</t>
  </si>
  <si>
    <t>https://www.homecenter.com.co/homecenter-co/product/910929/trampolin-cama-elastica-infantil-137cm-azul/910929/</t>
  </si>
  <si>
    <t>Homecenter</t>
  </si>
  <si>
    <t>https://www.samsung.com/co/refrigerators/top-mount-freezer/rt6300d-top-mount-freezer-ai-energy-mode-412l-silver-rt42dg6220s9co/</t>
  </si>
  <si>
    <t>Samsug</t>
  </si>
  <si>
    <t>https://www.homecenter.com.co/homecenter-co/product/494273/lavadora-samsung-carga-frontal-automatica-22-kg-blanco/494273/</t>
  </si>
  <si>
    <t>Lavadora eléctrica de carga frontal o superior; capacidad mínima 22 kg; múltiples programas de lavado; eficiencia energética certificada; alimentación 110 V.</t>
  </si>
  <si>
    <t>https://santeyconfort.com/modulos-y-gimnasios-infantiles/2093-gimnasio-infantil-12-piezas-.html</t>
  </si>
  <si>
    <t xml:space="preserve">Sante y Confort </t>
  </si>
  <si>
    <t>https://www.homecenter.com.co/homecenter-co/search?Ntt=Bal%C3%B3n%20de%20Pilates%20Evo%2065</t>
  </si>
  <si>
    <t>Homecenter (por unidad)</t>
  </si>
  <si>
    <t>https://www.falabella.com.co/falabella-co/product/144575787/Mancuernas-Athletic-6-kilos-Set-3-Pares-Cubierta-Neopreno/144575788</t>
  </si>
  <si>
    <t>Falabella</t>
  </si>
  <si>
    <t>https://www.homecenter.com.co/homecenter-co/product/467296/bicicleta-spinning-r-go-silencionsa-con-monitor-capacidad-125-kg-colo-rojo/467296/</t>
  </si>
  <si>
    <t>https://www.homecenter.com.co/homecenter-co/product/3046771/caminadora-trotadora-electrica-plegable-gymax-20hp-es-4005/3046771/</t>
  </si>
  <si>
    <t>https://www.homecenter.com.co/homecenter-co/product/3040411/pantalla-para-proyector-automatica-de-100-pulgadas-pro-020/3040411/</t>
  </si>
  <si>
    <t>Pantalla de proyección manual o eléctrica con área útil 2,65×1,50 m; formato 16:9; diagonal 120"; superficie blanca mate con ganancia estándar; estructura metálica para fijación a pared o techo.</t>
  </si>
  <si>
    <t>https://audiovisualesdecolombia.com/producto/proyector-epson-powerlite-l260f-lcd-4600-lumens-full-hd-1080p-laser-inalambrico/?srsltid=AU7gw4XjHe37c7ihPiDTyzMNih3hTd_6TDJK8rwGeYAc0Gt_np-BT3q6</t>
  </si>
  <si>
    <t>Audivisuales de Colombia</t>
  </si>
  <si>
    <t>Videoproyector láser con resolución mínima Full HD 1080p; brillo ≥4600 lúmenes ANSI; vida útil de fuente de luz ≥20.000 horas; tamaño de imagen hasta 310"; entradas HDMI, USB, LAN y RJ‑45; capacidad de conexión inalámbrica; apto para aula y sala de conferencias.</t>
  </si>
  <si>
    <t>https://www.mercadolibre.com.co/bloques-madera-100-piezas-macrooutlet-rompecabezas-didactico-construccion-ninos/p/MCO51101681#polycard_client=search-desktop&amp;be_origin=backend&amp;overlay_label=not_apply&amp;search_layout=grid&amp;position=10&amp;type=product&amp;tracking_id=b7d5ff9b-341f-4dc3-8f4a-556e63a1ec53&amp;wid=MCO2890372546&amp;sid=search</t>
  </si>
  <si>
    <t>Mercado Libre</t>
  </si>
  <si>
    <t>https://www.homecenter.com.co/homecenter-co/product/908944/tapete-60-cm-x-60-cm-4pcs-puzzle-pista/908941/</t>
  </si>
  <si>
    <t>Homecenter x 4 piezas (x5 paquetes)</t>
  </si>
  <si>
    <t>https://www.homecenter.com.co/homecenter-co/search?Ntt=%20Colchonetas%20de%20espuma</t>
  </si>
  <si>
    <t>https://www.homecenter.com.co/homecenter-co/product/774760/set-x10-bandas-elasticas-resistencia-ejercicio-fisioterapia/774760/?kid=shopp_goosho_1430587&amp;shop=1&amp;gad_source=1&amp;gad_campaignid=17622046203&amp;gbraid=0AAAAADt6wnqrUD0c53AsJa_QVH5uom-pn&amp;gclid=CjwKCAjww-3VBhAcEiwAwUUIu2cbOakhp2arKqzt5ij95h3Qwi_SDaIVTgprmE2sZtzbODP6RGQaSBoC73sQAvD_BwE</t>
  </si>
  <si>
    <t>Homecenter x 10 unds</t>
  </si>
  <si>
    <t>https://www.decathlon.com.co/search/?query=balones</t>
  </si>
  <si>
    <t>Decathlon</t>
  </si>
  <si>
    <t>https://www.decathlon.com.co/search/?query=Lazo+para+Saltar+</t>
  </si>
  <si>
    <t>Lazos de saltar elaborados en cuerda resistente con mangos plásticos</t>
  </si>
  <si>
    <t>https://listado.mercadolibre.com.co/aros-planos</t>
  </si>
  <si>
    <t>Panamericana, Mercado libre, Faber Castell</t>
  </si>
  <si>
    <t xml:space="preserve">No se encuentra Kit con la totalidad de lo solicitado, solamente valores por unidades de insumos, en diferentes plataformas  </t>
  </si>
  <si>
    <t>https://www.camillasindumasas.com/search?q=Botiquin+tipo+b&amp;srsltid=AU7gw4WnnGDQH1A6bJ_fwwaUILC_chyRbRAoBs8G--Eu-5SIDwlPgNyg</t>
  </si>
  <si>
    <t>INDUMASAS</t>
  </si>
  <si>
    <t>https://medicolsa.com.co/inicio/893-tallimetro-con-base-de-piso-adulto-pediatrico-hm200p-charder-medical.html?utm_source=chatgpt.com</t>
  </si>
  <si>
    <t>Medicolsa</t>
  </si>
  <si>
    <t>Tallímetro mecánico o digital con rango 80–210 cm; graduación en centímetros; estructura estable para fijación a pared o base; material plástico/metal resistente.</t>
  </si>
  <si>
    <t>https://www.mercadolibre.com.co/tensiometro-digital-kardyo500-gmd/up/MCOU4017037557</t>
  </si>
  <si>
    <t>CVBiomedica</t>
  </si>
  <si>
    <t>Tensiómetro digital automático de brazo; rango de presión 0–300 mmHg; brazalete estándar adulto; memoria de lecturas; alimentación por baterías o adaptador; registro sanitario.</t>
  </si>
  <si>
    <t>https://www.fisiostoreonline.com.co/product/oximetro-adulto-marca-gmd-500e</t>
  </si>
  <si>
    <t>Fisiostore online</t>
  </si>
  <si>
    <t>Oxímetro de pulso portátil; medición de SpO2 y frecuencia cardiaca; pantalla OLED/LCD; rango SpO2 70–100 %; registro sanitario.</t>
  </si>
  <si>
    <t>https://jelt.com.co/products/termometro-digital-infrarrojo</t>
  </si>
  <si>
    <t>Jelt</t>
  </si>
  <si>
    <t>Termómetro digital infrarrojo o de contacto; rango de medición 32–42 °C; precisión ±0.2 °C; pantalla LCD; memoria de lecturas; registro sanitario.</t>
  </si>
  <si>
    <t>https://coimpormedica.com/producto/estetoscopio-duplex-2-0-aluminio/</t>
  </si>
  <si>
    <t>coimpormedica</t>
  </si>
  <si>
    <t>https://medicolsa.com.co/inicio/495-camilla-divan-fijo-para-examen.html?utm_source=chatgpt.com</t>
  </si>
  <si>
    <t>https://superaudio.com.co/producto/uhf-35m/</t>
  </si>
  <si>
    <t>Super Audio</t>
  </si>
  <si>
    <t>https://www.mercadolibre.com.co/microfono-sennheiser-e825s-dinamico-cardioide-con-switch/p/MCO19911457
https://musicbox.com.co/tienda/cable-on-stage-mc12-10lc-bulk-microfono-3-metros/</t>
  </si>
  <si>
    <t>Multiaudiopro, micrófono
Cable XLR, Music Box</t>
  </si>
  <si>
    <t>$ 535.000 Micrófono
$22.000 Cable XLR</t>
  </si>
  <si>
    <t>https://superaudio.com.co/producto/psa-15a-sys-pro-dj/</t>
  </si>
  <si>
    <t>https://compumuebles.com/products/silla-novell-interlocutora</t>
  </si>
  <si>
    <t xml:space="preserve">Compumuebles </t>
  </si>
  <si>
    <t>https://www.mepal.com.co/producto/silla-ejecutiva-axis-b3d/</t>
  </si>
  <si>
    <t>Mepal/ carvajal espacios</t>
  </si>
  <si>
    <t>https://www.mepal.com.co/producto/escritorio-de-trabajo-tipo-bench-koncisa-plus-1-persona-120x60/</t>
  </si>
  <si>
    <t>El escritorio debe ser de diseño institucional, con dimensiones mínimas de 120 cm de ancho × 60 cm de fondo × 74 cm de altura, fabricado en MDF o aglomerado de alta densidad con recubrimiento en melamina de mínimo 18 mm, canto rígido en PVC, superficie resistente a limpieza frecuente y a derrames, estructura metálica o en MDF reforzado, y niveladores en las patas. Debe incluir pasacables y garantizar estabilidad estructural.</t>
  </si>
  <si>
    <t>https://www.homecenter.com.co/homecenter-co/product/796045/silla-plastica-ergonomus-varillada-de-polipropileno-beige/796045/</t>
  </si>
  <si>
    <t>Home Center</t>
  </si>
  <si>
    <t>https://www.homecenter.com.co/homecenter-co/product/317175/mesa-plegable-tipo-portafolio-plastica-180x75cm-blanca/317175/</t>
  </si>
  <si>
    <t>ALKOSTO</t>
  </si>
  <si>
    <t>https://indupro.com.co/productos/tablero-acrilico-borrable-fondo-diseno/?utm
https://www.panamericana.com.co/marcador-seco-borrable-azor-magistral-x-4-uds-mas-1-gratis-581908/p</t>
  </si>
  <si>
    <t>Indupro,Tablero 
Panamericana, Marcadores</t>
  </si>
  <si>
    <t>$595.000, Tablero
 $12.500, Marcadores</t>
  </si>
  <si>
    <r>
      <t xml:space="preserve">Tablero acrílico blanco de mínimo 120×90 cm; superficie anti‑rayones y apta para marcadores borrables; marco en aluminio; sistema de fijación a pared; bandeja porta‑marcadores, incluye </t>
    </r>
    <r>
      <rPr>
        <b/>
        <sz val="10"/>
        <rFont val="Arial"/>
        <family val="2"/>
      </rPr>
      <t>cinco (5) cajas de marcadores borrables (colores surtidos rojo, negro y azul).</t>
    </r>
  </si>
  <si>
    <t xml:space="preserve">https://www.alkosto.com/tv-tcl-55-pulgadas-139-cm-55p7l-4k-uhd-qled-tv-smart-tv/p/6937574837531?utm_ </t>
  </si>
  <si>
    <t>Pantalla LED/LCD de mínimo 55" o superior, resolución mínima Full HD 1920×1080 o 4K UHD 3840×2160; relación de aspecto 16:9; brillo adecuado para interiores; sistema Smart TV con conectividad Wi‑Fi y puerto Ethernet; mínimo 2 puertos HDMI y 1 puerto USB; compatibilidad con estándar DVB‑T2; control remoto, soporte de pared tipo VESA y manual de usuario.</t>
  </si>
  <si>
    <t>LINK DEL PROCESO</t>
  </si>
  <si>
    <t>ALMACÉN</t>
  </si>
  <si>
    <t xml:space="preserve">VALOR </t>
  </si>
  <si>
    <t>VALOR UNITARIO ANTES DE IVA Y DEMÁS IMPUESTOS A LOS QUE HAYAN LUGAR - PRECIOS GRANDES SUPERFICIES</t>
  </si>
  <si>
    <t>PROMEDIO</t>
  </si>
  <si>
    <t>VALOR UNITARIO SIN IVA</t>
  </si>
  <si>
    <t>DESVIACIÓN ESTANDAR</t>
  </si>
  <si>
    <t>VALOR MÍNIMO</t>
  </si>
  <si>
    <t>VALOR MÁXIMO</t>
  </si>
  <si>
    <t>PRECIOS PROCESOS</t>
  </si>
  <si>
    <t>PRECIOS GRANDES SUPERFICIES</t>
  </si>
  <si>
    <t>%</t>
  </si>
  <si>
    <t>MEDIA ARMONICA (APLICABLE A VARIACIONES PROMEDIO DE DATOS SUPERIORES AL 40%)</t>
  </si>
  <si>
    <t>VALOR UNITARIO SIN  IVA</t>
  </si>
  <si>
    <t>VALOR CON ADHESIVO</t>
  </si>
  <si>
    <t>VALOR CON PORCENTAJE 10% INSTALACION</t>
  </si>
  <si>
    <t>VALOR CON PORCENTAJE 15% CAPACITACIÓN</t>
  </si>
  <si>
    <t>VALOR TOTAL REFERENCIA</t>
  </si>
  <si>
    <t>IVA</t>
  </si>
  <si>
    <t>VALOR UNITARIO CON IVA</t>
  </si>
  <si>
    <t>PORCENTAJE VARIACIÓN</t>
  </si>
  <si>
    <t>Entidad</t>
  </si>
  <si>
    <t>Nit Entidad</t>
  </si>
  <si>
    <t>Departamento Entidad</t>
  </si>
  <si>
    <t>Ciudad Entidad</t>
  </si>
  <si>
    <t>OrdenEntidad</t>
  </si>
  <si>
    <t>Entidad Centralizada</t>
  </si>
  <si>
    <t>ID del Proceso</t>
  </si>
  <si>
    <t>Referencia del Proceso</t>
  </si>
  <si>
    <t>PCI</t>
  </si>
  <si>
    <t>ID del Portafolio</t>
  </si>
  <si>
    <t>Nombre del Procedimiento</t>
  </si>
  <si>
    <t>Descripción del Procedimiento</t>
  </si>
  <si>
    <t>Fase</t>
  </si>
  <si>
    <t>Presupuesto</t>
  </si>
  <si>
    <t>Modalidad de Contratacion</t>
  </si>
  <si>
    <t>Justificación Modalidad de Contratación</t>
  </si>
  <si>
    <t>Duracion</t>
  </si>
  <si>
    <t>Unidad de Duracion</t>
  </si>
  <si>
    <t>Fecha Adjudicacion</t>
  </si>
  <si>
    <t>URLProceso</t>
  </si>
  <si>
    <t>Lance: Margen mínimo de mejora de oferta</t>
  </si>
  <si>
    <t>ALCALDIA LOCAL DE FONTIBON</t>
  </si>
  <si>
    <t>899999061</t>
  </si>
  <si>
    <t>Distrito Capital de Bogotá</t>
  </si>
  <si>
    <t>Bogotá</t>
  </si>
  <si>
    <t>Territorial</t>
  </si>
  <si>
    <t>Centralizada</t>
  </si>
  <si>
    <t>CO1.REQ.9172253</t>
  </si>
  <si>
    <t>FDLF-SASI-004-2025 (Presentación de oferta)</t>
  </si>
  <si>
    <t>702292145</t>
  </si>
  <si>
    <t>CO1.BDOS.8941880</t>
  </si>
  <si>
    <t>ADQUISICIÓN DE BIENES Y SERVICIOS OPERATIVOS Y TÉCNICOS PARA LA REALIZACIÓN DE LOS DIFERENTES PROGRAMAS ACTIVIDADES Y EVENTOS DE LOS ESPACIOS E INSTANCIAS DE PARTICIPACIÓN DE LA POBLACIÓN DE FONTIBON</t>
  </si>
  <si>
    <t>ADQUISICIÓN DE BIENES Y SERVICIOS, OPERATIVOS Y TÉCNICOS PARA LA REALIZACIÓN DE LOS DIFERENTES PROGRAMAS, ACTIVIDADES Y EVENTOS DE LOS ESPACIOS E INSTANCIAS DE PARTICIPACIÓN QUE VINCULEN POBLACIÓN DE LA LOCALIDAD DE FONTIBÓN</t>
  </si>
  <si>
    <t>Presentación de oferta</t>
  </si>
  <si>
    <t>Selección abreviada subasta inversa</t>
  </si>
  <si>
    <t>Suministro de bienes y servicios de características técnicas uniformes y común utilización</t>
  </si>
  <si>
    <t>Mes(es)</t>
  </si>
  <si>
    <t>https://community.secop.gov.co/Public/Tendering/OpportunityDetail/Index?noticeUID=CO1.NTC.9033213</t>
  </si>
  <si>
    <t>SENA REGIONAL CUNDINAMARCA Grupo Administrativo CAE</t>
  </si>
  <si>
    <t>8999990341</t>
  </si>
  <si>
    <t>Cundinamarca</t>
  </si>
  <si>
    <t>Fusagasugá</t>
  </si>
  <si>
    <t>Nacional</t>
  </si>
  <si>
    <t>CO1.REQ.10266353</t>
  </si>
  <si>
    <t>SASI-CMC-CAE-0246-2026 (Presentación de oferta)</t>
  </si>
  <si>
    <t>704163047</t>
  </si>
  <si>
    <t>CO1.BDOS.10058633</t>
  </si>
  <si>
    <t>MATERIALES DE FORMACION 2026 (Presentación de oferta)</t>
  </si>
  <si>
    <t>CONTRATAR EL SUMINISTRO A MONTO AGOTABLE DE MATERIALES DE FORMACION DE LOS PROGRAMAS DEL FONDO DE LA INDUSTRIA Y LA CONSTRUCCION, CAMPESENA, ECONOMIA POPULAR, REGULAR, ARTICULACION CON LA MEDIA, FORMACION CONTINUA ESPECIAL CAMPESINA F.C.E.C Y ATENCION A POBLACION VICTIMA PARA EL DESARROLLO DE LOS PROGRAMAS DE FORMACIÓN DEL CENTRO AGROECOLÓGICO Y EMPRESARIAL DE FUSAGASUGÁ DE LA REGIONAL CUNDINAMARCA.</t>
  </si>
  <si>
    <t>https://community.secop.gov.co/Public/Tendering/OpportunityDetail/Index?noticeUID=CO1.NTC.10123632</t>
  </si>
  <si>
    <t>AGENCIA LOGISTICA DE LAS FUERZAS MILITARES</t>
  </si>
  <si>
    <t>899999162</t>
  </si>
  <si>
    <t>CO1.REQ.10162584</t>
  </si>
  <si>
    <t>SASI NO. 002-030-2026 (Presentación de oferta)</t>
  </si>
  <si>
    <t>700985252</t>
  </si>
  <si>
    <t>CO1.BDOS.9856901</t>
  </si>
  <si>
    <t>ADQUIRIR COMIDAS LISTAS; PANADERIA LARGA VIDA; ENERGETICOS; EMPAQUES Y OTROS PRODUCTOS O MATERIAS PRIMAS DESTINADAS AL ENSAMBLE DE RACIONES DE CAMPAÑA EN LA AGENCIA LOGISTICA DE LAS FUERZAS MILITARES</t>
  </si>
  <si>
    <t>ADQUIRIR COMIDAS LISTAS, PANADERIA LARGA VIDA, ENERGETICOS, EMPAQUES Y OTROS PRODUCTOS O MATERIAS PRIMAS DESTINADAS AL ENSAMBLE DE RACIONES DE CAMPAÑA EN LA AGENCIA LOGISTICA DE LAS FUERZAS MILITARES</t>
  </si>
  <si>
    <t>DÍA(S)</t>
  </si>
  <si>
    <t>https://community.secop.gov.co/Public/Tendering/OpportunityDetail/Index?noticeUID=CO1.NTC.10024212</t>
  </si>
  <si>
    <t>FONDO DE DESARROLLO LOCAL DE SANTA FE</t>
  </si>
  <si>
    <t>CO1.REQ.9428032</t>
  </si>
  <si>
    <t>FDLSF-SASI-007-2025 (Presentación de oferta)</t>
  </si>
  <si>
    <t>701679615</t>
  </si>
  <si>
    <t>CO1.BDOS.9216655</t>
  </si>
  <si>
    <t>DOTACION SDIS Y DILE (Presentación de oferta)</t>
  </si>
  <si>
    <t>ADQUISICIÓN DE ELEMENTOS DE DOTACIÓN PARA EL FORTALECIMIENTO DE LAS UNIDADES OPERATIVAS DE LA SECRETARÍA DISTRITAL DE INTEGRACIÓN SOCIAL Y COLEGIOS DE LA SECRETARIA DISTRITAL DE EDUCACIÓN PARA LA LOCALIDAD DE SANTA FE EN EL MARCO DE LOS PROYECTOS CON VIGENCIA 2025.</t>
  </si>
  <si>
    <t>https://community.secop.gov.co/Public/Tendering/OpportunityDetail/Index?noticeUID=CO1.NTC.9288934</t>
  </si>
  <si>
    <t>Promedio</t>
  </si>
  <si>
    <t>Desviación Estándar</t>
  </si>
  <si>
    <t>Mediana</t>
  </si>
  <si>
    <t>Mínimo</t>
  </si>
  <si>
    <t>Máximo</t>
  </si>
  <si>
    <t>}</t>
  </si>
  <si>
    <t>Equipo tipo All‑in‑One con pantalla de 24"; procesador Intel Core i7 de última generación o equivalente con rendimiento ≥6000 puntos en PCMark10; memoria RAM 16 GB DDR4; disco SSD mínimo 512 GB NVMe; sistema operativo Windows 11 Pro con licencia; conectividad Wi‑Fi 802.11ac, Bluetooth, mínimo 3 puertos USB y 1 HDMI; cámara integrada HD, micrófono y altavoces; garantía mínima 1 año on‑site.</t>
  </si>
  <si>
    <t>https://www.alkosto.com/computador-all-in-one-lenovo-ideacentre-aio-27-pulgadas/p/198155653490?fuente=google&amp;medio=cpc&amp;campaign=AK_COL_MAX_PEF_CPC_AON_COMP_TLP_Computadores-Brand-AON_PAC&amp;keyword=&amp;gad_source=1&amp;gad_campaignid=17335909635&amp;gbraid=0AAAAADlnVbi8Uf3TbuWPT6J-EBFX2QKTw&amp;gclid=CjwKCAjwotzWBhBFEiwA1JhPoDAPYLLPh4cks_eZgKFo2opHf6Bt_LxB-jwIWddw_ETM6h96UUHl2hoCrEgQAvD_Bw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</si>
</sst>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quot;$&quot;* #,##0.00_-;\-&quot;$&quot;* #,##0.00_-;_-&quot;$&quot;* &quot;-&quot;??_-;_-@"/>
    <numFmt numFmtId="166" formatCode="_-&quot;$&quot;* #,##0_-;\-&quot;$&quot;* #,##0_-;_-&quot;$&quot;* &quot;-&quot;??_-;_-@"/>
    <numFmt numFmtId="167" formatCode="_-&quot;$&quot;\ * #,##0_-;\-&quot;$&quot;\ * #,##0_-;_-&quot;$&quot;\ * &quot;-&quot;_-;_-@"/>
    <numFmt numFmtId="168" formatCode="_-&quot;$&quot;* #,##0.00_-;\-&quot;$&quot;* #,##0.00_-;_-&quot;$&quot;* &quot;-&quot;??_-;_-@_-"/>
    <numFmt numFmtId="169" formatCode="&quot;$&quot;\ #,##0.00"/>
    <numFmt numFmtId="170" formatCode="&quot;$&quot;#,##0.###########"/>
    <numFmt numFmtId="171" formatCode="#,##0.###########"/>
    <numFmt numFmtId="172" formatCode="mm/dd/yyyy"/>
  </numFmts>
  <fonts count="27" x14ac:knownFonts="1">
    <font>
      <sz val="11"/>
      <color theme="1"/>
      <name val="Aptos Narrow"/>
      <family val="2"/>
      <scheme val="minor"/>
    </font>
    <font>
      <b/>
      <sz val="10"/>
      <color theme="1"/>
      <name val="Arial"/>
      <family val="2"/>
    </font>
    <font>
      <b/>
      <sz val="14"/>
      <color theme="1"/>
      <name val="Aptos Narrow"/>
      <family val="2"/>
      <scheme val="minor"/>
    </font>
    <font>
      <b/>
      <sz val="12"/>
      <color theme="1"/>
      <name val="Arial"/>
      <family val="2"/>
    </font>
    <font>
      <sz val="10"/>
      <color theme="1"/>
      <name val="Arial"/>
      <family val="2"/>
    </font>
    <font>
      <sz val="10"/>
      <name val="Arial"/>
      <family val="2"/>
    </font>
    <font>
      <b/>
      <sz val="10"/>
      <name val="Arial"/>
      <family val="2"/>
    </font>
    <font>
      <sz val="8"/>
      <name val="Aptos Narrow"/>
      <family val="2"/>
      <scheme val="minor"/>
    </font>
    <font>
      <sz val="11"/>
      <color theme="1"/>
      <name val="Aptos Narrow"/>
      <family val="2"/>
      <scheme val="minor"/>
    </font>
    <font>
      <u/>
      <sz val="11"/>
      <color theme="10"/>
      <name val="Aptos Narrow"/>
      <family val="2"/>
      <scheme val="minor"/>
    </font>
    <font>
      <sz val="10"/>
      <color rgb="FF000000"/>
      <name val="Arial"/>
      <family val="2"/>
    </font>
    <font>
      <sz val="11"/>
      <color theme="1"/>
      <name val="Arial"/>
      <family val="2"/>
    </font>
    <font>
      <sz val="11"/>
      <name val="Arial"/>
      <family val="2"/>
    </font>
    <font>
      <sz val="11"/>
      <color theme="1"/>
      <name val="Calibri"/>
      <family val="2"/>
    </font>
    <font>
      <sz val="11"/>
      <color theme="1"/>
      <name val="Aptos Narrow"/>
      <scheme val="minor"/>
    </font>
    <font>
      <sz val="10"/>
      <color rgb="FF000000"/>
      <name val="Verdana"/>
      <family val="2"/>
    </font>
    <font>
      <sz val="10"/>
      <color rgb="FF000000"/>
      <name val="Times New Roman"/>
      <family val="1"/>
    </font>
    <font>
      <b/>
      <sz val="14"/>
      <color rgb="FF000000"/>
      <name val="Verdana"/>
      <family val="2"/>
    </font>
    <font>
      <b/>
      <sz val="10"/>
      <color rgb="FF000000"/>
      <name val="Verdana"/>
      <family val="2"/>
    </font>
    <font>
      <sz val="11"/>
      <color theme="1"/>
      <name val="Calibri"/>
      <family val="2"/>
      <charset val="1"/>
    </font>
    <font>
      <b/>
      <sz val="11"/>
      <color theme="1"/>
      <name val="Aptos Narrow"/>
      <family val="2"/>
      <scheme val="minor"/>
    </font>
    <font>
      <b/>
      <sz val="11"/>
      <color theme="1"/>
      <name val="Arial"/>
      <family val="2"/>
    </font>
    <font>
      <u/>
      <sz val="11"/>
      <color theme="10"/>
      <name val="Arial"/>
      <family val="2"/>
    </font>
    <font>
      <sz val="11"/>
      <name val="Aptos Narrow"/>
      <family val="2"/>
      <scheme val="minor"/>
    </font>
    <font>
      <b/>
      <sz val="10"/>
      <color rgb="FFFF0000"/>
      <name val="Arial"/>
      <family val="2"/>
    </font>
    <font>
      <sz val="11"/>
      <color theme="10"/>
      <name val="Aptos Narrow"/>
      <family val="2"/>
      <scheme val="minor"/>
    </font>
    <font>
      <sz val="10"/>
      <color rgb="FF0070C0"/>
      <name val="Arial"/>
      <family val="2"/>
    </font>
  </fonts>
  <fills count="21">
    <fill>
      <patternFill patternType="none"/>
    </fill>
    <fill>
      <patternFill patternType="gray125"/>
    </fill>
    <fill>
      <patternFill patternType="solid">
        <fgColor theme="3" tint="0.749992370372631"/>
        <bgColor indexed="64"/>
      </patternFill>
    </fill>
    <fill>
      <patternFill patternType="solid">
        <fgColor theme="2"/>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bgColor rgb="FFFFFFFF"/>
      </patternFill>
    </fill>
    <fill>
      <patternFill patternType="solid">
        <fgColor theme="0"/>
        <bgColor rgb="FFBDD6EE"/>
      </patternFill>
    </fill>
    <fill>
      <patternFill patternType="solid">
        <fgColor rgb="FF808080"/>
        <bgColor rgb="FF808080"/>
      </patternFill>
    </fill>
    <fill>
      <patternFill patternType="solid">
        <fgColor rgb="FFDBE5F1"/>
        <bgColor rgb="FFDBE5F1"/>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FFF66"/>
        <bgColor indexed="64"/>
      </patternFill>
    </fill>
    <fill>
      <patternFill patternType="solid">
        <fgColor rgb="FFFFFF00"/>
        <bgColor rgb="FFFFFFFF"/>
      </patternFill>
    </fill>
    <fill>
      <patternFill patternType="solid">
        <fgColor theme="5"/>
        <bgColor indexed="64"/>
      </patternFill>
    </fill>
    <fill>
      <patternFill patternType="solid">
        <fgColor theme="7" tint="0.59999389629810485"/>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s>
  <cellStyleXfs count="49">
    <xf numFmtId="0" fontId="0" fillId="0" borderId="0"/>
    <xf numFmtId="44" fontId="8" fillId="0" borderId="0" applyFont="0" applyFill="0" applyBorder="0" applyAlignment="0" applyProtection="0"/>
    <xf numFmtId="0" fontId="9" fillId="0" borderId="0" applyNumberFormat="0" applyFill="0" applyBorder="0" applyAlignment="0" applyProtection="0"/>
    <xf numFmtId="0" fontId="14" fillId="0" borderId="0"/>
    <xf numFmtId="44" fontId="8" fillId="0" borderId="0" applyFont="0" applyFill="0" applyBorder="0" applyAlignment="0" applyProtection="0"/>
    <xf numFmtId="43" fontId="14" fillId="0" borderId="0" applyFont="0" applyFill="0" applyBorder="0" applyAlignment="0" applyProtection="0"/>
    <xf numFmtId="0" fontId="14" fillId="0" borderId="0"/>
    <xf numFmtId="44" fontId="14" fillId="0" borderId="0" applyFont="0" applyFill="0" applyBorder="0" applyAlignment="0" applyProtection="0"/>
    <xf numFmtId="9" fontId="14" fillId="0" borderId="0" applyFont="0" applyFill="0" applyBorder="0" applyAlignment="0" applyProtection="0"/>
    <xf numFmtId="0" fontId="14" fillId="0" borderId="0"/>
    <xf numFmtId="0" fontId="14" fillId="0" borderId="0"/>
    <xf numFmtId="0" fontId="14" fillId="0" borderId="0"/>
    <xf numFmtId="43" fontId="8" fillId="0" borderId="0" applyFont="0" applyFill="0" applyBorder="0" applyAlignment="0" applyProtection="0"/>
    <xf numFmtId="49" fontId="15" fillId="0" borderId="0" applyFill="0" applyBorder="0" applyProtection="0">
      <alignment horizontal="left" vertical="center"/>
    </xf>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0" fontId="8" fillId="0" borderId="0"/>
    <xf numFmtId="0" fontId="16" fillId="0" borderId="0"/>
    <xf numFmtId="0" fontId="10" fillId="0" borderId="0">
      <alignment vertical="center"/>
    </xf>
    <xf numFmtId="0" fontId="17" fillId="8" borderId="14" applyNumberFormat="0" applyProtection="0">
      <alignment horizontal="left" vertical="center"/>
    </xf>
    <xf numFmtId="0" fontId="18" fillId="9" borderId="0" applyNumberFormat="0" applyBorder="0" applyProtection="0">
      <alignment horizontal="center" vertical="center"/>
    </xf>
    <xf numFmtId="49" fontId="15" fillId="0" borderId="0" applyFill="0" applyBorder="0" applyProtection="0">
      <alignment horizontal="left" vertical="center"/>
    </xf>
    <xf numFmtId="42"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10" fillId="0" borderId="0">
      <alignment vertical="center"/>
    </xf>
    <xf numFmtId="0" fontId="5" fillId="0" borderId="0"/>
    <xf numFmtId="44" fontId="10" fillId="0" borderId="0" applyFont="0" applyFill="0" applyBorder="0" applyAlignment="0" applyProtection="0"/>
    <xf numFmtId="0" fontId="16" fillId="0" borderId="0"/>
    <xf numFmtId="0" fontId="19" fillId="0" borderId="0"/>
    <xf numFmtId="44"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9" fontId="15" fillId="0" borderId="0" applyFill="0" applyBorder="0" applyProtection="0">
      <alignment horizontal="left" vertical="center"/>
    </xf>
    <xf numFmtId="42"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16" fillId="0" borderId="0"/>
    <xf numFmtId="43"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cellStyleXfs>
  <cellXfs count="245">
    <xf numFmtId="0" fontId="0" fillId="0" borderId="0" xfId="0"/>
    <xf numFmtId="0" fontId="1" fillId="3" borderId="10" xfId="0" applyFont="1" applyFill="1" applyBorder="1" applyAlignment="1">
      <alignment vertical="center" wrapText="1"/>
    </xf>
    <xf numFmtId="0" fontId="0" fillId="0" borderId="0" xfId="0" applyAlignment="1">
      <alignment vertical="center"/>
    </xf>
    <xf numFmtId="0" fontId="1" fillId="4" borderId="15" xfId="0" applyFont="1" applyFill="1" applyBorder="1" applyAlignment="1">
      <alignment vertical="center" wrapText="1"/>
    </xf>
    <xf numFmtId="44" fontId="1" fillId="4" borderId="15" xfId="0" applyNumberFormat="1" applyFont="1" applyFill="1" applyBorder="1" applyAlignment="1">
      <alignment vertical="center" wrapText="1"/>
    </xf>
    <xf numFmtId="44" fontId="1" fillId="4" borderId="24" xfId="0" applyNumberFormat="1" applyFont="1" applyFill="1" applyBorder="1" applyAlignment="1">
      <alignment vertical="center" wrapText="1"/>
    </xf>
    <xf numFmtId="0" fontId="4" fillId="0" borderId="16" xfId="0" applyFont="1" applyBorder="1" applyAlignment="1">
      <alignment vertical="center"/>
    </xf>
    <xf numFmtId="0" fontId="1" fillId="0" borderId="17" xfId="0" applyFont="1" applyBorder="1" applyAlignment="1">
      <alignment vertical="center" wrapText="1"/>
    </xf>
    <xf numFmtId="0" fontId="0" fillId="0" borderId="17" xfId="0" applyBorder="1" applyAlignment="1">
      <alignment vertical="center"/>
    </xf>
    <xf numFmtId="44" fontId="4" fillId="0" borderId="25" xfId="1" applyFont="1" applyBorder="1" applyAlignment="1">
      <alignment vertical="center" wrapText="1"/>
    </xf>
    <xf numFmtId="0" fontId="9" fillId="0" borderId="18" xfId="2" applyBorder="1" applyAlignment="1">
      <alignment vertical="center" wrapText="1"/>
    </xf>
    <xf numFmtId="0" fontId="9" fillId="0" borderId="0" xfId="2" applyAlignment="1">
      <alignment vertical="center" wrapText="1"/>
    </xf>
    <xf numFmtId="0" fontId="4" fillId="0" borderId="19" xfId="0" applyFont="1" applyBorder="1" applyAlignment="1">
      <alignment vertical="center"/>
    </xf>
    <xf numFmtId="0" fontId="1" fillId="0" borderId="14" xfId="0" applyFont="1" applyBorder="1" applyAlignment="1">
      <alignment vertical="center" wrapText="1"/>
    </xf>
    <xf numFmtId="0" fontId="0" fillId="0" borderId="14" xfId="0" applyBorder="1" applyAlignment="1">
      <alignment vertical="center"/>
    </xf>
    <xf numFmtId="164" fontId="0" fillId="0" borderId="14" xfId="1" applyNumberFormat="1" applyFont="1" applyBorder="1" applyAlignment="1">
      <alignment vertical="center"/>
    </xf>
    <xf numFmtId="0" fontId="9" fillId="0" borderId="20" xfId="2" applyBorder="1" applyAlignment="1">
      <alignment vertical="center" wrapText="1"/>
    </xf>
    <xf numFmtId="0" fontId="4" fillId="0" borderId="11" xfId="0" applyFont="1" applyBorder="1" applyAlignment="1">
      <alignment vertical="center"/>
    </xf>
    <xf numFmtId="0" fontId="1" fillId="0" borderId="12" xfId="0" applyFont="1" applyBorder="1" applyAlignment="1">
      <alignment vertical="center" wrapText="1"/>
    </xf>
    <xf numFmtId="0" fontId="5" fillId="0" borderId="12" xfId="0" applyFont="1" applyBorder="1" applyAlignment="1">
      <alignment vertical="center" wrapText="1"/>
    </xf>
    <xf numFmtId="0" fontId="0" fillId="0" borderId="12" xfId="0" applyBorder="1" applyAlignment="1">
      <alignment vertical="center"/>
    </xf>
    <xf numFmtId="0" fontId="1" fillId="0" borderId="0" xfId="0" applyFont="1" applyAlignment="1">
      <alignment vertical="center" wrapText="1"/>
    </xf>
    <xf numFmtId="164" fontId="10" fillId="0" borderId="14" xfId="1" applyNumberFormat="1" applyFont="1" applyBorder="1" applyAlignment="1">
      <alignment vertical="center" wrapText="1"/>
    </xf>
    <xf numFmtId="164" fontId="10" fillId="0" borderId="14" xfId="1" applyNumberFormat="1" applyFont="1" applyBorder="1" applyAlignment="1">
      <alignment vertical="center"/>
    </xf>
    <xf numFmtId="165" fontId="11" fillId="6" borderId="14" xfId="0" applyNumberFormat="1" applyFont="1" applyFill="1" applyBorder="1" applyAlignment="1">
      <alignment horizontal="center" vertical="center" wrapText="1"/>
    </xf>
    <xf numFmtId="166" fontId="11" fillId="6" borderId="14" xfId="0" applyNumberFormat="1" applyFont="1" applyFill="1" applyBorder="1" applyAlignment="1">
      <alignment horizontal="center" vertical="center" wrapText="1"/>
    </xf>
    <xf numFmtId="164" fontId="12" fillId="0" borderId="0" xfId="1" applyNumberFormat="1" applyFont="1" applyAlignment="1">
      <alignment horizontal="center" vertical="center"/>
    </xf>
    <xf numFmtId="164" fontId="4" fillId="0" borderId="19" xfId="1" applyNumberFormat="1" applyFont="1" applyBorder="1" applyAlignment="1">
      <alignment horizontal="center" vertical="center" wrapText="1"/>
    </xf>
    <xf numFmtId="164" fontId="0" fillId="0" borderId="17" xfId="1" applyNumberFormat="1" applyFont="1" applyBorder="1" applyAlignment="1">
      <alignment vertical="center"/>
    </xf>
    <xf numFmtId="0" fontId="0" fillId="5" borderId="14" xfId="0" applyFill="1" applyBorder="1" applyAlignment="1">
      <alignment vertical="center"/>
    </xf>
    <xf numFmtId="0" fontId="9" fillId="5" borderId="20" xfId="2" applyFill="1" applyBorder="1" applyAlignment="1">
      <alignment vertical="center" wrapText="1"/>
    </xf>
    <xf numFmtId="0" fontId="0" fillId="0" borderId="14" xfId="0" applyBorder="1" applyAlignment="1">
      <alignment vertical="center" wrapText="1"/>
    </xf>
    <xf numFmtId="166" fontId="11" fillId="0" borderId="17" xfId="0" applyNumberFormat="1" applyFont="1" applyBorder="1" applyAlignment="1">
      <alignment horizontal="center" vertical="center" wrapText="1"/>
    </xf>
    <xf numFmtId="0" fontId="0" fillId="5" borderId="20" xfId="0" applyFill="1" applyBorder="1" applyAlignment="1">
      <alignment vertical="center" wrapText="1"/>
    </xf>
    <xf numFmtId="0" fontId="0" fillId="5" borderId="14" xfId="0" applyFill="1" applyBorder="1" applyAlignment="1">
      <alignment vertical="center" wrapText="1"/>
    </xf>
    <xf numFmtId="0" fontId="9" fillId="0" borderId="20" xfId="2" applyFill="1" applyBorder="1" applyAlignment="1">
      <alignment vertical="center" wrapText="1"/>
    </xf>
    <xf numFmtId="164" fontId="0" fillId="0" borderId="14" xfId="1" applyNumberFormat="1" applyFont="1" applyBorder="1" applyAlignment="1">
      <alignment vertical="center" wrapText="1"/>
    </xf>
    <xf numFmtId="0" fontId="4" fillId="5" borderId="19" xfId="0" applyFont="1" applyFill="1" applyBorder="1" applyAlignment="1">
      <alignment vertical="center"/>
    </xf>
    <xf numFmtId="0" fontId="1" fillId="5" borderId="14" xfId="0" applyFont="1" applyFill="1" applyBorder="1" applyAlignment="1">
      <alignment vertical="center" wrapText="1"/>
    </xf>
    <xf numFmtId="165" fontId="13" fillId="0" borderId="14" xfId="0" applyNumberFormat="1" applyFont="1" applyBorder="1" applyAlignment="1">
      <alignment horizontal="center" vertical="center" wrapText="1"/>
    </xf>
    <xf numFmtId="165" fontId="13" fillId="5" borderId="14" xfId="0" applyNumberFormat="1" applyFont="1" applyFill="1" applyBorder="1" applyAlignment="1">
      <alignment horizontal="center" vertical="center" wrapText="1"/>
    </xf>
    <xf numFmtId="0" fontId="9" fillId="5" borderId="14" xfId="2" applyFill="1" applyBorder="1" applyAlignment="1">
      <alignment vertical="center"/>
    </xf>
    <xf numFmtId="0" fontId="9" fillId="0" borderId="13" xfId="2" applyBorder="1" applyAlignment="1">
      <alignment vertical="center" wrapText="1"/>
    </xf>
    <xf numFmtId="0" fontId="0" fillId="5" borderId="12" xfId="0" applyFill="1" applyBorder="1" applyAlignment="1">
      <alignment vertical="center"/>
    </xf>
    <xf numFmtId="0" fontId="0" fillId="5" borderId="13" xfId="0" applyFill="1" applyBorder="1" applyAlignment="1">
      <alignment vertical="center"/>
    </xf>
    <xf numFmtId="164" fontId="0" fillId="0" borderId="14" xfId="1" applyNumberFormat="1" applyFont="1" applyFill="1" applyBorder="1" applyAlignment="1">
      <alignment vertical="center" wrapText="1"/>
    </xf>
    <xf numFmtId="167" fontId="4" fillId="7" borderId="14" xfId="3" applyNumberFormat="1" applyFont="1" applyFill="1" applyBorder="1" applyAlignment="1">
      <alignment horizontal="center" vertical="center" wrapText="1"/>
    </xf>
    <xf numFmtId="164" fontId="12" fillId="0" borderId="0" xfId="1" applyNumberFormat="1" applyFont="1" applyFill="1" applyAlignment="1">
      <alignment horizontal="center" vertical="center"/>
    </xf>
    <xf numFmtId="164" fontId="0" fillId="0" borderId="14" xfId="1" applyNumberFormat="1" applyFont="1" applyFill="1" applyBorder="1" applyAlignment="1">
      <alignment vertical="center"/>
    </xf>
    <xf numFmtId="164" fontId="10" fillId="0" borderId="14" xfId="1" applyNumberFormat="1" applyFont="1" applyFill="1" applyBorder="1" applyAlignment="1">
      <alignment vertical="center" wrapText="1"/>
    </xf>
    <xf numFmtId="6" fontId="0" fillId="0" borderId="0" xfId="0" applyNumberFormat="1" applyAlignment="1">
      <alignment vertical="center" wrapText="1"/>
    </xf>
    <xf numFmtId="0" fontId="20" fillId="0" borderId="0" xfId="0" applyFont="1"/>
    <xf numFmtId="0" fontId="11" fillId="0" borderId="0" xfId="0" applyFont="1"/>
    <xf numFmtId="0" fontId="11" fillId="0" borderId="14" xfId="0" applyFont="1" applyBorder="1" applyAlignment="1">
      <alignment vertical="center" wrapText="1"/>
    </xf>
    <xf numFmtId="6" fontId="11" fillId="0" borderId="14" xfId="0" applyNumberFormat="1" applyFont="1" applyBorder="1" applyAlignment="1">
      <alignment vertical="center" wrapText="1"/>
    </xf>
    <xf numFmtId="6" fontId="22" fillId="0" borderId="14" xfId="2" applyNumberFormat="1" applyFont="1" applyBorder="1" applyAlignment="1">
      <alignment vertical="center" wrapText="1"/>
    </xf>
    <xf numFmtId="6" fontId="21" fillId="0" borderId="14" xfId="0" applyNumberFormat="1" applyFont="1" applyBorder="1" applyAlignment="1">
      <alignment vertical="center" wrapText="1"/>
    </xf>
    <xf numFmtId="0" fontId="21" fillId="3" borderId="14" xfId="0" applyFont="1" applyFill="1" applyBorder="1" applyAlignment="1">
      <alignment horizontal="center" vertical="center" wrapText="1"/>
    </xf>
    <xf numFmtId="6" fontId="21" fillId="3" borderId="14" xfId="0" applyNumberFormat="1" applyFont="1" applyFill="1" applyBorder="1" applyAlignment="1">
      <alignment horizontal="center" vertical="center"/>
    </xf>
    <xf numFmtId="0" fontId="20" fillId="0" borderId="14" xfId="0" applyFont="1" applyBorder="1" applyAlignment="1">
      <alignment horizontal="center" vertical="center" wrapText="1"/>
    </xf>
    <xf numFmtId="6" fontId="0" fillId="0" borderId="14" xfId="0" applyNumberFormat="1" applyBorder="1" applyAlignment="1">
      <alignment vertical="center" wrapText="1"/>
    </xf>
    <xf numFmtId="0" fontId="20" fillId="4" borderId="14" xfId="0" applyFont="1" applyFill="1" applyBorder="1"/>
    <xf numFmtId="44" fontId="20" fillId="4" borderId="14" xfId="1" applyFont="1" applyFill="1" applyBorder="1"/>
    <xf numFmtId="44" fontId="21" fillId="4" borderId="14" xfId="0" applyNumberFormat="1" applyFont="1" applyFill="1" applyBorder="1"/>
    <xf numFmtId="44" fontId="21" fillId="3" borderId="14" xfId="0" applyNumberFormat="1" applyFont="1" applyFill="1" applyBorder="1" applyAlignment="1">
      <alignment horizontal="center" vertical="center"/>
    </xf>
    <xf numFmtId="44" fontId="0" fillId="0" borderId="14" xfId="0" applyNumberFormat="1" applyBorder="1" applyAlignment="1">
      <alignment vertical="center"/>
    </xf>
    <xf numFmtId="0" fontId="23" fillId="0" borderId="20" xfId="2" applyFont="1" applyFill="1" applyBorder="1" applyAlignment="1">
      <alignment vertical="center" wrapText="1"/>
    </xf>
    <xf numFmtId="44" fontId="0" fillId="0" borderId="14" xfId="0" applyNumberFormat="1" applyBorder="1" applyAlignment="1">
      <alignment vertical="center" wrapText="1"/>
    </xf>
    <xf numFmtId="0" fontId="5" fillId="0" borderId="17"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2" xfId="0" applyFont="1" applyBorder="1" applyAlignment="1">
      <alignment horizontal="justify" vertical="center" wrapText="1"/>
    </xf>
    <xf numFmtId="166" fontId="11" fillId="0" borderId="14" xfId="0" applyNumberFormat="1" applyFont="1" applyBorder="1" applyAlignment="1">
      <alignment horizontal="center" vertical="center" wrapText="1"/>
    </xf>
    <xf numFmtId="164" fontId="11" fillId="0" borderId="17" xfId="1" applyNumberFormat="1" applyFont="1" applyFill="1" applyBorder="1" applyAlignment="1">
      <alignment horizontal="center" vertical="center"/>
    </xf>
    <xf numFmtId="0" fontId="23" fillId="0" borderId="14" xfId="2" applyFont="1" applyBorder="1" applyAlignment="1">
      <alignment vertical="center"/>
    </xf>
    <xf numFmtId="0" fontId="0" fillId="0" borderId="22" xfId="0" applyBorder="1" applyAlignment="1">
      <alignment vertical="center"/>
    </xf>
    <xf numFmtId="0" fontId="9" fillId="0" borderId="23" xfId="2" applyFill="1" applyBorder="1" applyAlignment="1">
      <alignment vertical="center" wrapText="1"/>
    </xf>
    <xf numFmtId="0" fontId="4" fillId="0" borderId="21" xfId="0" applyFont="1" applyBorder="1" applyAlignment="1">
      <alignment vertical="center"/>
    </xf>
    <xf numFmtId="0" fontId="1" fillId="0" borderId="22" xfId="0" applyFont="1" applyBorder="1" applyAlignment="1">
      <alignment vertical="center" wrapText="1"/>
    </xf>
    <xf numFmtId="44" fontId="0" fillId="0" borderId="14" xfId="1" applyFont="1" applyBorder="1" applyAlignment="1">
      <alignment horizontal="center" vertical="center"/>
    </xf>
    <xf numFmtId="0" fontId="21" fillId="0" borderId="29" xfId="0" applyFont="1" applyBorder="1" applyAlignment="1">
      <alignment horizontal="center" vertical="center" wrapText="1"/>
    </xf>
    <xf numFmtId="0" fontId="11" fillId="0" borderId="19" xfId="0" applyFont="1" applyBorder="1" applyAlignment="1">
      <alignment vertical="center" wrapText="1"/>
    </xf>
    <xf numFmtId="44" fontId="0" fillId="0" borderId="20" xfId="1" applyFont="1" applyBorder="1" applyAlignment="1">
      <alignment horizontal="center" vertical="center"/>
    </xf>
    <xf numFmtId="0" fontId="11" fillId="0" borderId="21" xfId="0" applyFont="1" applyBorder="1" applyAlignment="1">
      <alignment vertical="center" wrapText="1"/>
    </xf>
    <xf numFmtId="44" fontId="0" fillId="0" borderId="22" xfId="1" applyFont="1" applyBorder="1" applyAlignment="1">
      <alignment horizontal="center" vertical="center"/>
    </xf>
    <xf numFmtId="44" fontId="0" fillId="0" borderId="23" xfId="1" applyFont="1" applyBorder="1" applyAlignment="1">
      <alignment horizontal="center" vertical="center"/>
    </xf>
    <xf numFmtId="43" fontId="0" fillId="0" borderId="14" xfId="46" applyFont="1" applyBorder="1" applyAlignment="1">
      <alignment horizontal="center" vertical="center"/>
    </xf>
    <xf numFmtId="44" fontId="0" fillId="0" borderId="31" xfId="1" applyFont="1" applyBorder="1" applyAlignment="1">
      <alignment vertical="center"/>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34" xfId="0" applyFont="1" applyBorder="1" applyAlignment="1">
      <alignment horizontal="center" vertical="center" wrapText="1"/>
    </xf>
    <xf numFmtId="0" fontId="20" fillId="0" borderId="10" xfId="0" applyFont="1" applyBorder="1"/>
    <xf numFmtId="44" fontId="20" fillId="0" borderId="10" xfId="0" applyNumberFormat="1" applyFont="1" applyBorder="1"/>
    <xf numFmtId="0" fontId="21" fillId="3" borderId="33" xfId="0" applyFont="1" applyFill="1" applyBorder="1" applyAlignment="1">
      <alignment horizontal="center" vertical="center" wrapText="1"/>
    </xf>
    <xf numFmtId="0" fontId="21" fillId="3" borderId="34" xfId="0" applyFont="1" applyFill="1" applyBorder="1" applyAlignment="1">
      <alignment horizontal="center" vertical="center" wrapText="1"/>
    </xf>
    <xf numFmtId="0" fontId="20" fillId="5" borderId="10" xfId="0" applyFont="1" applyFill="1" applyBorder="1"/>
    <xf numFmtId="44" fontId="20" fillId="5" borderId="10" xfId="0" applyNumberFormat="1" applyFont="1" applyFill="1" applyBorder="1"/>
    <xf numFmtId="0" fontId="11" fillId="0" borderId="35" xfId="0" applyFont="1" applyBorder="1" applyAlignment="1">
      <alignment vertical="center" wrapText="1"/>
    </xf>
    <xf numFmtId="44" fontId="0" fillId="0" borderId="36" xfId="1" applyFont="1" applyBorder="1" applyAlignment="1">
      <alignment horizontal="center" vertical="center"/>
    </xf>
    <xf numFmtId="0" fontId="21" fillId="3" borderId="9" xfId="0" applyFont="1" applyFill="1" applyBorder="1" applyAlignment="1">
      <alignment horizontal="center" vertical="center" wrapText="1"/>
    </xf>
    <xf numFmtId="44" fontId="0" fillId="0" borderId="37" xfId="1" applyFont="1" applyBorder="1" applyAlignment="1">
      <alignment horizontal="center" vertical="center"/>
    </xf>
    <xf numFmtId="0" fontId="21" fillId="3" borderId="25"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21" fillId="10" borderId="14" xfId="0" applyFont="1" applyFill="1" applyBorder="1" applyAlignment="1">
      <alignment horizontal="center" vertical="center" wrapText="1"/>
    </xf>
    <xf numFmtId="0" fontId="5" fillId="5" borderId="14" xfId="0" applyFont="1" applyFill="1" applyBorder="1" applyAlignment="1">
      <alignment horizontal="justify" vertical="center" wrapText="1"/>
    </xf>
    <xf numFmtId="0" fontId="21" fillId="11" borderId="14" xfId="0" applyFont="1" applyFill="1" applyBorder="1" applyAlignment="1">
      <alignment horizontal="center" vertical="center" wrapText="1"/>
    </xf>
    <xf numFmtId="0" fontId="0" fillId="12" borderId="14" xfId="0" applyFill="1" applyBorder="1" applyAlignment="1">
      <alignment vertical="center"/>
    </xf>
    <xf numFmtId="0" fontId="23" fillId="12" borderId="14" xfId="2" applyFont="1" applyFill="1" applyBorder="1" applyAlignment="1">
      <alignment vertical="center"/>
    </xf>
    <xf numFmtId="0" fontId="0" fillId="12" borderId="22" xfId="0" applyFill="1" applyBorder="1" applyAlignment="1">
      <alignment vertical="center"/>
    </xf>
    <xf numFmtId="44" fontId="0" fillId="0" borderId="14" xfId="1" applyFont="1" applyFill="1" applyBorder="1" applyAlignment="1">
      <alignment vertical="center"/>
    </xf>
    <xf numFmtId="44" fontId="20" fillId="0" borderId="14" xfId="1" applyFont="1" applyFill="1" applyBorder="1" applyAlignment="1">
      <alignment vertical="center"/>
    </xf>
    <xf numFmtId="0" fontId="0" fillId="0" borderId="0" xfId="0" applyAlignment="1">
      <alignment horizontal="left" vertical="center"/>
    </xf>
    <xf numFmtId="0" fontId="1" fillId="0" borderId="0" xfId="0" applyFont="1" applyAlignment="1">
      <alignment horizontal="center" vertical="center" wrapText="1"/>
    </xf>
    <xf numFmtId="0" fontId="1" fillId="3" borderId="38" xfId="0" applyFont="1" applyFill="1" applyBorder="1" applyAlignment="1">
      <alignment vertical="center" wrapText="1"/>
    </xf>
    <xf numFmtId="169" fontId="9" fillId="0" borderId="20" xfId="2" applyNumberFormat="1" applyBorder="1" applyAlignment="1">
      <alignment horizontal="left" vertical="center" wrapText="1"/>
    </xf>
    <xf numFmtId="169" fontId="0" fillId="0" borderId="22" xfId="0" applyNumberFormat="1" applyBorder="1" applyAlignment="1">
      <alignment horizontal="left" vertical="center"/>
    </xf>
    <xf numFmtId="0" fontId="0" fillId="0" borderId="22" xfId="0" applyBorder="1" applyAlignment="1">
      <alignment horizontal="center" vertical="center"/>
    </xf>
    <xf numFmtId="0" fontId="1" fillId="0" borderId="22" xfId="0" applyFont="1" applyBorder="1" applyAlignment="1">
      <alignment horizontal="center" vertical="center" wrapText="1"/>
    </xf>
    <xf numFmtId="0" fontId="4" fillId="0" borderId="21" xfId="0" applyFont="1" applyBorder="1" applyAlignment="1">
      <alignment horizontal="center" vertical="center"/>
    </xf>
    <xf numFmtId="169" fontId="0" fillId="0" borderId="14" xfId="0" applyNumberFormat="1" applyBorder="1" applyAlignment="1">
      <alignment horizontal="left" vertical="center"/>
    </xf>
    <xf numFmtId="0" fontId="0" fillId="0" borderId="14" xfId="0" applyBorder="1" applyAlignment="1">
      <alignment horizontal="center" vertical="center"/>
    </xf>
    <xf numFmtId="0" fontId="1" fillId="0" borderId="14" xfId="0" applyFont="1" applyBorder="1" applyAlignment="1">
      <alignment horizontal="center" vertical="center" wrapText="1"/>
    </xf>
    <xf numFmtId="0" fontId="4" fillId="0" borderId="19" xfId="0" applyFont="1" applyBorder="1" applyAlignment="1">
      <alignment horizontal="center" vertical="center"/>
    </xf>
    <xf numFmtId="169" fontId="0" fillId="0" borderId="14" xfId="0" applyNumberFormat="1" applyBorder="1" applyAlignment="1">
      <alignment horizontal="left" vertical="center" wrapText="1"/>
    </xf>
    <xf numFmtId="169" fontId="25" fillId="0" borderId="20" xfId="2" applyNumberFormat="1" applyFont="1" applyBorder="1" applyAlignment="1">
      <alignment horizontal="left" vertical="center" wrapText="1"/>
    </xf>
    <xf numFmtId="0" fontId="5" fillId="0" borderId="14" xfId="0" applyFont="1" applyBorder="1" applyAlignment="1">
      <alignment horizontal="center" vertical="center" wrapText="1"/>
    </xf>
    <xf numFmtId="169" fontId="9" fillId="0" borderId="18" xfId="2" applyNumberFormat="1" applyFill="1" applyBorder="1" applyAlignment="1">
      <alignment horizontal="left" vertical="center" wrapText="1"/>
    </xf>
    <xf numFmtId="169" fontId="0" fillId="0" borderId="17" xfId="0" applyNumberFormat="1" applyBorder="1" applyAlignment="1">
      <alignment horizontal="left" vertical="center"/>
    </xf>
    <xf numFmtId="0" fontId="0" fillId="0" borderId="17" xfId="0" applyBorder="1" applyAlignment="1">
      <alignment horizontal="center" vertical="center"/>
    </xf>
    <xf numFmtId="0" fontId="1" fillId="0" borderId="17" xfId="0" applyFont="1" applyBorder="1" applyAlignment="1">
      <alignment horizontal="center" vertical="center" wrapText="1"/>
    </xf>
    <xf numFmtId="0" fontId="4" fillId="0" borderId="16" xfId="0" applyFont="1" applyBorder="1" applyAlignment="1">
      <alignment horizontal="center" vertical="center"/>
    </xf>
    <xf numFmtId="0" fontId="1" fillId="4" borderId="15" xfId="0" applyFont="1" applyFill="1" applyBorder="1" applyAlignment="1">
      <alignment horizontal="left" vertical="center" wrapText="1"/>
    </xf>
    <xf numFmtId="0" fontId="1" fillId="4" borderId="15" xfId="0" applyFont="1" applyFill="1" applyBorder="1" applyAlignment="1">
      <alignment horizontal="center" vertical="center" wrapText="1"/>
    </xf>
    <xf numFmtId="164" fontId="12" fillId="0" borderId="14" xfId="1" applyNumberFormat="1" applyFont="1" applyBorder="1" applyAlignment="1">
      <alignment horizontal="center" vertical="center"/>
    </xf>
    <xf numFmtId="164" fontId="12" fillId="0" borderId="14" xfId="1" applyNumberFormat="1" applyFont="1" applyFill="1" applyBorder="1" applyAlignment="1">
      <alignment horizontal="center" vertical="center"/>
    </xf>
    <xf numFmtId="6" fontId="0" fillId="0" borderId="14" xfId="0" applyNumberFormat="1" applyBorder="1" applyAlignment="1">
      <alignment vertical="center"/>
    </xf>
    <xf numFmtId="169" fontId="0" fillId="0" borderId="14" xfId="0" applyNumberFormat="1" applyBorder="1" applyAlignment="1">
      <alignment horizontal="right" vertical="center" wrapText="1"/>
    </xf>
    <xf numFmtId="169" fontId="0" fillId="0" borderId="14" xfId="0" applyNumberFormat="1" applyBorder="1" applyAlignment="1">
      <alignment horizontal="right" vertical="center"/>
    </xf>
    <xf numFmtId="0" fontId="4" fillId="0" borderId="14" xfId="0" applyFont="1" applyBorder="1" applyAlignment="1">
      <alignment vertical="center"/>
    </xf>
    <xf numFmtId="44" fontId="4" fillId="0" borderId="14" xfId="1" applyFont="1" applyBorder="1" applyAlignment="1">
      <alignment vertical="center" wrapText="1"/>
    </xf>
    <xf numFmtId="44" fontId="0" fillId="0" borderId="14" xfId="1" applyFont="1" applyBorder="1" applyAlignment="1">
      <alignment horizontal="right" vertical="center"/>
    </xf>
    <xf numFmtId="164" fontId="4" fillId="0" borderId="14" xfId="1" applyNumberFormat="1" applyFont="1" applyBorder="1" applyAlignment="1">
      <alignment horizontal="center" vertical="center" wrapText="1"/>
    </xf>
    <xf numFmtId="164" fontId="11" fillId="0" borderId="14" xfId="1" applyNumberFormat="1" applyFont="1" applyFill="1" applyBorder="1" applyAlignment="1">
      <alignment horizontal="center" vertical="center"/>
    </xf>
    <xf numFmtId="44" fontId="1" fillId="12" borderId="15" xfId="0" applyNumberFormat="1" applyFont="1" applyFill="1" applyBorder="1" applyAlignment="1">
      <alignment horizontal="center" vertical="center" wrapText="1"/>
    </xf>
    <xf numFmtId="44" fontId="1" fillId="14" borderId="15" xfId="0" applyNumberFormat="1" applyFont="1" applyFill="1" applyBorder="1" applyAlignment="1">
      <alignment horizontal="center" vertical="center" wrapText="1"/>
    </xf>
    <xf numFmtId="44" fontId="1" fillId="15" borderId="15" xfId="0" applyNumberFormat="1" applyFont="1" applyFill="1" applyBorder="1" applyAlignment="1">
      <alignment horizontal="center" vertical="center" wrapText="1"/>
    </xf>
    <xf numFmtId="0" fontId="20" fillId="16" borderId="0" xfId="0" applyFont="1" applyFill="1" applyAlignment="1">
      <alignment horizontal="center" vertical="center" wrapText="1"/>
    </xf>
    <xf numFmtId="164" fontId="1" fillId="11" borderId="14" xfId="1" applyNumberFormat="1" applyFont="1" applyFill="1" applyBorder="1" applyAlignment="1">
      <alignment horizontal="center" vertical="center" wrapText="1"/>
    </xf>
    <xf numFmtId="164" fontId="0" fillId="0" borderId="14" xfId="0" applyNumberFormat="1" applyBorder="1" applyAlignment="1">
      <alignment vertical="center"/>
    </xf>
    <xf numFmtId="9" fontId="0" fillId="0" borderId="14" xfId="47" applyFont="1" applyBorder="1" applyAlignment="1">
      <alignment vertical="center"/>
    </xf>
    <xf numFmtId="169" fontId="0" fillId="5" borderId="14" xfId="0" applyNumberFormat="1" applyFill="1" applyBorder="1" applyAlignment="1">
      <alignment horizontal="right" vertical="center"/>
    </xf>
    <xf numFmtId="44" fontId="0" fillId="5" borderId="14" xfId="0" applyNumberFormat="1" applyFill="1" applyBorder="1" applyAlignment="1">
      <alignment vertical="center"/>
    </xf>
    <xf numFmtId="44" fontId="0" fillId="5" borderId="14" xfId="0" applyNumberFormat="1" applyFill="1" applyBorder="1" applyAlignment="1">
      <alignment vertical="center" wrapText="1"/>
    </xf>
    <xf numFmtId="169" fontId="0" fillId="5" borderId="14" xfId="0" applyNumberFormat="1" applyFill="1" applyBorder="1" applyAlignment="1">
      <alignment horizontal="right" vertical="center" wrapText="1"/>
    </xf>
    <xf numFmtId="164" fontId="0" fillId="5" borderId="14" xfId="1" applyNumberFormat="1" applyFont="1" applyFill="1" applyBorder="1" applyAlignment="1">
      <alignment vertical="center"/>
    </xf>
    <xf numFmtId="164" fontId="0" fillId="5" borderId="14" xfId="1" applyNumberFormat="1" applyFont="1" applyFill="1" applyBorder="1" applyAlignment="1">
      <alignment vertical="center" wrapText="1"/>
    </xf>
    <xf numFmtId="164" fontId="12" fillId="5" borderId="14" xfId="1" applyNumberFormat="1" applyFont="1" applyFill="1" applyBorder="1" applyAlignment="1">
      <alignment horizontal="center" vertical="center"/>
    </xf>
    <xf numFmtId="165" fontId="11" fillId="18" borderId="14" xfId="0" applyNumberFormat="1" applyFont="1" applyFill="1" applyBorder="1" applyAlignment="1">
      <alignment horizontal="center" vertical="center" wrapText="1"/>
    </xf>
    <xf numFmtId="164" fontId="10" fillId="5" borderId="14" xfId="1" applyNumberFormat="1" applyFont="1" applyFill="1" applyBorder="1" applyAlignment="1">
      <alignment vertical="center" wrapText="1"/>
    </xf>
    <xf numFmtId="6" fontId="0" fillId="5" borderId="14" xfId="0" applyNumberFormat="1" applyFill="1" applyBorder="1" applyAlignment="1">
      <alignment vertical="center" wrapText="1"/>
    </xf>
    <xf numFmtId="9" fontId="0" fillId="5" borderId="14" xfId="47" applyFont="1" applyFill="1" applyBorder="1" applyAlignment="1">
      <alignment vertical="center"/>
    </xf>
    <xf numFmtId="0" fontId="20" fillId="16" borderId="14" xfId="0" applyFont="1" applyFill="1" applyBorder="1" applyAlignment="1">
      <alignment horizontal="center" vertical="center"/>
    </xf>
    <xf numFmtId="9" fontId="0" fillId="0" borderId="14" xfId="0" applyNumberFormat="1" applyBorder="1" applyAlignment="1">
      <alignment vertical="center"/>
    </xf>
    <xf numFmtId="164" fontId="1" fillId="13" borderId="10" xfId="1" applyNumberFormat="1" applyFont="1" applyFill="1" applyBorder="1" applyAlignment="1">
      <alignment horizontal="center" vertical="center" wrapText="1"/>
    </xf>
    <xf numFmtId="0" fontId="6" fillId="0" borderId="14" xfId="20" applyFont="1" applyBorder="1" applyAlignment="1">
      <alignment horizontal="center" vertical="center" wrapText="1"/>
    </xf>
    <xf numFmtId="164" fontId="6" fillId="0" borderId="14" xfId="1" applyNumberFormat="1" applyFont="1" applyBorder="1" applyAlignment="1">
      <alignment horizontal="center" vertical="center" wrapText="1"/>
    </xf>
    <xf numFmtId="164" fontId="1" fillId="4" borderId="15" xfId="1" applyNumberFormat="1" applyFont="1" applyFill="1" applyBorder="1" applyAlignment="1">
      <alignment horizontal="center" vertical="center" wrapText="1"/>
    </xf>
    <xf numFmtId="164" fontId="1" fillId="13" borderId="15" xfId="1" applyNumberFormat="1" applyFont="1" applyFill="1" applyBorder="1" applyAlignment="1">
      <alignment horizontal="center" vertical="center" wrapText="1"/>
    </xf>
    <xf numFmtId="164" fontId="1" fillId="19" borderId="15" xfId="1" applyNumberFormat="1" applyFont="1" applyFill="1" applyBorder="1" applyAlignment="1">
      <alignment horizontal="center" vertical="center" wrapText="1"/>
    </xf>
    <xf numFmtId="164" fontId="6" fillId="2" borderId="14" xfId="1" applyNumberFormat="1" applyFont="1" applyFill="1" applyBorder="1" applyAlignment="1">
      <alignment horizontal="center" vertical="center" wrapText="1"/>
    </xf>
    <xf numFmtId="0" fontId="1" fillId="0" borderId="14" xfId="32" applyFont="1" applyBorder="1" applyAlignment="1">
      <alignment horizontal="center" vertical="center" wrapText="1"/>
    </xf>
    <xf numFmtId="0" fontId="1" fillId="0" borderId="14" xfId="32" applyFont="1" applyBorder="1" applyAlignment="1">
      <alignment vertical="center"/>
    </xf>
    <xf numFmtId="0" fontId="1" fillId="0" borderId="0" xfId="32" applyFont="1" applyAlignment="1">
      <alignment vertical="center"/>
    </xf>
    <xf numFmtId="0" fontId="4" fillId="0" borderId="14" xfId="32" applyFont="1" applyBorder="1" applyAlignment="1">
      <alignment horizontal="center" vertical="center" wrapText="1"/>
    </xf>
    <xf numFmtId="0" fontId="4" fillId="0" borderId="14" xfId="32" applyFont="1" applyBorder="1" applyAlignment="1">
      <alignment horizontal="center" vertical="center"/>
    </xf>
    <xf numFmtId="0" fontId="4" fillId="0" borderId="14" xfId="32" applyFont="1" applyBorder="1" applyAlignment="1">
      <alignment vertical="center"/>
    </xf>
    <xf numFmtId="170" fontId="4" fillId="0" borderId="14" xfId="32" applyNumberFormat="1" applyFont="1" applyBorder="1" applyAlignment="1">
      <alignment vertical="center"/>
    </xf>
    <xf numFmtId="171" fontId="4" fillId="0" borderId="14" xfId="32" applyNumberFormat="1" applyFont="1" applyBorder="1" applyAlignment="1">
      <alignment vertical="center"/>
    </xf>
    <xf numFmtId="172" fontId="4" fillId="0" borderId="14" xfId="32" applyNumberFormat="1" applyFont="1" applyBorder="1" applyAlignment="1">
      <alignment vertical="center"/>
    </xf>
    <xf numFmtId="0" fontId="26" fillId="0" borderId="14" xfId="32" applyFont="1" applyBorder="1" applyAlignment="1">
      <alignment horizontal="center" vertical="center" wrapText="1"/>
    </xf>
    <xf numFmtId="9" fontId="1" fillId="0" borderId="14" xfId="32" applyNumberFormat="1" applyFont="1" applyBorder="1" applyAlignment="1">
      <alignment horizontal="center" vertical="center"/>
    </xf>
    <xf numFmtId="170" fontId="4" fillId="0" borderId="14" xfId="32" applyNumberFormat="1" applyFont="1" applyBorder="1" applyAlignment="1">
      <alignment horizontal="center" vertical="center"/>
    </xf>
    <xf numFmtId="172" fontId="4" fillId="0" borderId="14" xfId="32" applyNumberFormat="1" applyFont="1" applyBorder="1" applyAlignment="1">
      <alignment horizontal="center" vertical="center"/>
    </xf>
    <xf numFmtId="0" fontId="4" fillId="0" borderId="0" xfId="32" applyFont="1"/>
    <xf numFmtId="9" fontId="19" fillId="0" borderId="14" xfId="32" applyNumberFormat="1" applyBorder="1" applyAlignment="1">
      <alignment horizontal="center" vertical="center"/>
    </xf>
    <xf numFmtId="9" fontId="0" fillId="0" borderId="14" xfId="48" applyFont="1" applyBorder="1" applyAlignment="1">
      <alignment horizontal="center"/>
    </xf>
    <xf numFmtId="9" fontId="0" fillId="0" borderId="14" xfId="48" applyFont="1" applyBorder="1" applyAlignment="1">
      <alignment horizontal="center" vertical="center"/>
    </xf>
    <xf numFmtId="9" fontId="0" fillId="0" borderId="14" xfId="47" applyFont="1" applyFill="1" applyBorder="1" applyAlignment="1">
      <alignment vertical="center"/>
    </xf>
    <xf numFmtId="0" fontId="3" fillId="2" borderId="1" xfId="0" applyFont="1" applyFill="1" applyBorder="1" applyAlignment="1">
      <alignment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 fillId="2" borderId="5" xfId="0" applyFont="1" applyFill="1" applyBorder="1" applyAlignment="1">
      <alignment vertical="center" wrapText="1"/>
    </xf>
    <xf numFmtId="0" fontId="3" fillId="2" borderId="6" xfId="0" applyFont="1" applyFill="1" applyBorder="1" applyAlignment="1">
      <alignment vertical="center" wrapText="1"/>
    </xf>
    <xf numFmtId="0" fontId="3" fillId="2" borderId="7" xfId="0" applyFont="1" applyFill="1" applyBorder="1" applyAlignment="1">
      <alignment vertical="center" wrapText="1"/>
    </xf>
    <xf numFmtId="0" fontId="3" fillId="2" borderId="8" xfId="0" applyFont="1" applyFill="1" applyBorder="1" applyAlignment="1">
      <alignment vertical="center" wrapText="1"/>
    </xf>
    <xf numFmtId="0" fontId="3" fillId="2" borderId="9" xfId="0" applyFont="1" applyFill="1" applyBorder="1" applyAlignment="1">
      <alignment vertical="center" wrapText="1"/>
    </xf>
    <xf numFmtId="0" fontId="1" fillId="3" borderId="7" xfId="0" applyFont="1" applyFill="1" applyBorder="1" applyAlignment="1">
      <alignment vertical="center" wrapText="1"/>
    </xf>
    <xf numFmtId="0" fontId="1" fillId="3" borderId="8" xfId="0" applyFont="1" applyFill="1" applyBorder="1" applyAlignment="1">
      <alignment vertical="center" wrapText="1"/>
    </xf>
    <xf numFmtId="0" fontId="1" fillId="3" borderId="9" xfId="0" applyFont="1" applyFill="1" applyBorder="1" applyAlignment="1">
      <alignment vertical="center" wrapText="1"/>
    </xf>
    <xf numFmtId="0" fontId="2" fillId="0" borderId="0" xfId="0" applyFont="1" applyAlignment="1">
      <alignment vertical="center"/>
    </xf>
    <xf numFmtId="0" fontId="1" fillId="4" borderId="7" xfId="0" applyFont="1" applyFill="1" applyBorder="1" applyAlignment="1">
      <alignment vertical="center" wrapText="1"/>
    </xf>
    <xf numFmtId="0" fontId="1" fillId="4" borderId="8" xfId="0" applyFont="1" applyFill="1" applyBorder="1" applyAlignment="1">
      <alignment vertical="center" wrapText="1"/>
    </xf>
    <xf numFmtId="0" fontId="1" fillId="4" borderId="9" xfId="0" applyFont="1" applyFill="1" applyBorder="1" applyAlignment="1">
      <alignment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3" borderId="14"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21" fillId="4" borderId="26" xfId="0" applyFont="1" applyFill="1" applyBorder="1" applyAlignment="1">
      <alignment horizontal="center" vertical="center" wrapText="1"/>
    </xf>
    <xf numFmtId="0" fontId="9" fillId="0" borderId="0" xfId="2" applyAlignment="1">
      <alignment horizontal="center" vertical="center" wrapText="1"/>
    </xf>
    <xf numFmtId="0" fontId="20" fillId="4" borderId="26" xfId="0" applyFont="1" applyFill="1" applyBorder="1" applyAlignment="1">
      <alignment horizontal="center"/>
    </xf>
    <xf numFmtId="0" fontId="20" fillId="4" borderId="27" xfId="0" applyFont="1" applyFill="1" applyBorder="1" applyAlignment="1">
      <alignment horizontal="center"/>
    </xf>
    <xf numFmtId="0" fontId="20" fillId="4" borderId="28" xfId="0" applyFont="1" applyFill="1" applyBorder="1" applyAlignment="1">
      <alignment horizontal="center"/>
    </xf>
    <xf numFmtId="0" fontId="11" fillId="0" borderId="14" xfId="0" applyFont="1" applyBorder="1" applyAlignment="1">
      <alignment horizontal="left" vertical="center" wrapText="1"/>
    </xf>
    <xf numFmtId="0" fontId="21" fillId="3" borderId="11" xfId="0" applyFont="1" applyFill="1" applyBorder="1" applyAlignment="1">
      <alignment horizontal="center" vertical="center" wrapText="1"/>
    </xf>
    <xf numFmtId="0" fontId="21" fillId="3" borderId="13" xfId="0" applyFont="1" applyFill="1" applyBorder="1" applyAlignment="1">
      <alignment horizontal="center" vertical="center" wrapText="1"/>
    </xf>
    <xf numFmtId="0" fontId="21" fillId="3" borderId="7" xfId="0" applyFont="1" applyFill="1" applyBorder="1" applyAlignment="1">
      <alignment horizontal="center" vertical="center" wrapText="1"/>
    </xf>
    <xf numFmtId="0" fontId="21" fillId="3" borderId="9" xfId="0" applyFont="1" applyFill="1" applyBorder="1" applyAlignment="1">
      <alignment horizontal="center" vertical="center" wrapText="1"/>
    </xf>
    <xf numFmtId="0" fontId="0" fillId="0" borderId="0" xfId="0" applyAlignment="1">
      <alignment horizontal="left" vertical="center" wrapText="1"/>
    </xf>
    <xf numFmtId="0" fontId="2" fillId="0" borderId="0" xfId="0" applyFont="1" applyAlignment="1">
      <alignment horizontal="center"/>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0" xfId="0" applyFont="1" applyFill="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17" borderId="14" xfId="0" applyFont="1" applyFill="1" applyBorder="1" applyAlignment="1">
      <alignment horizontal="center" vertical="center"/>
    </xf>
    <xf numFmtId="0" fontId="3" fillId="20" borderId="0" xfId="0" applyFont="1" applyFill="1" applyAlignment="1">
      <alignment horizontal="center" vertical="center" wrapText="1"/>
    </xf>
    <xf numFmtId="0" fontId="3" fillId="20" borderId="5" xfId="0" applyFont="1" applyFill="1" applyBorder="1" applyAlignment="1">
      <alignment horizontal="center" vertical="center" wrapText="1"/>
    </xf>
    <xf numFmtId="164" fontId="1" fillId="4" borderId="14" xfId="1" applyNumberFormat="1" applyFont="1" applyFill="1" applyBorder="1" applyAlignment="1">
      <alignment horizontal="center" vertical="center" wrapText="1"/>
    </xf>
  </cellXfs>
  <cellStyles count="49">
    <cellStyle name="BodyStyle" xfId="13" xr:uid="{1F649DF6-89EC-4452-AAFE-966751301576}"/>
    <cellStyle name="BodyStyle 2" xfId="24" xr:uid="{BA5BC4E5-197C-49D3-8178-A4B12B770649}"/>
    <cellStyle name="BodyStyle 2 2" xfId="40" xr:uid="{4D7C9D56-1934-4396-A7BB-E55DC3406E91}"/>
    <cellStyle name="HeaderStyle" xfId="23" xr:uid="{38E1C1E1-2CDB-429C-A4BD-FCA0911F69E2}"/>
    <cellStyle name="Hipervínculo" xfId="2" builtinId="8"/>
    <cellStyle name="MainTitle" xfId="22" xr:uid="{7F877EB8-9D7F-4FDA-8B1C-E22CAC74BD52}"/>
    <cellStyle name="Millares" xfId="46" builtinId="3"/>
    <cellStyle name="Millares 2" xfId="5" xr:uid="{47AAD9F6-F0DA-45E9-9184-5E99BABEF534}"/>
    <cellStyle name="Millares 2 2" xfId="36" xr:uid="{ADD04111-611D-4913-8727-711B6CD26AC3}"/>
    <cellStyle name="Millares 2 3" xfId="14" xr:uid="{9D0E1DBE-BAF9-44B9-8C3A-40B117FF0625}"/>
    <cellStyle name="Millares 3" xfId="16" xr:uid="{A6993B1B-D22F-4BDE-9D2F-0DDE98A32D1A}"/>
    <cellStyle name="Millares 3 2" xfId="37" xr:uid="{7DE7A389-7F8E-4E12-A4E5-9A897C78D477}"/>
    <cellStyle name="Millares 4" xfId="18" xr:uid="{964EA6AA-3F51-4AE5-AE24-9F142A5EE60E}"/>
    <cellStyle name="Millares 4 2" xfId="39" xr:uid="{B56D0632-46CF-4FFB-84E7-4A243523B3E6}"/>
    <cellStyle name="Millares 5" xfId="27" xr:uid="{7AF88585-0814-41FE-AC79-E17CEEF2D2B2}"/>
    <cellStyle name="Millares 5 2" xfId="43" xr:uid="{136CCC86-48EA-4DDA-AA33-31C99A2E613C}"/>
    <cellStyle name="Millares 6" xfId="34" xr:uid="{8AE23D83-191A-4084-9EF2-722355D57ACE}"/>
    <cellStyle name="Millares 7" xfId="12" xr:uid="{B85E11C3-DA04-4B2F-ABAE-B657278B5EE5}"/>
    <cellStyle name="Moneda" xfId="1" builtinId="4"/>
    <cellStyle name="Moneda [0] 2" xfId="25" xr:uid="{CAE86076-2E1C-41A9-A277-D3255347FC62}"/>
    <cellStyle name="Moneda [0] 2 2" xfId="41" xr:uid="{EFE74048-E6CD-45A0-8290-7AB2F6F1802B}"/>
    <cellStyle name="Moneda 2" xfId="7" xr:uid="{A1178B0D-5180-4EB9-9F87-2D3D40B24D31}"/>
    <cellStyle name="Moneda 2 2" xfId="30" xr:uid="{E59B1BFC-229D-488A-AC48-61A1DAA8807E}"/>
    <cellStyle name="Moneda 2 2 2" xfId="44" xr:uid="{DF5A7CCA-0CEF-4036-A8D4-A05C3B3E5313}"/>
    <cellStyle name="Moneda 2 3" xfId="15" xr:uid="{8574FBC5-B769-4F10-A0F1-AF5A631D8556}"/>
    <cellStyle name="Moneda 3" xfId="4" xr:uid="{79AB8BCC-677F-4050-988A-43E201ADBDB1}"/>
    <cellStyle name="Moneda 3 2" xfId="35" xr:uid="{D11DF14B-017C-4D0A-A274-E643F7D750D2}"/>
    <cellStyle name="Moneda 4" xfId="17" xr:uid="{276271B6-F26C-41A6-8F05-659FD0074131}"/>
    <cellStyle name="Moneda 4 2" xfId="38" xr:uid="{4BA670A0-6E49-4AF9-BAD4-A92AE39EFFA2}"/>
    <cellStyle name="Moneda 5" xfId="26" xr:uid="{789BDF37-5CFD-4C06-AC0B-F6EFA19668F3}"/>
    <cellStyle name="Moneda 5 2" xfId="42" xr:uid="{6F0A5B65-4960-47A1-94D6-67C9A8F4BB49}"/>
    <cellStyle name="Moneda 6" xfId="33" xr:uid="{1E1B188C-07A4-4DA8-9335-0351C3687E1C}"/>
    <cellStyle name="Normal" xfId="0" builtinId="0"/>
    <cellStyle name="Normal 13" xfId="19" xr:uid="{64F182F7-9C9D-4618-8CC7-FD6C0F4DDD1C}"/>
    <cellStyle name="Normal 2" xfId="6" xr:uid="{5640C8BC-8786-425E-918D-2CC4620BE624}"/>
    <cellStyle name="Normal 2 2" xfId="28" xr:uid="{04204569-132A-42BB-B4CF-E78981B0B5CE}"/>
    <cellStyle name="Normal 2 3" xfId="20" xr:uid="{B0D15F79-9A50-417F-9632-17FFBCD8142E}"/>
    <cellStyle name="Normal 3" xfId="9" xr:uid="{D2F3AF6D-E51D-4E90-9466-29BE1CC61ED0}"/>
    <cellStyle name="Normal 3 2" xfId="29" xr:uid="{021F2C14-B0E3-4860-B4CC-BA1FA62DA402}"/>
    <cellStyle name="Normal 3 3" xfId="21" xr:uid="{386FEDEB-1B95-4532-AA92-FBB4DB0276D2}"/>
    <cellStyle name="Normal 4" xfId="10" xr:uid="{697F6453-8BCD-4B29-983A-EBBF6860495E}"/>
    <cellStyle name="Normal 4 2" xfId="45" xr:uid="{499B92B3-5D63-4533-B5D6-38A38F89BEAF}"/>
    <cellStyle name="Normal 4 3" xfId="31" xr:uid="{7A4A016B-BF80-402E-BDF6-B8236307AD5C}"/>
    <cellStyle name="Normal 5" xfId="11" xr:uid="{B81E8A26-356A-4463-8A34-B7F29F39C06F}"/>
    <cellStyle name="Normal 5 2" xfId="32" xr:uid="{3367E7E8-6AE8-404B-8BE5-14EC3382F18C}"/>
    <cellStyle name="Normal 6" xfId="3" xr:uid="{1EBC8111-F1AE-41B3-8833-403478B30DCC}"/>
    <cellStyle name="Porcentaje" xfId="47" builtinId="5"/>
    <cellStyle name="Porcentaje 2" xfId="8" xr:uid="{6DC26A24-90C2-44F0-8385-EE972B07AC26}"/>
    <cellStyle name="Porcentaje 3" xfId="48" xr:uid="{A3690EA5-8BD0-4430-88A4-44DB318E9D26}"/>
  </cellStyles>
  <dxfs count="12">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115CEE2-84CA-4ED2-8DCD-420F82135253}">
  <we:reference id="wa200009404" version="1.0.0.8" store="en-US" storeType="OMEX"/>
  <we:alternateReferences>
    <we:reference id="wa200009404" version="1.0.0.8" store="en-US" storeType="OMEX"/>
  </we:alternateReferences>
  <we:properties>
    <we:property name="claude.fileId" value="&quot;fe3c8586-abf0-4bf2-b2ca-1821ffb8d981&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6" Type="http://schemas.openxmlformats.org/officeDocument/2006/relationships/hyperlink" Target="https://community.secop.gov.co/Public/Tendering/ContractNoticeManagement/Index?currentLanguage=es-CO&amp;Page=login&amp;Country=CO&amp;SkinName=CCE" TargetMode="External"/><Relationship Id="rId117" Type="http://schemas.openxmlformats.org/officeDocument/2006/relationships/hyperlink" Target="https://community.secop.gov.co/Public/Tendering/OpportunityDetail/Index?noticeUID=CO1.NTC.10738624&amp;isFromPublicArea=True&amp;isModal=False" TargetMode="External"/><Relationship Id="rId21" Type="http://schemas.openxmlformats.org/officeDocument/2006/relationships/hyperlink" Target="https://community.secop.gov.co/Public/Tendering/ContractNoticeManagement/Index?currentLanguage=es-CO&amp;Page=login&amp;Country=CO&amp;SkinName=CCE" TargetMode="External"/><Relationship Id="rId42" Type="http://schemas.openxmlformats.org/officeDocument/2006/relationships/hyperlink" Target="https://community.secop.gov.co/Public/Tendering/OpportunityDetail/Index?noticeUID=CO1.NTC.10738624&amp;isFromPublicArea=True&amp;isModal=False" TargetMode="External"/><Relationship Id="rId47" Type="http://schemas.openxmlformats.org/officeDocument/2006/relationships/hyperlink" Target="https://community.secop.gov.co/Public/Tendering/ContractNoticeManagement/Index?currentLanguage=es-CO&amp;Page=login&amp;Country=CO&amp;SkinName=CCE" TargetMode="External"/><Relationship Id="rId63" Type="http://schemas.openxmlformats.org/officeDocument/2006/relationships/hyperlink" Target="https://community.secop.gov.co/Public/Tendering/ContractNoticeManagement/Index?currentLanguage=es-CO&amp;Page=login&amp;Country=CO&amp;SkinName=CCE" TargetMode="External"/><Relationship Id="rId68" Type="http://schemas.openxmlformats.org/officeDocument/2006/relationships/hyperlink" Target="https://operaciones.colombiacompra.gov.co/tienda-virtual-del-estado-colombiano/ordenes-compra/169045" TargetMode="External"/><Relationship Id="rId84" Type="http://schemas.openxmlformats.org/officeDocument/2006/relationships/hyperlink" Target="https://operaciones.colombiacompra.gov.co/tienda-virtual-del-estado-colombiano/ordenes-compra/160722/1" TargetMode="External"/><Relationship Id="rId89" Type="http://schemas.openxmlformats.org/officeDocument/2006/relationships/hyperlink" Target="https://community.secop.gov.co/Public/Tendering/OpportunityDetail/Index?noticeUID=CO1.NTC.10320623" TargetMode="External"/><Relationship Id="rId112" Type="http://schemas.openxmlformats.org/officeDocument/2006/relationships/hyperlink" Target="https://community.secop.gov.co/Public/Tendering/ContractNoticeManagement/Index?currentLanguage=es-CO&amp;Page=login&amp;Country=CO&amp;SkinName=CCE" TargetMode="External"/><Relationship Id="rId16" Type="http://schemas.openxmlformats.org/officeDocument/2006/relationships/hyperlink" Target="https://community.secop.gov.co/Public/Tendering/ContractNoticeManagement/Index?currentLanguage=es-CO&amp;Page=login&amp;Country=CO&amp;SkinName=CCE" TargetMode="External"/><Relationship Id="rId107" Type="http://schemas.openxmlformats.org/officeDocument/2006/relationships/hyperlink" Target="https://community.secop.gov.co/Public/Tendering/OpportunityDetail/Index?noticeUID=CO1.NTC.10738624&amp;isFromPublicArea=True&amp;isModal=False" TargetMode="External"/><Relationship Id="rId11" Type="http://schemas.openxmlformats.org/officeDocument/2006/relationships/hyperlink" Target="https://community.secop.gov.co/Public/Tendering/ContractNoticeManagement/Index?currentLanguage=es-CO&amp;Page=login&amp;Country=CO&amp;SkinName=CCE" TargetMode="External"/><Relationship Id="rId32" Type="http://schemas.openxmlformats.org/officeDocument/2006/relationships/hyperlink" Target="https://community.secop.gov.co/Public/Tendering/ContractNoticeManagement/Index?currentLanguage=es-CO&amp;Page=login&amp;Country=CO&amp;SkinName=CCE" TargetMode="External"/><Relationship Id="rId37" Type="http://schemas.openxmlformats.org/officeDocument/2006/relationships/hyperlink" Target="https://community.secop.gov.co/Public/Tendering/ContractNoticeManagement/Index?currentLanguage=es-CO&amp;Page=login&amp;Country=CO&amp;SkinName=CCE" TargetMode="External"/><Relationship Id="rId53" Type="http://schemas.openxmlformats.org/officeDocument/2006/relationships/hyperlink" Target="https://community.secop.gov.co/Public/Tendering/OpportunityDetail/Index?noticeUID=CO1.NTC.10738624&amp;isFromPublicArea=True&amp;isModal=False" TargetMode="External"/><Relationship Id="rId58" Type="http://schemas.openxmlformats.org/officeDocument/2006/relationships/hyperlink" Target="https://community.secop.gov.co/Public/Tendering/OpportunityDetail/Index?noticeUID=CO1.NTC.8448892" TargetMode="External"/><Relationship Id="rId74" Type="http://schemas.openxmlformats.org/officeDocument/2006/relationships/hyperlink" Target="https://community.secop.gov.co/Public/Tendering/ContractNoticeManagement/Index?currentLanguage=es-CO&amp;Page=login&amp;Country=CO&amp;SkinName=CCE" TargetMode="External"/><Relationship Id="rId79" Type="http://schemas.openxmlformats.org/officeDocument/2006/relationships/hyperlink" Target="https://community.secop.gov.co/Public/Tendering/ContractNoticeManagement/Index?currentLanguage=es-CO&amp;Page=login&amp;Country=CO&amp;SkinName=CCE" TargetMode="External"/><Relationship Id="rId102" Type="http://schemas.openxmlformats.org/officeDocument/2006/relationships/hyperlink" Target="https://community.secop.gov.co/Public/Tendering/ContractNoticeManagement/Index?currentLanguage=es-CO&amp;Page=login&amp;Country=CO&amp;SkinName=CCE" TargetMode="External"/><Relationship Id="rId123" Type="http://schemas.openxmlformats.org/officeDocument/2006/relationships/hyperlink" Target="https://community.secop.gov.co/Public/Tendering/OpportunityDetail/Index?noticeUID=CO1.NTC.11013653" TargetMode="External"/><Relationship Id="rId5" Type="http://schemas.openxmlformats.org/officeDocument/2006/relationships/hyperlink" Target="https://community.secop.gov.co/Public/Tendering/ContractNoticeManagement/Index?currentLanguage=es-CO&amp;Page=login&amp;Country=CO&amp;SkinName=CCE" TargetMode="External"/><Relationship Id="rId61" Type="http://schemas.openxmlformats.org/officeDocument/2006/relationships/hyperlink" Target="https://community.secop.gov.co/Public/Tendering/OpportunityDetail/Index?noticeUID=CO1.NTC.11013653" TargetMode="External"/><Relationship Id="rId82" Type="http://schemas.openxmlformats.org/officeDocument/2006/relationships/hyperlink" Target="https://operaciones.colombiacompra.gov.co/tienda-virtual-del-estado-colombiano/ordenes-compra/165607/5" TargetMode="External"/><Relationship Id="rId90" Type="http://schemas.openxmlformats.org/officeDocument/2006/relationships/hyperlink" Target="https://community.secop.gov.co/Public/Tendering/OpportunityDetail/Index?noticeUID=CO1.NTC.10320623" TargetMode="External"/><Relationship Id="rId95" Type="http://schemas.openxmlformats.org/officeDocument/2006/relationships/hyperlink" Target="https://community.secop.gov.co/Public/Tendering/ContractNoticeManagement/Index?currentLanguage=es-CO&amp;Page=login&amp;Country=CO&amp;SkinName=CCE" TargetMode="External"/><Relationship Id="rId19" Type="http://schemas.openxmlformats.org/officeDocument/2006/relationships/hyperlink" Target="https://community.secop.gov.co/Public/Tendering/ContractNoticeManagement/Index?currentLanguage=es-CO&amp;Page=login&amp;Country=CO&amp;SkinName=CCE" TargetMode="External"/><Relationship Id="rId14" Type="http://schemas.openxmlformats.org/officeDocument/2006/relationships/hyperlink" Target="https://community.secop.gov.co/Public/Tendering/ContractNoticeManagement/Index?currentLanguage=es-CO&amp;Page=login&amp;Country=CO&amp;SkinName=CCE" TargetMode="External"/><Relationship Id="rId22" Type="http://schemas.openxmlformats.org/officeDocument/2006/relationships/hyperlink" Target="https://community.secop.gov.co/Public/Tendering/ContractNoticeManagement/Index?currentLanguage=es-CO&amp;Page=login&amp;Country=CO&amp;SkinName=CCE" TargetMode="External"/><Relationship Id="rId27" Type="http://schemas.openxmlformats.org/officeDocument/2006/relationships/hyperlink" Target="https://community.secop.gov.co/Public/Tendering/ContractNoticeManagement/Index?currentLanguage=es-CO&amp;Page=login&amp;Country=CO&amp;SkinName=CCE" TargetMode="External"/><Relationship Id="rId30" Type="http://schemas.openxmlformats.org/officeDocument/2006/relationships/hyperlink" Target="https://community.secop.gov.co/Public/Tendering/ContractNoticeManagement/Index?currentLanguage=es-CO&amp;Page=login&amp;Country=CO&amp;SkinName=CCE" TargetMode="External"/><Relationship Id="rId35" Type="http://schemas.openxmlformats.org/officeDocument/2006/relationships/hyperlink" Target="https://community.secop.gov.co/Public/Tendering/OpportunityDetail/Index?noticeUID=CO1.NTC.10968756&amp;isFromPublicArea=True&amp;isModal=False" TargetMode="External"/><Relationship Id="rId43" Type="http://schemas.openxmlformats.org/officeDocument/2006/relationships/hyperlink" Target="https://community.secop.gov.co/Public/Tendering/OpportunityDetail/Index?noticeUID=CO1.NTC.10738624&amp;isFromPublicArea=True&amp;isModal=False" TargetMode="External"/><Relationship Id="rId48" Type="http://schemas.openxmlformats.org/officeDocument/2006/relationships/hyperlink" Target="https://community.secop.gov.co/Public/Tendering/OpportunityDetail/Index?noticeUID=CO1.NTC.10278831&amp;isFromPublicArea=True&amp;isModal=False" TargetMode="External"/><Relationship Id="rId56" Type="http://schemas.openxmlformats.org/officeDocument/2006/relationships/hyperlink" Target="https://community.secop.gov.co/Public/Tendering/OpportunityDetail/Index?noticeUID=CO1.NTC.7965348" TargetMode="External"/><Relationship Id="rId64" Type="http://schemas.openxmlformats.org/officeDocument/2006/relationships/hyperlink" Target="https://community.secop.gov.co/Public/Tendering/ContractNoticeManagement/Index?currentLanguage=es-CO&amp;Page=login&amp;Country=CO&amp;SkinName=CCE" TargetMode="External"/><Relationship Id="rId69" Type="http://schemas.openxmlformats.org/officeDocument/2006/relationships/hyperlink" Target="https://operaciones.colombiacompra.gov.co/tienda-virtual-del-estado-colombiano/ordenes-compra/168646/1" TargetMode="External"/><Relationship Id="rId77" Type="http://schemas.openxmlformats.org/officeDocument/2006/relationships/hyperlink" Target="https://community.secop.gov.co/Public/Tendering/ContractNoticeManagement/Index?currentLanguage=es-CO&amp;Page=login&amp;Country=CO&amp;SkinName=CCE" TargetMode="External"/><Relationship Id="rId100" Type="http://schemas.openxmlformats.org/officeDocument/2006/relationships/hyperlink" Target="https://community.secop.gov.co/Public/Tendering/ContractNoticeManagement/Index?currentLanguage=es-CO&amp;Page=login&amp;Country=CO&amp;SkinName=CCE" TargetMode="External"/><Relationship Id="rId105" Type="http://schemas.openxmlformats.org/officeDocument/2006/relationships/hyperlink" Target="https://community.secop.gov.co/Public/Tendering/ContractNoticeManagement/Index?currentLanguage=es-CO&amp;Page=login&amp;Country=CO&amp;SkinName=CCE" TargetMode="External"/><Relationship Id="rId113" Type="http://schemas.openxmlformats.org/officeDocument/2006/relationships/hyperlink" Target="https://www.mercadolibre.com.co/otoscopio-fibra-optica-luz-led-gmd--invima--envio-gratis/up/MCOU2432291030" TargetMode="External"/><Relationship Id="rId118" Type="http://schemas.openxmlformats.org/officeDocument/2006/relationships/hyperlink" Target="https://community.secop.gov.co/Public/Tendering/OpportunityDetail/Index?noticeUID=CO1.NTC.8448892" TargetMode="External"/><Relationship Id="rId8" Type="http://schemas.openxmlformats.org/officeDocument/2006/relationships/hyperlink" Target="https://community.secop.gov.co/Public/Tendering/ContractNoticeManagement/Index?currentLanguage=es-CO&amp;Page=login&amp;Country=CO&amp;SkinName=CCE" TargetMode="External"/><Relationship Id="rId51" Type="http://schemas.openxmlformats.org/officeDocument/2006/relationships/hyperlink" Target="https://community.secop.gov.co/Public/Tendering/OpportunityDetail/Index?noticeUID=CO1.NTC.10738624&amp;isFromPublicArea=True&amp;isModal=False" TargetMode="External"/><Relationship Id="rId72" Type="http://schemas.openxmlformats.org/officeDocument/2006/relationships/hyperlink" Target="https://community.secop.gov.co/Public/Tendering/ContractNoticeManagement/Index?currentLanguage=es-CO&amp;Page=login&amp;Country=CO&amp;SkinName=CCE" TargetMode="External"/><Relationship Id="rId80" Type="http://schemas.openxmlformats.org/officeDocument/2006/relationships/hyperlink" Target="https://community.secop.gov.co/Public/Tendering/ContractNoticeManagement/Index?currentLanguage=es-CO&amp;Page=login&amp;Country=CO&amp;SkinName=CCE" TargetMode="External"/><Relationship Id="rId85" Type="http://schemas.openxmlformats.org/officeDocument/2006/relationships/hyperlink" Target="https://community.secop.gov.co/Public/Tendering/ContractNoticeManagement/Index?currentLanguage=es-CO&amp;Page=login&amp;Country=CO&amp;SkinName=CCE" TargetMode="External"/><Relationship Id="rId93" Type="http://schemas.openxmlformats.org/officeDocument/2006/relationships/hyperlink" Target="https://community.secop.gov.co/Public/Tendering/ContractNoticeManagement/Index?currentLanguage=es-CO&amp;Page=login&amp;Country=CO&amp;SkinName=CCE" TargetMode="External"/><Relationship Id="rId98" Type="http://schemas.openxmlformats.org/officeDocument/2006/relationships/hyperlink" Target="https://operaciones.colombiacompra.gov.co/tienda-virtual-del-estado-colombiano/ordenes-compra/166923" TargetMode="External"/><Relationship Id="rId121" Type="http://schemas.openxmlformats.org/officeDocument/2006/relationships/hyperlink" Target="https://community.secop.gov.co/Public/Tendering/OpportunityDetail/Index?noticeUID=CO1.NTC.11013653" TargetMode="External"/><Relationship Id="rId3" Type="http://schemas.openxmlformats.org/officeDocument/2006/relationships/hyperlink" Target="https://community.secop.gov.co/Public/Tendering/ContractNoticeManagement/Index?currentLanguage=es-CO&amp;Page=login&amp;Country=CO&amp;SkinName=CCE" TargetMode="External"/><Relationship Id="rId12" Type="http://schemas.openxmlformats.org/officeDocument/2006/relationships/hyperlink" Target="https://community.secop.gov.co/Public/Tendering/ContractNoticeManagement/Index?currentLanguage=es-CO&amp;Page=login&amp;Country=CO&amp;SkinName=CCE" TargetMode="External"/><Relationship Id="rId17" Type="http://schemas.openxmlformats.org/officeDocument/2006/relationships/hyperlink" Target="https://community.secop.gov.co/Public/Tendering/ContractNoticeManagement/Index?currentLanguage=es-CO&amp;Page=login&amp;Country=CO&amp;SkinName=CCE" TargetMode="External"/><Relationship Id="rId25" Type="http://schemas.openxmlformats.org/officeDocument/2006/relationships/hyperlink" Target="https://community.secop.gov.co/Public/Tendering/OpportunityDetail/Index?noticeUID=CO1.NTC.10888899&amp;isFromPublicArea=True&amp;isModal=False" TargetMode="External"/><Relationship Id="rId33" Type="http://schemas.openxmlformats.org/officeDocument/2006/relationships/hyperlink" Target="https://community.secop.gov.co/Public/Tendering/ContractNoticeManagement/Index?currentLanguage=es-CO&amp;Page=login&amp;Country=CO&amp;SkinName=CCE" TargetMode="External"/><Relationship Id="rId38" Type="http://schemas.openxmlformats.org/officeDocument/2006/relationships/hyperlink" Target="https://community.secop.gov.co/Public/Tendering/OpportunityDetail/Index?noticeUID=CO1.NTC.10968756&amp;isFromPublicArea=True&amp;isModal=False" TargetMode="External"/><Relationship Id="rId46" Type="http://schemas.openxmlformats.org/officeDocument/2006/relationships/hyperlink" Target="https://community.secop.gov.co/Public/Tendering/ContractNoticeManagement/Index?currentLanguage=es-CO&amp;Page=login&amp;Country=CO&amp;SkinName=CCE" TargetMode="External"/><Relationship Id="rId59" Type="http://schemas.openxmlformats.org/officeDocument/2006/relationships/hyperlink" Target="https://community.secop.gov.co/Public/Tendering/OpportunityDetail/Index?noticeUID=CO1.NTC.8448892" TargetMode="External"/><Relationship Id="rId67" Type="http://schemas.openxmlformats.org/officeDocument/2006/relationships/hyperlink" Target="https://community.secop.gov.co/Public/Tendering/ContractNoticeManagement/Index?currentLanguage=es-CO&amp;Page=login&amp;Country=CO&amp;SkinName=CCE" TargetMode="External"/><Relationship Id="rId103" Type="http://schemas.openxmlformats.org/officeDocument/2006/relationships/hyperlink" Target="https://community.secop.gov.co/Public/Tendering/ContractNoticeManagement/Index?currentLanguage=es-CO&amp;Page=login&amp;Country=CO&amp;SkinName=CCE" TargetMode="External"/><Relationship Id="rId108" Type="http://schemas.openxmlformats.org/officeDocument/2006/relationships/hyperlink" Target="https://community.secop.gov.co/Public/Tendering/ContractNoticeManagement/Index?currentLanguage=es-CO&amp;Page=login&amp;Country=CO&amp;SkinName=CCE" TargetMode="External"/><Relationship Id="rId116" Type="http://schemas.openxmlformats.org/officeDocument/2006/relationships/hyperlink" Target="https://community.secop.gov.co/Public/Tendering/OpportunityDetail/Index?noticeUID=CO1.NTC.10738624&amp;isFromPublicArea=True&amp;isModal=False" TargetMode="External"/><Relationship Id="rId124" Type="http://schemas.openxmlformats.org/officeDocument/2006/relationships/hyperlink" Target="https://community.secop.gov.co/Public/Tendering/ContractNoticeManagement/Index?currentLanguage=es-CO&amp;Page=login&amp;Country=CO&amp;SkinName=CCE" TargetMode="External"/><Relationship Id="rId20" Type="http://schemas.openxmlformats.org/officeDocument/2006/relationships/hyperlink" Target="https://community.secop.gov.co/Public/Tendering/ContractNoticeManagement/Index?currentLanguage=es-CO&amp;Page=login&amp;Country=CO&amp;SkinName=CCE" TargetMode="External"/><Relationship Id="rId41" Type="http://schemas.openxmlformats.org/officeDocument/2006/relationships/hyperlink" Target="https://community.secop.gov.co/Public/Tendering/ContractNoticeManagement/Index?currentLanguage=es-CO&amp;Page=login&amp;Country=CO&amp;SkinName=CCE" TargetMode="External"/><Relationship Id="rId54" Type="http://schemas.openxmlformats.org/officeDocument/2006/relationships/hyperlink" Target="https://community.secop.gov.co/Public/Tendering/OpportunityDetail/Index?noticeUID=CO1.NTC.10320623" TargetMode="External"/><Relationship Id="rId62" Type="http://schemas.openxmlformats.org/officeDocument/2006/relationships/hyperlink" Target="https://community.secop.gov.co/Public/Tendering/ContractNoticeManagement/Index?currentLanguage=es-CO&amp;Page=login&amp;Country=CO&amp;SkinName=CCE" TargetMode="External"/><Relationship Id="rId70" Type="http://schemas.openxmlformats.org/officeDocument/2006/relationships/hyperlink" Target="https://operaciones.colombiacompra.gov.co/tienda-virtual-del-estado-colombiano/ordenes-compra/163931" TargetMode="External"/><Relationship Id="rId75" Type="http://schemas.openxmlformats.org/officeDocument/2006/relationships/hyperlink" Target="https://community.secop.gov.co/Public/Tendering/ContractNoticeManagement/Index?currentLanguage=es-CO&amp;Page=login&amp;Country=CO&amp;SkinName=CCE" TargetMode="External"/><Relationship Id="rId83" Type="http://schemas.openxmlformats.org/officeDocument/2006/relationships/hyperlink" Target="https://operaciones.colombiacompra.gov.co/tienda-virtual-del-estado-colombiano/ordenes-compra/168817" TargetMode="External"/><Relationship Id="rId88" Type="http://schemas.openxmlformats.org/officeDocument/2006/relationships/hyperlink" Target="https://community.secop.gov.co/Public/Tendering/OpportunityDetail/Index?noticeUID=CO1.NTC.10320623" TargetMode="External"/><Relationship Id="rId91" Type="http://schemas.openxmlformats.org/officeDocument/2006/relationships/hyperlink" Target="https://community.secop.gov.co/Public/Tendering/OpportunityDetail/Index?noticeUID=CO1.NTC.10320623" TargetMode="External"/><Relationship Id="rId96" Type="http://schemas.openxmlformats.org/officeDocument/2006/relationships/hyperlink" Target="https://operaciones.colombiacompra.gov.co/tienda-virtual-del-estado-colombiano/ordenes-compra/162208" TargetMode="External"/><Relationship Id="rId111" Type="http://schemas.openxmlformats.org/officeDocument/2006/relationships/hyperlink" Target="https://community.secop.gov.co/Public/Tendering/OpportunityDetail/Index?noticeUID=CO1.NTC.10738624&amp;isFromPublicArea=True&amp;isModal=False" TargetMode="External"/><Relationship Id="rId1" Type="http://schemas.openxmlformats.org/officeDocument/2006/relationships/hyperlink" Target="https://community.secop.gov.co/Public/Tendering/ContractNoticeManagement/Index?currentLanguage=es-CO&amp;Page=login&amp;Country=CO&amp;SkinName=CCE" TargetMode="External"/><Relationship Id="rId6" Type="http://schemas.openxmlformats.org/officeDocument/2006/relationships/hyperlink" Target="https://community.secop.gov.co/Public/Tendering/ContractNoticeManagement/Index?currentLanguage=es-CO&amp;Page=login&amp;Country=CO&amp;SkinName=CCE" TargetMode="External"/><Relationship Id="rId15" Type="http://schemas.openxmlformats.org/officeDocument/2006/relationships/hyperlink" Target="https://community.secop.gov.co/Public/Tendering/ContractNoticeManagement/Index?currentLanguage=es-CO&amp;Page=login&amp;Country=CO&amp;SkinName=CCE" TargetMode="External"/><Relationship Id="rId23" Type="http://schemas.openxmlformats.org/officeDocument/2006/relationships/hyperlink" Target="https://community.secop.gov.co/Public/Tendering/ContractNoticeManagement/Index?currentLanguage=es-CO&amp;Page=login&amp;Country=CO&amp;SkinName=CCE" TargetMode="External"/><Relationship Id="rId28" Type="http://schemas.openxmlformats.org/officeDocument/2006/relationships/hyperlink" Target="https://community.secop.gov.co/Public/Tendering/OpportunityDetail/Index?noticeUID=CO1.NTC.10968756&amp;isFromPublicArea=True&amp;isModal=False" TargetMode="External"/><Relationship Id="rId36" Type="http://schemas.openxmlformats.org/officeDocument/2006/relationships/hyperlink" Target="https://community.secop.gov.co/Public/Tendering/OpportunityDetail/Index?noticeUID=CO1.NTC.10968756&amp;isFromPublicArea=True&amp;isModal=False" TargetMode="External"/><Relationship Id="rId49" Type="http://schemas.openxmlformats.org/officeDocument/2006/relationships/hyperlink" Target="https://community.secop.gov.co/Public/Tendering/ContractNoticeManagement/Index?currentLanguage=es-CO&amp;Page=login&amp;Country=CO&amp;SkinName=CCE" TargetMode="External"/><Relationship Id="rId57" Type="http://schemas.openxmlformats.org/officeDocument/2006/relationships/hyperlink" Target="https://community.secop.gov.co/Public/Tendering/OpportunityDetail/Index?noticeUID=CO1.NTC.7965348" TargetMode="External"/><Relationship Id="rId106" Type="http://schemas.openxmlformats.org/officeDocument/2006/relationships/hyperlink" Target="https://community.secop.gov.co/Public/Tendering/ContractNoticeManagement/Index?currentLanguage=es-CO&amp;Page=login&amp;Country=CO&amp;SkinName=CCE" TargetMode="External"/><Relationship Id="rId114" Type="http://schemas.openxmlformats.org/officeDocument/2006/relationships/hyperlink" Target="https://sendaigroup.com.co/products/otoscopio-gmd-equipo-diagnostico" TargetMode="External"/><Relationship Id="rId119" Type="http://schemas.openxmlformats.org/officeDocument/2006/relationships/hyperlink" Target="https://community.secop.gov.co/Public/Tendering/OpportunityDetail/Index?noticeUID=CO1.NTC.8448892" TargetMode="External"/><Relationship Id="rId10" Type="http://schemas.openxmlformats.org/officeDocument/2006/relationships/hyperlink" Target="https://community.secop.gov.co/Public/Tendering/ContractNoticeManagement/Index?currentLanguage=es-CO&amp;Page=login&amp;Country=CO&amp;SkinName=CCE" TargetMode="External"/><Relationship Id="rId31" Type="http://schemas.openxmlformats.org/officeDocument/2006/relationships/hyperlink" Target="https://community.secop.gov.co/Public/Tendering/OpportunityDetail/Index?noticeUID=CO1.NTC.10968756&amp;isFromPublicArea=True&amp;isModal=False" TargetMode="External"/><Relationship Id="rId44" Type="http://schemas.openxmlformats.org/officeDocument/2006/relationships/hyperlink" Target="https://community.secop.gov.co/Public/Tendering/OpportunityDetail/Index?noticeUID=CO1.NTC.10738624&amp;isFromPublicArea=True&amp;isModal=False" TargetMode="External"/><Relationship Id="rId52" Type="http://schemas.openxmlformats.org/officeDocument/2006/relationships/hyperlink" Target="https://community.secop.gov.co/Public/Tendering/OpportunityDetail/Index?noticeUID=CO1.NTC.10738624&amp;isFromPublicArea=True&amp;isModal=False" TargetMode="External"/><Relationship Id="rId60" Type="http://schemas.openxmlformats.org/officeDocument/2006/relationships/hyperlink" Target="https://community.secop.gov.co/Public/Tendering/OpportunityDetail/Index?noticeUID=CO1.NTC.11013653" TargetMode="External"/><Relationship Id="rId65" Type="http://schemas.openxmlformats.org/officeDocument/2006/relationships/hyperlink" Target="https://community.secop.gov.co/Public/Tendering/ContractNoticeManagement/Index?currentLanguage=es-CO&amp;Page=login&amp;Country=CO&amp;SkinName=CCE" TargetMode="External"/><Relationship Id="rId73" Type="http://schemas.openxmlformats.org/officeDocument/2006/relationships/hyperlink" Target="https://community.secop.gov.co/Public/Tendering/ContractNoticeManagement/Index?currentLanguage=es-CO&amp;Page=login&amp;Country=CO&amp;SkinName=CCE" TargetMode="External"/><Relationship Id="rId78" Type="http://schemas.openxmlformats.org/officeDocument/2006/relationships/hyperlink" Target="https://community.secop.gov.co/Public/Tendering/ContractNoticeManagement/Index?currentLanguage=es-CO&amp;Page=login&amp;Country=CO&amp;SkinName=CCE" TargetMode="External"/><Relationship Id="rId81" Type="http://schemas.openxmlformats.org/officeDocument/2006/relationships/hyperlink" Target="https://community.secop.gov.co/Public/Tendering/ContractNoticeManagement/Index?currentLanguage=es-CO&amp;Page=login&amp;Country=CO&amp;SkinName=CCE" TargetMode="External"/><Relationship Id="rId86" Type="http://schemas.openxmlformats.org/officeDocument/2006/relationships/hyperlink" Target="https://community.secop.gov.co/Public/Tendering/OpportunityDetail/Index?noticeUID=CO1.NTC.10738624&amp;isFromPublicArea=True&amp;isModal=False" TargetMode="External"/><Relationship Id="rId94" Type="http://schemas.openxmlformats.org/officeDocument/2006/relationships/hyperlink" Target="https://community.secop.gov.co/Public/Tendering/ContractNoticeManagement/Index?currentLanguage=es-CO&amp;Page=login&amp;Country=CO&amp;SkinName=CCE" TargetMode="External"/><Relationship Id="rId99" Type="http://schemas.openxmlformats.org/officeDocument/2006/relationships/hyperlink" Target="https://operaciones.colombiacompra.gov.co/tienda-virtual-del-estado-colombiano/ordenes-compra/159693" TargetMode="External"/><Relationship Id="rId101" Type="http://schemas.openxmlformats.org/officeDocument/2006/relationships/hyperlink" Target="https://community.secop.gov.co/Public/Tendering/ContractNoticeManagement/Index?currentLanguage=es-CO&amp;Page=login&amp;Country=CO&amp;SkinName=CCE" TargetMode="External"/><Relationship Id="rId122" Type="http://schemas.openxmlformats.org/officeDocument/2006/relationships/hyperlink" Target="https://community.secop.gov.co/Public/Tendering/OpportunityDetail/Index?noticeUID=CO1.NTC.11013653" TargetMode="External"/><Relationship Id="rId4" Type="http://schemas.openxmlformats.org/officeDocument/2006/relationships/hyperlink" Target="https://community.secop.gov.co/Public/Tendering/ContractNoticeManagement/Index?currentLanguage=es-CO&amp;Page=login&amp;Country=CO&amp;SkinName=CCE" TargetMode="External"/><Relationship Id="rId9" Type="http://schemas.openxmlformats.org/officeDocument/2006/relationships/hyperlink" Target="https://community.secop.gov.co/Public/Tendering/ContractNoticeManagement/Index?currentLanguage=es-CO&amp;Page=login&amp;Country=CO&amp;SkinName=CCE" TargetMode="External"/><Relationship Id="rId13" Type="http://schemas.openxmlformats.org/officeDocument/2006/relationships/hyperlink" Target="https://community.secop.gov.co/Public/Tendering/ContractNoticeManagement/Index?currentLanguage=es-CO&amp;Page=login&amp;Country=CO&amp;SkinName=CCE" TargetMode="External"/><Relationship Id="rId18" Type="http://schemas.openxmlformats.org/officeDocument/2006/relationships/hyperlink" Target="https://community.secop.gov.co/Public/Tendering/ContractNoticeManagement/Index?currentLanguage=es-CO&amp;Page=login&amp;Country=CO&amp;SkinName=CCE" TargetMode="External"/><Relationship Id="rId39" Type="http://schemas.openxmlformats.org/officeDocument/2006/relationships/hyperlink" Target="https://community.secop.gov.co/Public/Tendering/OpportunityDetail/Index?noticeUID=CO1.NTC.10738624&amp;isFromPublicArea=True&amp;isModal=False" TargetMode="External"/><Relationship Id="rId109" Type="http://schemas.openxmlformats.org/officeDocument/2006/relationships/hyperlink" Target="https://community.secop.gov.co/Public/Tendering/OpportunityDetail/Index?noticeUID=CO1.NTC.10738624&amp;isFromPublicArea=True&amp;isModal=False" TargetMode="External"/><Relationship Id="rId34" Type="http://schemas.openxmlformats.org/officeDocument/2006/relationships/hyperlink" Target="https://community.secop.gov.co/Public/Tendering/ContractNoticeManagement/Index?currentLanguage=es-CO&amp;Page=login&amp;Country=CO&amp;SkinName=CCE" TargetMode="External"/><Relationship Id="rId50" Type="http://schemas.openxmlformats.org/officeDocument/2006/relationships/hyperlink" Target="https://community.secop.gov.co/Public/Tendering/OpportunityDetail/Index?noticeUID=CO1.NTC.10738624&amp;isFromPublicArea=True&amp;isModal=False" TargetMode="External"/><Relationship Id="rId55" Type="http://schemas.openxmlformats.org/officeDocument/2006/relationships/hyperlink" Target="https://community.secop.gov.co/Public/Tendering/OpportunityDetail/Index?noticeUID=CO1.NTC.10320623" TargetMode="External"/><Relationship Id="rId76" Type="http://schemas.openxmlformats.org/officeDocument/2006/relationships/hyperlink" Target="https://community.secop.gov.co/Public/Tendering/ContractNoticeManagement/Index?currentLanguage=es-CO&amp;Page=login&amp;Country=CO&amp;SkinName=CCE" TargetMode="External"/><Relationship Id="rId97" Type="http://schemas.openxmlformats.org/officeDocument/2006/relationships/hyperlink" Target="https://community.secop.gov.co/Public/Tendering/OpportunityDetail/Index?noticeUID=CO1.NTC.10738624&amp;isFromPublicArea=True&amp;isModal=False" TargetMode="External"/><Relationship Id="rId104" Type="http://schemas.openxmlformats.org/officeDocument/2006/relationships/hyperlink" Target="https://community.secop.gov.co/Public/Tendering/ContractNoticeManagement/Index?currentLanguage=es-CO&amp;Page=login&amp;Country=CO&amp;SkinName=CCE" TargetMode="External"/><Relationship Id="rId120" Type="http://schemas.openxmlformats.org/officeDocument/2006/relationships/hyperlink" Target="https://community.secop.gov.co/Public/Tendering/OpportunityDetail/Index?noticeUID=CO1.NTC.11013653" TargetMode="External"/><Relationship Id="rId125" Type="http://schemas.openxmlformats.org/officeDocument/2006/relationships/printerSettings" Target="../printerSettings/printerSettings1.bin"/><Relationship Id="rId7" Type="http://schemas.openxmlformats.org/officeDocument/2006/relationships/hyperlink" Target="https://community.secop.gov.co/Public/Tendering/ContractNoticeManagement/Index?currentLanguage=es-CO&amp;Page=login&amp;Country=CO&amp;SkinName=CCE" TargetMode="External"/><Relationship Id="rId71" Type="http://schemas.openxmlformats.org/officeDocument/2006/relationships/hyperlink" Target="https://community.secop.gov.co/Public/Tendering/ContractNoticeManagement/Index?currentLanguage=es-CO&amp;Page=login&amp;Country=CO&amp;SkinName=CCE" TargetMode="External"/><Relationship Id="rId92"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s://community.secop.gov.co/Public/Tendering/ContractNoticeManagement/Index?currentLanguage=es-CO&amp;Page=login&amp;Country=CO&amp;SkinName=CCE" TargetMode="External"/><Relationship Id="rId29" Type="http://schemas.openxmlformats.org/officeDocument/2006/relationships/hyperlink" Target="file:///C:\Users\DIANA%20CAROLINA\Downloads\SMUEG-SA-SU-210-2026community.secop.gov.co\Public\Tendering\ContractNoticeManagement\Index%3fcurrentLanguage=es-CO&amp;Page=login&amp;Country=CO&amp;SkinName=CCE" TargetMode="External"/><Relationship Id="rId24" Type="http://schemas.openxmlformats.org/officeDocument/2006/relationships/hyperlink" Target="https://community.secop.gov.co/Public/Tendering/OpportunityDetail/Index?noticeUID=CO1.NTC.10888899&amp;isFromPublicArea=True&amp;isModal=False" TargetMode="External"/><Relationship Id="rId40" Type="http://schemas.openxmlformats.org/officeDocument/2006/relationships/hyperlink" Target="https://community.secop.gov.co/Public/Tendering/OpportunityDetail/Index?noticeUID=CO1.NTC.10738624&amp;isFromPublicArea=True&amp;isModal=False" TargetMode="External"/><Relationship Id="rId45" Type="http://schemas.openxmlformats.org/officeDocument/2006/relationships/hyperlink" Target="https://community.secop.gov.co/Public/Tendering/OpportunityDetail/Index?noticeUID=CO1.NTC.10738624&amp;isFromPublicArea=True&amp;isModal=False" TargetMode="External"/><Relationship Id="rId66" Type="http://schemas.openxmlformats.org/officeDocument/2006/relationships/hyperlink" Target="https://community.secop.gov.co/Public/Tendering/ContractNoticeManagement/Index?currentLanguage=es-CO&amp;Page=login&amp;Country=CO&amp;SkinName=CCE" TargetMode="External"/><Relationship Id="rId87" Type="http://schemas.openxmlformats.org/officeDocument/2006/relationships/hyperlink" Target="https://community.secop.gov.co/Public/Tendering/ContractNoticeManagement/Index?currentLanguage=es-CO&amp;Page=login&amp;Country=CO&amp;SkinName=CCE" TargetMode="External"/><Relationship Id="rId110" Type="http://schemas.openxmlformats.org/officeDocument/2006/relationships/hyperlink" Target="https://community.secop.gov.co/Public/Tendering/ContractNoticeManagement/Index?currentLanguage=es-CO&amp;Page=login&amp;Country=CO&amp;SkinName=CCE" TargetMode="External"/><Relationship Id="rId115" Type="http://schemas.openxmlformats.org/officeDocument/2006/relationships/hyperlink" Target="https://www.mercadolibre.com.co/otoscopio-fibra-optica-luz-led-gmd--invima--envio-gratis/up/MCOU2432291030"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contraloriabogota.gov.co/sites/default/files/2025-12/Anexo%20del%20AVISO%20DP%201284%20-%202025%20%28Respuesta%29_0.pdf" TargetMode="External"/><Relationship Id="rId13" Type="http://schemas.openxmlformats.org/officeDocument/2006/relationships/hyperlink" Target="https://www.cuidateenfamilia.com/toallas-de-manos-desechables-familia-green-70284/p" TargetMode="External"/><Relationship Id="rId3" Type="http://schemas.openxmlformats.org/officeDocument/2006/relationships/hyperlink" Target="https://www.pamo.co/products/dispensador-jabon-1000-ml-acero-inoxidable-304-institucional-alta-calidad" TargetMode="External"/><Relationship Id="rId7" Type="http://schemas.openxmlformats.org/officeDocument/2006/relationships/hyperlink" Target="https://www.contraloriabogota.gov.co/sites/default/files/2025-12/Anexo%20del%20AVISO%20DP%201284%20-%202025%20%28Respuesta%29_0.pdf" TargetMode="External"/><Relationship Id="rId12" Type="http://schemas.openxmlformats.org/officeDocument/2006/relationships/hyperlink" Target="https://www.tork.com.co/toallas-de-manos/tork-xpress-toalla-de-manos-doblada-en-z-advanced-blanca-150-toallas-24-fajos-1/" TargetMode="External"/><Relationship Id="rId2" Type="http://schemas.openxmlformats.org/officeDocument/2006/relationships/hyperlink" Target="https://www.kipclin.com/aseo-personal/ver-todo-aseo-personal/dispensador-de-jabon-liquido-1-l-83510.html" TargetMode="External"/><Relationship Id="rId16" Type="http://schemas.openxmlformats.org/officeDocument/2006/relationships/hyperlink" Target="https://colombia.generadordeprecios.info/presto-equip/obra_nueva/Senalizacion_y_equipamiento/Banos/Dosificadores_de_jabon/Dosificador_mural_de_jabon_liquido_0_1_0_0_1_0_0_0_0_0.html" TargetMode="External"/><Relationship Id="rId1" Type="http://schemas.openxmlformats.org/officeDocument/2006/relationships/hyperlink" Target="https://www.homecenter.com.co/" TargetMode="External"/><Relationship Id="rId6" Type="http://schemas.openxmlformats.org/officeDocument/2006/relationships/hyperlink" Target="https://www.contraloriabogota.gov.co/sites/default/files/2025-12/Anexo%20del%20AVISO%20DP%201284%20-%202025%20%28Respuesta%29_0.pdf" TargetMode="External"/><Relationship Id="rId11" Type="http://schemas.openxmlformats.org/officeDocument/2006/relationships/hyperlink" Target="https://www.detercol.com/jabon-liquido-antibacterial-para-manos-y-cuerpo-neutro-galon-3800-ml.html" TargetMode="External"/><Relationship Id="rId5" Type="http://schemas.openxmlformats.org/officeDocument/2006/relationships/hyperlink" Target="https://www.contraloriabogota.gov.co/sites/default/files/2025-12/Anexo%20del%20AVISO%20DP%201284%20-%202025%20%28Respuesta%29_0.pdf" TargetMode="External"/><Relationship Id="rId15" Type="http://schemas.openxmlformats.org/officeDocument/2006/relationships/hyperlink" Target="https://colombia.generadordeprecios.info/presto-equip/obra_nueva/Senalizacion_y_equipamiento/Banos/Dosificadores_de_jabon/Dosificador_mural_de_jabon_liquido_0_1_0_0_1_0_0_0_0_0.html" TargetMode="External"/><Relationship Id="rId10" Type="http://schemas.openxmlformats.org/officeDocument/2006/relationships/hyperlink" Target="https://www.mercadolibre.com.co/dispensador-jabon-liquido-1000-ml-manual-pared-recargable/up/MCOU5334067372" TargetMode="External"/><Relationship Id="rId4" Type="http://schemas.openxmlformats.org/officeDocument/2006/relationships/hyperlink" Target="https://tamescolombia.com.co/" TargetMode="External"/><Relationship Id="rId9" Type="http://schemas.openxmlformats.org/officeDocument/2006/relationships/hyperlink" Target="https://www.homecenter.com.co/homecenter-co/product/3014250/dispensador-xpert-professional-para-frasco-jabon-gel-antibacterial-shampoo-de-1000-ml-color-blanco/3014250/" TargetMode="External"/><Relationship Id="rId14" Type="http://schemas.openxmlformats.org/officeDocument/2006/relationships/hyperlink" Target="https://colombia.generadordeprecios.info/presto-equip/obra_nueva/Senalizacion_y_equipamiento/Banos/Dosificadores_de_jabon/Dosificador_mural_de_jabon_liquido_0_1_0_0_1_0_0_0_0_0.html"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mepal.com.co/producto/silla-ejecutiva-axis-b3d/" TargetMode="External"/><Relationship Id="rId13" Type="http://schemas.openxmlformats.org/officeDocument/2006/relationships/hyperlink" Target="https://coimpormedica.com/producto/estetoscopio-duplex-2-0-aluminio/" TargetMode="External"/><Relationship Id="rId18" Type="http://schemas.openxmlformats.org/officeDocument/2006/relationships/hyperlink" Target="https://medicolsa.com.co/inicio/893-tallimetro-con-base-de-piso-adulto-pediatrico-hm200p-charder-medical.html?utm_source=chatgpt.com" TargetMode="External"/><Relationship Id="rId3" Type="http://schemas.openxmlformats.org/officeDocument/2006/relationships/hyperlink" Target="https://indupro.com.co/productos/tablero-acrilico-borrable-fondo-diseno/?utm" TargetMode="External"/><Relationship Id="rId7" Type="http://schemas.openxmlformats.org/officeDocument/2006/relationships/hyperlink" Target="https://www.mepal.com.co/producto/escritorio-de-trabajo-tipo-bench-koncisa-plus-1-persona-120x60/" TargetMode="External"/><Relationship Id="rId12" Type="http://schemas.openxmlformats.org/officeDocument/2006/relationships/hyperlink" Target="https://medicolsa.com.co/inicio/495-camilla-divan-fijo-para-examen.html?utm_source=chatgpt.com" TargetMode="External"/><Relationship Id="rId17" Type="http://schemas.openxmlformats.org/officeDocument/2006/relationships/hyperlink" Target="https://jelt.com.co/products/termometro-digital-infrarrojo" TargetMode="External"/><Relationship Id="rId2" Type="http://schemas.openxmlformats.org/officeDocument/2006/relationships/hyperlink" Target="https://www.alkosto.com/tv-tcl-55-pulgadas-139-cm-55p7l-4k-uhd-qled-tv-smart-tv/p/6937574837531?utm_" TargetMode="External"/><Relationship Id="rId16" Type="http://schemas.openxmlformats.org/officeDocument/2006/relationships/hyperlink" Target="https://www.fisiostoreonline.com.co/product/oximetro-adulto-marca-gmd-500e" TargetMode="External"/><Relationship Id="rId1" Type="http://schemas.openxmlformats.org/officeDocument/2006/relationships/hyperlink" Target="https://www.homecenter.com.co/homecenter-co/product/3040411/pantalla-para-proyector-automatica-de-100-pulgadas-pro-020/3040411/" TargetMode="External"/><Relationship Id="rId6" Type="http://schemas.openxmlformats.org/officeDocument/2006/relationships/hyperlink" Target="https://www.homecenter.com.co/homecenter-co/product/796045/silla-plastica-ergonomus-varillada-de-polipropileno-beige/796045/" TargetMode="External"/><Relationship Id="rId11" Type="http://schemas.openxmlformats.org/officeDocument/2006/relationships/hyperlink" Target="https://superaudio.com.co/producto/uhf-35m/" TargetMode="External"/><Relationship Id="rId5" Type="http://schemas.openxmlformats.org/officeDocument/2006/relationships/hyperlink" Target="https://www.homecenter.com.co/homecenter-co/product/317175/mesa-plegable-tipo-portafolio-plastica-180x75cm-blanca/317175/" TargetMode="External"/><Relationship Id="rId15" Type="http://schemas.openxmlformats.org/officeDocument/2006/relationships/hyperlink" Target="https://www.mercadolibre.com.co/tensiometro-digital-kardyo500-gmd/up/MCOU4017037557" TargetMode="External"/><Relationship Id="rId10" Type="http://schemas.openxmlformats.org/officeDocument/2006/relationships/hyperlink" Target="https://superaudio.com.co/producto/psa-15a-sys-pro-dj/" TargetMode="External"/><Relationship Id="rId19" Type="http://schemas.openxmlformats.org/officeDocument/2006/relationships/printerSettings" Target="../printerSettings/printerSettings2.bin"/><Relationship Id="rId4" Type="http://schemas.openxmlformats.org/officeDocument/2006/relationships/hyperlink" Target="https://www.alkosto.com/computador-all-in-one-lenovo-ideacentre-aio-27-pulgadas/p/198155653490?fuente=google&amp;medio=cpc&amp;campaign=AK_COL_MAX_PEF_CPC_AON_COMP_TLP_Computadores-Brand-AON_PAC&amp;keyword=&amp;gad_source=1&amp;gad_campaignid=17335909635&amp;gbraid=0AAAAADlnVbi8Uf3TbuWPT6J-EBFX2QKTw&amp;gclid=CjwKCAjwotzWBhBFEiwA1JhPoDAPYLLPh4cks_eZgKFo2opHf6Bt_LxB-jwIWddw_ETM6h96UUHl2hoCrEgQAvD_BwE" TargetMode="External"/><Relationship Id="rId9" Type="http://schemas.openxmlformats.org/officeDocument/2006/relationships/hyperlink" Target="https://compumuebles.com/products/silla-novell-interlocutora" TargetMode="External"/><Relationship Id="rId14" Type="http://schemas.openxmlformats.org/officeDocument/2006/relationships/hyperlink" Target="https://www.mercadolibre.com.co/otoscopio-fibra-optica-luz-led-gmd--invima--envio-gratis/up/MCOU2432291030"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8448892" TargetMode="External"/><Relationship Id="rId2" Type="http://schemas.openxmlformats.org/officeDocument/2006/relationships/hyperlink" Target="https://community.secop.gov.co/Public/Tendering/OpportunityDetail/Index?noticeUID=CO1.NTC.8448892" TargetMode="External"/><Relationship Id="rId1" Type="http://schemas.openxmlformats.org/officeDocument/2006/relationships/hyperlink" Target="https://community.secop.gov.co/Public/Tendering/OpportunityDetail/Index?noticeUID=CO1.NTC.7965348" TargetMode="External"/><Relationship Id="rId4"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10024212" TargetMode="External"/><Relationship Id="rId2" Type="http://schemas.openxmlformats.org/officeDocument/2006/relationships/hyperlink" Target="https://community.secop.gov.co/Public/Tendering/OpportunityDetail/Index?noticeUID=CO1.NTC.10123632" TargetMode="External"/><Relationship Id="rId1" Type="http://schemas.openxmlformats.org/officeDocument/2006/relationships/hyperlink" Target="https://community.secop.gov.co/Public/Tendering/OpportunityDetail/Index?noticeUID=CO1.NTC.9033213" TargetMode="External"/><Relationship Id="rId5" Type="http://schemas.openxmlformats.org/officeDocument/2006/relationships/printerSettings" Target="../printerSettings/printerSettings10.bin"/><Relationship Id="rId4" Type="http://schemas.openxmlformats.org/officeDocument/2006/relationships/hyperlink" Target="https://community.secop.gov.co/Public/Tendering/OpportunityDetail/Index?noticeUID=CO1.NTC.928893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25C61-C134-4C30-9BBB-D65BDA03D46E}">
  <dimension ref="A1:O52"/>
  <sheetViews>
    <sheetView showGridLines="0" topLeftCell="G8" zoomScale="95" zoomScaleNormal="95" workbookViewId="0">
      <selection activeCell="L10" sqref="L10"/>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4.42578125" style="2" customWidth="1"/>
    <col min="7" max="7" width="40.28515625" style="2" customWidth="1"/>
    <col min="8" max="8" width="24.42578125" style="2" customWidth="1"/>
    <col min="9" max="9" width="32" style="2" bestFit="1" customWidth="1"/>
    <col min="10" max="15" width="24.42578125" style="2" customWidth="1"/>
    <col min="16" max="16384" width="11.42578125" style="2"/>
  </cols>
  <sheetData>
    <row r="1" spans="1:15" ht="15.75" x14ac:dyDescent="0.25">
      <c r="A1" s="187" t="s">
        <v>0</v>
      </c>
      <c r="B1" s="188"/>
      <c r="C1" s="188"/>
      <c r="D1" s="188"/>
      <c r="E1" s="188"/>
      <c r="F1" s="188"/>
      <c r="G1" s="188"/>
      <c r="H1" s="188"/>
      <c r="I1" s="189"/>
    </row>
    <row r="2" spans="1:15" ht="16.5" thickBot="1" x14ac:dyDescent="0.3">
      <c r="A2" s="190" t="s">
        <v>1</v>
      </c>
      <c r="B2" s="191"/>
      <c r="C2" s="191"/>
      <c r="D2" s="191"/>
      <c r="E2" s="191"/>
      <c r="F2" s="191"/>
      <c r="G2" s="191"/>
      <c r="H2" s="191"/>
      <c r="I2" s="192"/>
    </row>
    <row r="3" spans="1:15" ht="16.5" thickBot="1" x14ac:dyDescent="0.3">
      <c r="A3" s="193" t="s">
        <v>118</v>
      </c>
      <c r="B3" s="194"/>
      <c r="C3" s="194"/>
      <c r="D3" s="194"/>
      <c r="E3" s="194"/>
      <c r="F3" s="194"/>
      <c r="G3" s="194"/>
      <c r="H3" s="194"/>
      <c r="I3" s="195"/>
    </row>
    <row r="4" spans="1:15" ht="15.75" thickBot="1" x14ac:dyDescent="0.3">
      <c r="A4" s="196" t="s">
        <v>2</v>
      </c>
      <c r="B4" s="197"/>
      <c r="C4" s="197"/>
      <c r="D4" s="197"/>
      <c r="E4" s="197"/>
      <c r="F4" s="197"/>
      <c r="G4" s="197"/>
      <c r="H4" s="197"/>
      <c r="I4" s="198"/>
    </row>
    <row r="5" spans="1:15" ht="51.75" thickBot="1" x14ac:dyDescent="0.3">
      <c r="A5" s="3" t="s">
        <v>3</v>
      </c>
      <c r="B5" s="3" t="s">
        <v>4</v>
      </c>
      <c r="C5" s="3" t="s">
        <v>5</v>
      </c>
      <c r="D5" s="3" t="s">
        <v>6</v>
      </c>
      <c r="E5" s="3" t="s">
        <v>7</v>
      </c>
      <c r="F5" s="4" t="s">
        <v>8</v>
      </c>
      <c r="G5" s="4" t="s">
        <v>120</v>
      </c>
      <c r="H5" s="3" t="s">
        <v>121</v>
      </c>
      <c r="I5" s="4" t="s">
        <v>8</v>
      </c>
      <c r="J5" s="4" t="s">
        <v>122</v>
      </c>
      <c r="K5" s="3" t="s">
        <v>123</v>
      </c>
      <c r="L5" s="4" t="s">
        <v>8</v>
      </c>
      <c r="M5" s="4" t="s">
        <v>122</v>
      </c>
      <c r="N5" s="3" t="s">
        <v>123</v>
      </c>
      <c r="O5" s="5"/>
    </row>
    <row r="6" spans="1:15" ht="105" x14ac:dyDescent="0.25">
      <c r="A6" s="6" t="s">
        <v>76</v>
      </c>
      <c r="B6" s="7" t="s">
        <v>9</v>
      </c>
      <c r="C6" s="68" t="s">
        <v>176</v>
      </c>
      <c r="D6" s="8" t="s">
        <v>119</v>
      </c>
      <c r="E6" s="8">
        <v>1</v>
      </c>
      <c r="F6" s="9">
        <v>2221848.7394957985</v>
      </c>
      <c r="G6" s="8" t="s">
        <v>125</v>
      </c>
      <c r="H6" s="10" t="s">
        <v>124</v>
      </c>
      <c r="I6" s="28">
        <v>3327871</v>
      </c>
      <c r="J6" s="14" t="s">
        <v>126</v>
      </c>
      <c r="K6" s="10" t="s">
        <v>132</v>
      </c>
      <c r="L6" s="32">
        <v>3157200</v>
      </c>
      <c r="M6" s="14" t="s">
        <v>127</v>
      </c>
      <c r="N6" s="10" t="s">
        <v>124</v>
      </c>
      <c r="O6" s="11"/>
    </row>
    <row r="7" spans="1:15" ht="114.75" x14ac:dyDescent="0.25">
      <c r="A7" s="12" t="s">
        <v>77</v>
      </c>
      <c r="B7" s="13" t="s">
        <v>10</v>
      </c>
      <c r="C7" s="69" t="s">
        <v>177</v>
      </c>
      <c r="D7" s="14" t="s">
        <v>119</v>
      </c>
      <c r="E7" s="14">
        <v>1</v>
      </c>
      <c r="F7" s="48">
        <f>+'KIT ASEO'!E10</f>
        <v>838465.33333333337</v>
      </c>
      <c r="G7" s="14" t="s">
        <v>174</v>
      </c>
      <c r="H7" s="66" t="s">
        <v>175</v>
      </c>
      <c r="I7" s="65">
        <f>+'KIT ASEO'!H10</f>
        <v>1029175.3333333334</v>
      </c>
      <c r="J7" s="14" t="s">
        <v>174</v>
      </c>
      <c r="K7" s="66" t="s">
        <v>175</v>
      </c>
      <c r="L7" s="67">
        <f>+'KIT ASEO'!K10</f>
        <v>625395.33333333337</v>
      </c>
      <c r="M7" s="14" t="s">
        <v>174</v>
      </c>
      <c r="N7" s="66" t="s">
        <v>175</v>
      </c>
    </row>
    <row r="8" spans="1:15" ht="120" x14ac:dyDescent="0.25">
      <c r="A8" s="12" t="s">
        <v>78</v>
      </c>
      <c r="B8" s="13" t="s">
        <v>11</v>
      </c>
      <c r="C8" s="69" t="s">
        <v>178</v>
      </c>
      <c r="D8" s="14" t="s">
        <v>119</v>
      </c>
      <c r="E8" s="14">
        <v>1</v>
      </c>
      <c r="F8" s="15">
        <v>471428.57142857148</v>
      </c>
      <c r="G8" s="14" t="s">
        <v>125</v>
      </c>
      <c r="H8" s="16" t="s">
        <v>124</v>
      </c>
      <c r="I8" s="27">
        <v>476485.71428571432</v>
      </c>
      <c r="J8" s="14" t="s">
        <v>129</v>
      </c>
      <c r="K8" s="35" t="s">
        <v>124</v>
      </c>
      <c r="L8" s="23">
        <v>532048.76130554464</v>
      </c>
      <c r="M8" s="14" t="s">
        <v>126</v>
      </c>
      <c r="N8" s="16" t="s">
        <v>133</v>
      </c>
    </row>
    <row r="9" spans="1:15" ht="105" x14ac:dyDescent="0.25">
      <c r="A9" s="12" t="s">
        <v>79</v>
      </c>
      <c r="B9" s="13" t="s">
        <v>49</v>
      </c>
      <c r="C9" s="69" t="s">
        <v>462</v>
      </c>
      <c r="D9" s="14" t="s">
        <v>119</v>
      </c>
      <c r="E9" s="14">
        <v>1</v>
      </c>
      <c r="F9" s="15">
        <v>5890000</v>
      </c>
      <c r="G9" s="14" t="s">
        <v>126</v>
      </c>
      <c r="H9" s="16" t="s">
        <v>124</v>
      </c>
      <c r="I9" s="27">
        <v>6350000</v>
      </c>
      <c r="J9" s="14" t="s">
        <v>129</v>
      </c>
      <c r="K9" s="35" t="s">
        <v>124</v>
      </c>
      <c r="L9" s="36">
        <v>5125000</v>
      </c>
      <c r="M9" s="14" t="s">
        <v>130</v>
      </c>
      <c r="N9" s="16" t="s">
        <v>124</v>
      </c>
    </row>
    <row r="10" spans="1:15" ht="105" x14ac:dyDescent="0.25">
      <c r="A10" s="12" t="s">
        <v>80</v>
      </c>
      <c r="B10" s="13" t="s">
        <v>12</v>
      </c>
      <c r="C10" s="69" t="s">
        <v>33</v>
      </c>
      <c r="D10" s="14" t="s">
        <v>119</v>
      </c>
      <c r="E10" s="14">
        <v>1</v>
      </c>
      <c r="F10" s="15">
        <v>305271.19938884646</v>
      </c>
      <c r="G10" s="14" t="s">
        <v>126</v>
      </c>
      <c r="H10" s="16" t="s">
        <v>124</v>
      </c>
      <c r="I10" s="15">
        <v>355919</v>
      </c>
      <c r="J10" s="14" t="s">
        <v>130</v>
      </c>
      <c r="K10" s="16" t="s">
        <v>124</v>
      </c>
      <c r="L10" s="36">
        <v>380000</v>
      </c>
      <c r="M10" s="14" t="s">
        <v>129</v>
      </c>
      <c r="N10" s="35" t="s">
        <v>124</v>
      </c>
    </row>
    <row r="11" spans="1:15" ht="105" x14ac:dyDescent="0.25">
      <c r="A11" s="12" t="s">
        <v>81</v>
      </c>
      <c r="B11" s="13" t="s">
        <v>13</v>
      </c>
      <c r="C11" s="69" t="s">
        <v>34</v>
      </c>
      <c r="D11" s="14" t="s">
        <v>119</v>
      </c>
      <c r="E11" s="14">
        <v>1</v>
      </c>
      <c r="F11" s="22">
        <v>63997.374466688547</v>
      </c>
      <c r="G11" s="14" t="s">
        <v>126</v>
      </c>
      <c r="H11" s="16" t="s">
        <v>124</v>
      </c>
      <c r="I11" s="15">
        <v>62163</v>
      </c>
      <c r="J11" s="14" t="s">
        <v>130</v>
      </c>
      <c r="K11" s="16" t="s">
        <v>124</v>
      </c>
      <c r="L11" s="36">
        <v>58048</v>
      </c>
      <c r="M11" s="14" t="s">
        <v>129</v>
      </c>
      <c r="N11" s="16" t="s">
        <v>124</v>
      </c>
    </row>
    <row r="12" spans="1:15" ht="105" x14ac:dyDescent="0.25">
      <c r="A12" s="12" t="s">
        <v>82</v>
      </c>
      <c r="B12" s="13" t="s">
        <v>46</v>
      </c>
      <c r="C12" s="69" t="s">
        <v>50</v>
      </c>
      <c r="D12" s="14" t="s">
        <v>119</v>
      </c>
      <c r="E12" s="14">
        <v>1</v>
      </c>
      <c r="F12" s="23">
        <v>1784745.7627118647</v>
      </c>
      <c r="G12" s="14" t="s">
        <v>126</v>
      </c>
      <c r="H12" s="16" t="s">
        <v>124</v>
      </c>
      <c r="I12" s="15">
        <v>1706155</v>
      </c>
      <c r="J12" s="14" t="s">
        <v>130</v>
      </c>
      <c r="K12" s="16" t="s">
        <v>124</v>
      </c>
      <c r="L12" s="48">
        <v>1594538</v>
      </c>
      <c r="M12" s="14" t="s">
        <v>130</v>
      </c>
      <c r="N12" s="16" t="s">
        <v>124</v>
      </c>
    </row>
    <row r="13" spans="1:15" ht="105" x14ac:dyDescent="0.25">
      <c r="A13" s="12" t="s">
        <v>83</v>
      </c>
      <c r="B13" s="13" t="s">
        <v>51</v>
      </c>
      <c r="C13" s="69" t="s">
        <v>47</v>
      </c>
      <c r="D13" s="14" t="s">
        <v>119</v>
      </c>
      <c r="E13" s="14">
        <v>1</v>
      </c>
      <c r="F13" s="15">
        <v>903093.96485867072</v>
      </c>
      <c r="G13" s="14" t="s">
        <v>126</v>
      </c>
      <c r="H13" s="16" t="s">
        <v>124</v>
      </c>
      <c r="I13" s="15">
        <v>519265</v>
      </c>
      <c r="J13" s="14" t="s">
        <v>130</v>
      </c>
      <c r="K13" s="16" t="s">
        <v>124</v>
      </c>
      <c r="L13" s="48">
        <v>378151</v>
      </c>
      <c r="M13" s="14" t="s">
        <v>129</v>
      </c>
      <c r="N13" s="16" t="s">
        <v>124</v>
      </c>
    </row>
    <row r="14" spans="1:15" ht="105" x14ac:dyDescent="0.25">
      <c r="A14" s="12" t="s">
        <v>84</v>
      </c>
      <c r="B14" s="13" t="s">
        <v>52</v>
      </c>
      <c r="C14" s="69" t="s">
        <v>48</v>
      </c>
      <c r="D14" s="14" t="s">
        <v>119</v>
      </c>
      <c r="E14" s="14">
        <v>1</v>
      </c>
      <c r="F14" s="49">
        <v>370903</v>
      </c>
      <c r="G14" s="14" t="s">
        <v>130</v>
      </c>
      <c r="H14" s="35" t="s">
        <v>124</v>
      </c>
      <c r="I14" s="48">
        <v>379903</v>
      </c>
      <c r="J14" s="14" t="s">
        <v>130</v>
      </c>
      <c r="K14" s="35" t="s">
        <v>124</v>
      </c>
      <c r="L14" s="48">
        <v>349639</v>
      </c>
      <c r="M14" s="14" t="s">
        <v>130</v>
      </c>
      <c r="N14" s="35" t="s">
        <v>124</v>
      </c>
    </row>
    <row r="15" spans="1:15" ht="105" x14ac:dyDescent="0.25">
      <c r="A15" s="12" t="s">
        <v>85</v>
      </c>
      <c r="B15" s="13" t="s">
        <v>14</v>
      </c>
      <c r="C15" s="69" t="s">
        <v>35</v>
      </c>
      <c r="D15" s="14" t="s">
        <v>119</v>
      </c>
      <c r="E15" s="14">
        <v>1</v>
      </c>
      <c r="F15" s="49">
        <v>3485278</v>
      </c>
      <c r="G15" s="14" t="s">
        <v>130</v>
      </c>
      <c r="H15" s="35" t="s">
        <v>124</v>
      </c>
      <c r="I15" s="48">
        <v>3560672</v>
      </c>
      <c r="J15" s="14" t="s">
        <v>130</v>
      </c>
      <c r="K15" s="35" t="s">
        <v>124</v>
      </c>
      <c r="L15" s="48">
        <v>3327732</v>
      </c>
      <c r="M15" s="14" t="s">
        <v>130</v>
      </c>
      <c r="N15" s="35" t="s">
        <v>124</v>
      </c>
    </row>
    <row r="16" spans="1:15" ht="75" x14ac:dyDescent="0.25">
      <c r="A16" s="12" t="s">
        <v>86</v>
      </c>
      <c r="B16" s="13" t="s">
        <v>15</v>
      </c>
      <c r="C16" s="69" t="s">
        <v>36</v>
      </c>
      <c r="D16" s="14" t="s">
        <v>119</v>
      </c>
      <c r="E16" s="14">
        <v>1</v>
      </c>
      <c r="F16" s="49">
        <v>281513</v>
      </c>
      <c r="G16" s="14" t="s">
        <v>187</v>
      </c>
      <c r="H16" s="35" t="s">
        <v>188</v>
      </c>
      <c r="I16" s="48">
        <v>335000</v>
      </c>
      <c r="J16" s="14" t="s">
        <v>189</v>
      </c>
      <c r="K16" s="35" t="s">
        <v>190</v>
      </c>
      <c r="L16" s="45">
        <v>335000</v>
      </c>
      <c r="M16" s="14" t="s">
        <v>191</v>
      </c>
      <c r="N16" s="35" t="s">
        <v>192</v>
      </c>
    </row>
    <row r="17" spans="1:14" ht="105" x14ac:dyDescent="0.25">
      <c r="A17" s="12" t="s">
        <v>87</v>
      </c>
      <c r="B17" s="13" t="s">
        <v>16</v>
      </c>
      <c r="C17" s="69" t="s">
        <v>37</v>
      </c>
      <c r="D17" s="14" t="s">
        <v>119</v>
      </c>
      <c r="E17" s="14">
        <v>1</v>
      </c>
      <c r="F17" s="22">
        <v>3617463.712757831</v>
      </c>
      <c r="G17" s="14" t="s">
        <v>126</v>
      </c>
      <c r="H17" s="16" t="s">
        <v>124</v>
      </c>
      <c r="I17" s="46">
        <v>3979210</v>
      </c>
      <c r="J17" s="14" t="s">
        <v>126</v>
      </c>
      <c r="K17" s="16" t="s">
        <v>124</v>
      </c>
      <c r="L17" s="45">
        <v>3316008</v>
      </c>
      <c r="M17" s="14" t="s">
        <v>126</v>
      </c>
      <c r="N17" s="16" t="s">
        <v>124</v>
      </c>
    </row>
    <row r="18" spans="1:14" ht="105" x14ac:dyDescent="0.25">
      <c r="A18" s="12" t="s">
        <v>88</v>
      </c>
      <c r="B18" s="13" t="s">
        <v>17</v>
      </c>
      <c r="C18" s="69" t="s">
        <v>38</v>
      </c>
      <c r="D18" s="14" t="s">
        <v>119</v>
      </c>
      <c r="E18" s="14">
        <v>1</v>
      </c>
      <c r="F18" s="45">
        <v>1112710</v>
      </c>
      <c r="G18" s="14" t="s">
        <v>130</v>
      </c>
      <c r="H18" s="35" t="s">
        <v>134</v>
      </c>
      <c r="I18" s="45">
        <v>1695947.7158135979</v>
      </c>
      <c r="J18" s="14" t="s">
        <v>126</v>
      </c>
      <c r="K18" s="35" t="s">
        <v>124</v>
      </c>
      <c r="L18" s="45">
        <v>1039915</v>
      </c>
      <c r="M18" s="14" t="s">
        <v>130</v>
      </c>
      <c r="N18" s="35" t="s">
        <v>134</v>
      </c>
    </row>
    <row r="19" spans="1:14" ht="105" x14ac:dyDescent="0.25">
      <c r="A19" s="12" t="s">
        <v>89</v>
      </c>
      <c r="B19" s="13" t="s">
        <v>18</v>
      </c>
      <c r="C19" s="69" t="s">
        <v>39</v>
      </c>
      <c r="D19" s="14" t="s">
        <v>119</v>
      </c>
      <c r="E19" s="14">
        <v>1</v>
      </c>
      <c r="F19" s="26">
        <v>881000</v>
      </c>
      <c r="G19" s="105" t="s">
        <v>193</v>
      </c>
      <c r="H19" s="16" t="s">
        <v>124</v>
      </c>
      <c r="I19" s="45">
        <v>619200</v>
      </c>
      <c r="J19" s="14" t="s">
        <v>193</v>
      </c>
      <c r="K19" s="16" t="s">
        <v>124</v>
      </c>
      <c r="L19" s="45">
        <v>895000</v>
      </c>
      <c r="M19" s="14" t="s">
        <v>193</v>
      </c>
      <c r="N19" s="16" t="s">
        <v>124</v>
      </c>
    </row>
    <row r="20" spans="1:14" ht="90" x14ac:dyDescent="0.25">
      <c r="A20" s="12" t="s">
        <v>90</v>
      </c>
      <c r="B20" s="13" t="s">
        <v>19</v>
      </c>
      <c r="C20" s="69" t="s">
        <v>40</v>
      </c>
      <c r="D20" s="14" t="s">
        <v>119</v>
      </c>
      <c r="E20" s="14">
        <v>1</v>
      </c>
      <c r="F20" s="45">
        <v>215300</v>
      </c>
      <c r="G20" s="14"/>
      <c r="H20" s="35" t="s">
        <v>209</v>
      </c>
      <c r="I20" s="45">
        <v>288900</v>
      </c>
      <c r="J20" s="14"/>
      <c r="K20" s="35" t="s">
        <v>210</v>
      </c>
      <c r="L20" s="45">
        <v>200800</v>
      </c>
      <c r="M20" s="31"/>
      <c r="N20" s="35" t="s">
        <v>209</v>
      </c>
    </row>
    <row r="21" spans="1:14" ht="105" x14ac:dyDescent="0.25">
      <c r="A21" s="12" t="s">
        <v>91</v>
      </c>
      <c r="B21" s="13" t="s">
        <v>20</v>
      </c>
      <c r="C21" s="69" t="s">
        <v>179</v>
      </c>
      <c r="D21" s="14" t="s">
        <v>119</v>
      </c>
      <c r="E21" s="14">
        <v>1</v>
      </c>
      <c r="F21" s="26">
        <v>185378</v>
      </c>
      <c r="G21" s="105" t="s">
        <v>193</v>
      </c>
      <c r="H21" s="35" t="s">
        <v>124</v>
      </c>
      <c r="I21" s="45">
        <v>159900</v>
      </c>
      <c r="J21" s="14" t="s">
        <v>193</v>
      </c>
      <c r="K21" s="35" t="s">
        <v>124</v>
      </c>
      <c r="L21" s="45">
        <v>178500</v>
      </c>
      <c r="M21" s="14" t="s">
        <v>193</v>
      </c>
      <c r="N21" s="35" t="s">
        <v>124</v>
      </c>
    </row>
    <row r="22" spans="1:14" ht="105" x14ac:dyDescent="0.25">
      <c r="A22" s="12" t="s">
        <v>92</v>
      </c>
      <c r="B22" s="13" t="s">
        <v>21</v>
      </c>
      <c r="C22" s="69" t="s">
        <v>180</v>
      </c>
      <c r="D22" s="14" t="s">
        <v>119</v>
      </c>
      <c r="E22" s="14">
        <v>1</v>
      </c>
      <c r="F22" s="47">
        <v>185442</v>
      </c>
      <c r="G22" s="105" t="s">
        <v>193</v>
      </c>
      <c r="H22" s="35" t="s">
        <v>124</v>
      </c>
      <c r="I22" s="45">
        <v>154221</v>
      </c>
      <c r="J22" s="14" t="s">
        <v>193</v>
      </c>
      <c r="K22" s="35" t="s">
        <v>124</v>
      </c>
      <c r="L22" s="45">
        <v>128500</v>
      </c>
      <c r="M22" s="14" t="s">
        <v>193</v>
      </c>
      <c r="N22" s="35" t="s">
        <v>124</v>
      </c>
    </row>
    <row r="23" spans="1:14" ht="75" x14ac:dyDescent="0.25">
      <c r="A23" s="12" t="s">
        <v>93</v>
      </c>
      <c r="B23" s="13" t="s">
        <v>22</v>
      </c>
      <c r="C23" s="69" t="s">
        <v>181</v>
      </c>
      <c r="D23" s="14" t="s">
        <v>119</v>
      </c>
      <c r="E23" s="14">
        <v>1</v>
      </c>
      <c r="F23" s="25">
        <v>156581</v>
      </c>
      <c r="G23" s="14" t="s">
        <v>194</v>
      </c>
      <c r="H23" s="16" t="s">
        <v>195</v>
      </c>
      <c r="I23" s="25">
        <v>175307</v>
      </c>
      <c r="J23" s="14" t="s">
        <v>196</v>
      </c>
      <c r="K23" s="35" t="s">
        <v>197</v>
      </c>
      <c r="L23" s="45">
        <v>287598</v>
      </c>
      <c r="M23" s="31" t="s">
        <v>198</v>
      </c>
      <c r="N23" s="35" t="s">
        <v>199</v>
      </c>
    </row>
    <row r="24" spans="1:14" ht="99" customHeight="1" x14ac:dyDescent="0.25">
      <c r="A24" s="12" t="s">
        <v>94</v>
      </c>
      <c r="B24" s="13" t="s">
        <v>23</v>
      </c>
      <c r="C24" s="69" t="s">
        <v>182</v>
      </c>
      <c r="D24" s="14" t="s">
        <v>119</v>
      </c>
      <c r="E24" s="14">
        <v>1</v>
      </c>
      <c r="F24" s="71">
        <v>975000</v>
      </c>
      <c r="G24" s="105" t="s">
        <v>200</v>
      </c>
      <c r="H24" s="35" t="s">
        <v>124</v>
      </c>
      <c r="I24" s="25">
        <v>845000</v>
      </c>
      <c r="J24" s="14" t="s">
        <v>200</v>
      </c>
      <c r="K24" s="35" t="s">
        <v>124</v>
      </c>
      <c r="L24" s="45">
        <v>885900</v>
      </c>
      <c r="M24" s="14" t="s">
        <v>200</v>
      </c>
      <c r="N24" s="35" t="s">
        <v>124</v>
      </c>
    </row>
    <row r="25" spans="1:14" ht="127.5" x14ac:dyDescent="0.25">
      <c r="A25" s="12" t="s">
        <v>95</v>
      </c>
      <c r="B25" s="13" t="s">
        <v>53</v>
      </c>
      <c r="C25" s="69" t="s">
        <v>41</v>
      </c>
      <c r="D25" s="14" t="s">
        <v>119</v>
      </c>
      <c r="E25" s="14">
        <v>1</v>
      </c>
      <c r="F25" s="24">
        <v>410436</v>
      </c>
      <c r="G25" s="14" t="s">
        <v>126</v>
      </c>
      <c r="H25" s="16" t="s">
        <v>124</v>
      </c>
      <c r="I25" s="15">
        <v>474756</v>
      </c>
      <c r="J25" s="14" t="s">
        <v>130</v>
      </c>
      <c r="K25" s="16" t="s">
        <v>124</v>
      </c>
      <c r="L25" s="15">
        <v>443697</v>
      </c>
      <c r="M25" s="14" t="s">
        <v>130</v>
      </c>
      <c r="N25" s="16" t="s">
        <v>124</v>
      </c>
    </row>
    <row r="26" spans="1:14" ht="89.25" x14ac:dyDescent="0.25">
      <c r="A26" s="37" t="s">
        <v>96</v>
      </c>
      <c r="B26" s="38" t="s">
        <v>24</v>
      </c>
      <c r="C26" s="103" t="s">
        <v>69</v>
      </c>
      <c r="D26" s="29"/>
      <c r="E26" s="29"/>
      <c r="F26" s="40"/>
      <c r="G26" s="41"/>
      <c r="H26" s="30"/>
      <c r="I26" s="40"/>
      <c r="J26" s="41"/>
      <c r="K26" s="30"/>
      <c r="L26" s="34"/>
      <c r="M26" s="34"/>
      <c r="N26" s="33"/>
    </row>
    <row r="27" spans="1:14" ht="105" x14ac:dyDescent="0.25">
      <c r="A27" s="12" t="s">
        <v>97</v>
      </c>
      <c r="B27" s="13" t="s">
        <v>25</v>
      </c>
      <c r="C27" s="69" t="s">
        <v>70</v>
      </c>
      <c r="D27" s="14" t="s">
        <v>119</v>
      </c>
      <c r="E27" s="14">
        <v>1</v>
      </c>
      <c r="F27" s="39">
        <v>5820</v>
      </c>
      <c r="G27" s="14" t="s">
        <v>130</v>
      </c>
      <c r="H27" s="16" t="s">
        <v>134</v>
      </c>
      <c r="I27" s="39">
        <v>5325</v>
      </c>
      <c r="J27" s="14" t="s">
        <v>130</v>
      </c>
      <c r="K27" s="16" t="s">
        <v>124</v>
      </c>
      <c r="L27" s="39">
        <v>4895</v>
      </c>
      <c r="M27" s="14" t="s">
        <v>130</v>
      </c>
      <c r="N27" s="16" t="s">
        <v>124</v>
      </c>
    </row>
    <row r="28" spans="1:14" ht="54.75" customHeight="1" thickBot="1" x14ac:dyDescent="0.3">
      <c r="A28" s="12" t="s">
        <v>98</v>
      </c>
      <c r="B28" s="13" t="s">
        <v>26</v>
      </c>
      <c r="C28" s="69" t="s">
        <v>42</v>
      </c>
      <c r="D28" s="14" t="s">
        <v>119</v>
      </c>
      <c r="E28" s="14">
        <v>1</v>
      </c>
      <c r="F28" s="39">
        <v>16005.88</v>
      </c>
      <c r="G28" s="14" t="s">
        <v>136</v>
      </c>
      <c r="H28" s="35" t="s">
        <v>137</v>
      </c>
      <c r="I28" s="39">
        <v>18285</v>
      </c>
      <c r="J28" s="14" t="s">
        <v>136</v>
      </c>
      <c r="K28" s="35" t="s">
        <v>137</v>
      </c>
      <c r="L28" s="39">
        <v>15458</v>
      </c>
      <c r="M28" s="14" t="s">
        <v>136</v>
      </c>
      <c r="N28" s="35" t="s">
        <v>137</v>
      </c>
    </row>
    <row r="29" spans="1:14" ht="105" x14ac:dyDescent="0.25">
      <c r="A29" s="12" t="s">
        <v>99</v>
      </c>
      <c r="B29" s="13" t="s">
        <v>27</v>
      </c>
      <c r="C29" s="69" t="s">
        <v>43</v>
      </c>
      <c r="D29" s="14" t="s">
        <v>119</v>
      </c>
      <c r="E29" s="14">
        <v>1</v>
      </c>
      <c r="F29" s="72">
        <v>78775</v>
      </c>
      <c r="G29" s="14" t="s">
        <v>136</v>
      </c>
      <c r="H29" s="16" t="s">
        <v>124</v>
      </c>
      <c r="I29" s="39">
        <v>64217</v>
      </c>
      <c r="J29" s="14" t="s">
        <v>136</v>
      </c>
      <c r="K29" s="16" t="s">
        <v>124</v>
      </c>
      <c r="L29" s="39">
        <v>70260</v>
      </c>
      <c r="M29" s="14" t="s">
        <v>136</v>
      </c>
      <c r="N29" s="16" t="s">
        <v>124</v>
      </c>
    </row>
    <row r="30" spans="1:14" ht="105" x14ac:dyDescent="0.25">
      <c r="A30" s="12" t="s">
        <v>100</v>
      </c>
      <c r="B30" s="13" t="s">
        <v>28</v>
      </c>
      <c r="C30" s="69" t="s">
        <v>44</v>
      </c>
      <c r="D30" s="14" t="s">
        <v>119</v>
      </c>
      <c r="E30" s="14">
        <v>1</v>
      </c>
      <c r="F30" s="22">
        <v>82905.225863596104</v>
      </c>
      <c r="G30" s="14" t="s">
        <v>126</v>
      </c>
      <c r="H30" s="16" t="s">
        <v>124</v>
      </c>
      <c r="I30" s="49">
        <v>120441</v>
      </c>
      <c r="J30" s="14" t="s">
        <v>126</v>
      </c>
      <c r="K30" s="35" t="s">
        <v>124</v>
      </c>
      <c r="L30" s="39">
        <v>108500</v>
      </c>
      <c r="M30" s="14" t="s">
        <v>126</v>
      </c>
      <c r="N30" s="35" t="s">
        <v>124</v>
      </c>
    </row>
    <row r="31" spans="1:14" ht="75" x14ac:dyDescent="0.25">
      <c r="A31" s="12" t="s">
        <v>101</v>
      </c>
      <c r="B31" s="13" t="s">
        <v>29</v>
      </c>
      <c r="C31" s="69" t="s">
        <v>45</v>
      </c>
      <c r="D31" s="14" t="s">
        <v>119</v>
      </c>
      <c r="E31" s="14">
        <v>1</v>
      </c>
      <c r="F31" s="22">
        <v>109760</v>
      </c>
      <c r="G31" s="73" t="s">
        <v>201</v>
      </c>
      <c r="H31" s="16" t="s">
        <v>202</v>
      </c>
      <c r="I31" s="22">
        <v>104958</v>
      </c>
      <c r="J31" s="14" t="s">
        <v>203</v>
      </c>
      <c r="K31" s="16" t="s">
        <v>204</v>
      </c>
      <c r="L31" s="39">
        <v>90000</v>
      </c>
      <c r="M31" s="31" t="s">
        <v>205</v>
      </c>
      <c r="N31" s="35" t="s">
        <v>206</v>
      </c>
    </row>
    <row r="32" spans="1:14" ht="90" x14ac:dyDescent="0.25">
      <c r="A32" s="12" t="s">
        <v>102</v>
      </c>
      <c r="B32" s="13" t="s">
        <v>30</v>
      </c>
      <c r="C32" s="69" t="s">
        <v>71</v>
      </c>
      <c r="D32" s="14" t="s">
        <v>119</v>
      </c>
      <c r="E32" s="14">
        <v>1</v>
      </c>
      <c r="F32" s="22">
        <v>299256</v>
      </c>
      <c r="G32" s="73" t="s">
        <v>130</v>
      </c>
      <c r="H32" s="16" t="s">
        <v>134</v>
      </c>
      <c r="I32" s="49">
        <v>357731</v>
      </c>
      <c r="J32" s="14" t="s">
        <v>130</v>
      </c>
      <c r="K32" s="35" t="s">
        <v>134</v>
      </c>
      <c r="L32" s="39">
        <v>348275</v>
      </c>
      <c r="M32" s="73" t="s">
        <v>130</v>
      </c>
      <c r="N32" s="16" t="s">
        <v>134</v>
      </c>
    </row>
    <row r="33" spans="1:14" ht="76.5" x14ac:dyDescent="0.25">
      <c r="A33" s="12" t="s">
        <v>103</v>
      </c>
      <c r="B33" s="13" t="s">
        <v>31</v>
      </c>
      <c r="C33" s="69" t="s">
        <v>72</v>
      </c>
      <c r="D33" s="14" t="s">
        <v>119</v>
      </c>
      <c r="E33" s="14">
        <v>1</v>
      </c>
      <c r="F33" s="49">
        <v>185000</v>
      </c>
      <c r="G33" s="106" t="s">
        <v>138</v>
      </c>
      <c r="H33" s="35" t="s">
        <v>139</v>
      </c>
      <c r="I33" s="48">
        <v>199920</v>
      </c>
      <c r="J33" s="14" t="s">
        <v>140</v>
      </c>
      <c r="K33" s="35" t="s">
        <v>141</v>
      </c>
      <c r="L33" s="31">
        <v>168900</v>
      </c>
      <c r="M33" s="14" t="s">
        <v>140</v>
      </c>
      <c r="N33" s="35" t="s">
        <v>141</v>
      </c>
    </row>
    <row r="34" spans="1:14" ht="105" x14ac:dyDescent="0.25">
      <c r="A34" s="12" t="s">
        <v>104</v>
      </c>
      <c r="B34" s="13" t="s">
        <v>54</v>
      </c>
      <c r="C34" s="69" t="s">
        <v>183</v>
      </c>
      <c r="D34" s="14" t="s">
        <v>119</v>
      </c>
      <c r="E34" s="14">
        <v>1</v>
      </c>
      <c r="F34" s="15">
        <v>4807563.0252100844</v>
      </c>
      <c r="G34" s="73" t="s">
        <v>125</v>
      </c>
      <c r="H34" s="16" t="s">
        <v>124</v>
      </c>
      <c r="I34" s="15">
        <v>2487286</v>
      </c>
      <c r="J34" s="14" t="s">
        <v>130</v>
      </c>
      <c r="K34" s="35" t="s">
        <v>134</v>
      </c>
      <c r="L34" s="15">
        <v>2984743</v>
      </c>
      <c r="M34" s="31" t="s">
        <v>126</v>
      </c>
      <c r="N34" s="16" t="s">
        <v>124</v>
      </c>
    </row>
    <row r="35" spans="1:14" ht="75" x14ac:dyDescent="0.25">
      <c r="A35" s="12" t="s">
        <v>105</v>
      </c>
      <c r="B35" s="13" t="s">
        <v>55</v>
      </c>
      <c r="C35" s="69" t="s">
        <v>184</v>
      </c>
      <c r="D35" s="14" t="s">
        <v>119</v>
      </c>
      <c r="E35" s="14">
        <v>1</v>
      </c>
      <c r="F35" s="48">
        <v>1015258</v>
      </c>
      <c r="G35" s="73" t="s">
        <v>142</v>
      </c>
      <c r="H35" s="35" t="s">
        <v>143</v>
      </c>
      <c r="I35" s="48">
        <v>775723</v>
      </c>
      <c r="J35" s="73" t="s">
        <v>142</v>
      </c>
      <c r="K35" s="35" t="s">
        <v>143</v>
      </c>
      <c r="L35" s="48">
        <v>995858</v>
      </c>
      <c r="M35" s="73" t="s">
        <v>142</v>
      </c>
      <c r="N35" s="35" t="s">
        <v>143</v>
      </c>
    </row>
    <row r="36" spans="1:14" ht="114.75" x14ac:dyDescent="0.25">
      <c r="A36" s="37" t="s">
        <v>106</v>
      </c>
      <c r="B36" s="38" t="s">
        <v>56</v>
      </c>
      <c r="C36" s="103" t="s">
        <v>57</v>
      </c>
      <c r="D36" s="29" t="s">
        <v>119</v>
      </c>
      <c r="E36" s="29">
        <v>1</v>
      </c>
      <c r="F36" s="29"/>
      <c r="G36" s="29"/>
      <c r="H36" s="33"/>
      <c r="I36" s="29"/>
      <c r="J36" s="29"/>
      <c r="K36" s="33"/>
      <c r="L36" s="34"/>
      <c r="M36" s="34"/>
      <c r="N36" s="33"/>
    </row>
    <row r="37" spans="1:14" ht="114.75" x14ac:dyDescent="0.25">
      <c r="A37" s="12" t="s">
        <v>107</v>
      </c>
      <c r="B37" s="13" t="s">
        <v>58</v>
      </c>
      <c r="C37" s="69" t="s">
        <v>59</v>
      </c>
      <c r="D37" s="14" t="s">
        <v>119</v>
      </c>
      <c r="E37" s="14">
        <v>1</v>
      </c>
      <c r="F37" s="15">
        <v>2098999</v>
      </c>
      <c r="G37" s="14" t="s">
        <v>130</v>
      </c>
      <c r="H37" s="16" t="s">
        <v>124</v>
      </c>
      <c r="I37" s="48">
        <v>2130202</v>
      </c>
      <c r="J37" s="14" t="s">
        <v>130</v>
      </c>
      <c r="K37" s="35" t="s">
        <v>124</v>
      </c>
      <c r="L37" s="48">
        <v>2250458</v>
      </c>
      <c r="M37" s="14" t="s">
        <v>130</v>
      </c>
      <c r="N37" s="35" t="s">
        <v>124</v>
      </c>
    </row>
    <row r="38" spans="1:14" ht="51" x14ac:dyDescent="0.25">
      <c r="A38" s="37" t="s">
        <v>108</v>
      </c>
      <c r="B38" s="38" t="s">
        <v>60</v>
      </c>
      <c r="C38" s="103" t="s">
        <v>73</v>
      </c>
      <c r="D38" s="29" t="s">
        <v>119</v>
      </c>
      <c r="E38" s="29">
        <v>1</v>
      </c>
      <c r="F38" s="29"/>
      <c r="G38" s="29"/>
      <c r="H38" s="33"/>
      <c r="I38" s="29"/>
      <c r="J38" s="29"/>
      <c r="K38" s="33"/>
      <c r="L38" s="34" t="s">
        <v>461</v>
      </c>
      <c r="M38" s="34"/>
      <c r="N38" s="33"/>
    </row>
    <row r="39" spans="1:14" ht="105" x14ac:dyDescent="0.25">
      <c r="A39" s="12" t="s">
        <v>109</v>
      </c>
      <c r="B39" s="13" t="s">
        <v>61</v>
      </c>
      <c r="C39" s="69" t="s">
        <v>62</v>
      </c>
      <c r="D39" s="14" t="s">
        <v>119</v>
      </c>
      <c r="E39" s="14">
        <v>1</v>
      </c>
      <c r="F39" s="22">
        <v>94148</v>
      </c>
      <c r="G39" s="14" t="s">
        <v>131</v>
      </c>
      <c r="H39" s="16" t="s">
        <v>124</v>
      </c>
      <c r="I39" s="15">
        <v>117487</v>
      </c>
      <c r="J39" s="14" t="s">
        <v>131</v>
      </c>
      <c r="K39" s="16" t="s">
        <v>124</v>
      </c>
      <c r="L39" s="15">
        <v>100737</v>
      </c>
      <c r="M39" s="14" t="s">
        <v>131</v>
      </c>
      <c r="N39" s="16" t="s">
        <v>124</v>
      </c>
    </row>
    <row r="40" spans="1:14" ht="105" x14ac:dyDescent="0.25">
      <c r="A40" s="12" t="s">
        <v>110</v>
      </c>
      <c r="B40" s="13" t="s">
        <v>63</v>
      </c>
      <c r="C40" s="69" t="s">
        <v>74</v>
      </c>
      <c r="D40" s="14" t="s">
        <v>119</v>
      </c>
      <c r="E40" s="14">
        <v>1</v>
      </c>
      <c r="F40" s="22">
        <v>5462183</v>
      </c>
      <c r="G40" s="14" t="s">
        <v>208</v>
      </c>
      <c r="H40" s="16" t="s">
        <v>124</v>
      </c>
      <c r="I40" s="15">
        <v>5735292</v>
      </c>
      <c r="J40" s="14" t="s">
        <v>208</v>
      </c>
      <c r="K40" s="16" t="s">
        <v>124</v>
      </c>
      <c r="L40" s="15">
        <v>5805000</v>
      </c>
      <c r="M40" s="14" t="s">
        <v>208</v>
      </c>
      <c r="N40" s="16" t="s">
        <v>124</v>
      </c>
    </row>
    <row r="41" spans="1:14" ht="90" x14ac:dyDescent="0.25">
      <c r="A41" s="12" t="s">
        <v>111</v>
      </c>
      <c r="B41" s="13" t="s">
        <v>64</v>
      </c>
      <c r="C41" s="69" t="s">
        <v>185</v>
      </c>
      <c r="D41" s="14" t="s">
        <v>119</v>
      </c>
      <c r="E41" s="14">
        <v>1</v>
      </c>
      <c r="F41" s="26">
        <v>4383246</v>
      </c>
      <c r="G41" s="105" t="s">
        <v>127</v>
      </c>
      <c r="H41" s="16" t="s">
        <v>128</v>
      </c>
      <c r="I41" s="26">
        <v>3883400</v>
      </c>
      <c r="J41" s="14" t="s">
        <v>127</v>
      </c>
      <c r="K41" s="16" t="s">
        <v>128</v>
      </c>
      <c r="L41" s="26">
        <v>4128358</v>
      </c>
      <c r="M41" s="14" t="s">
        <v>127</v>
      </c>
      <c r="N41" s="16" t="s">
        <v>128</v>
      </c>
    </row>
    <row r="42" spans="1:14" ht="105" x14ac:dyDescent="0.25">
      <c r="A42" s="12" t="s">
        <v>112</v>
      </c>
      <c r="B42" s="13" t="s">
        <v>65</v>
      </c>
      <c r="C42" s="69" t="s">
        <v>66</v>
      </c>
      <c r="D42" s="14" t="s">
        <v>119</v>
      </c>
      <c r="E42" s="14">
        <v>1</v>
      </c>
      <c r="F42" s="22">
        <v>3218803.6669213101</v>
      </c>
      <c r="G42" s="14" t="s">
        <v>126</v>
      </c>
      <c r="H42" s="16" t="s">
        <v>124</v>
      </c>
      <c r="I42" s="15">
        <v>2958903</v>
      </c>
      <c r="J42" s="14" t="s">
        <v>126</v>
      </c>
      <c r="K42" s="16" t="s">
        <v>124</v>
      </c>
      <c r="L42" s="15">
        <v>3175895</v>
      </c>
      <c r="M42" s="14" t="s">
        <v>126</v>
      </c>
      <c r="N42" s="16" t="s">
        <v>124</v>
      </c>
    </row>
    <row r="43" spans="1:14" ht="57" customHeight="1" thickBot="1" x14ac:dyDescent="0.3">
      <c r="A43" s="76" t="s">
        <v>113</v>
      </c>
      <c r="B43" s="77" t="s">
        <v>67</v>
      </c>
      <c r="C43" s="70" t="s">
        <v>68</v>
      </c>
      <c r="D43" s="74" t="s">
        <v>119</v>
      </c>
      <c r="E43" s="74">
        <v>1</v>
      </c>
      <c r="F43" s="22">
        <v>351309</v>
      </c>
      <c r="G43" s="107" t="s">
        <v>207</v>
      </c>
      <c r="H43" s="75" t="s">
        <v>124</v>
      </c>
      <c r="I43" s="22">
        <v>385127</v>
      </c>
      <c r="J43" s="74" t="s">
        <v>207</v>
      </c>
      <c r="K43" s="75" t="s">
        <v>124</v>
      </c>
      <c r="L43" s="22">
        <v>328800</v>
      </c>
      <c r="M43" s="74" t="s">
        <v>207</v>
      </c>
      <c r="N43" s="75" t="s">
        <v>124</v>
      </c>
    </row>
    <row r="44" spans="1:14" customFormat="1" ht="15" customHeight="1" thickBot="1" x14ac:dyDescent="0.3">
      <c r="B44" s="203" t="s">
        <v>117</v>
      </c>
      <c r="C44" s="204"/>
      <c r="D44" s="204"/>
      <c r="E44" s="204"/>
      <c r="F44" s="204"/>
      <c r="G44" s="1"/>
      <c r="H44" s="1"/>
      <c r="I44" s="1"/>
      <c r="J44" s="1"/>
    </row>
    <row r="45" spans="1:14" customFormat="1" ht="139.5" customHeight="1" thickBot="1" x14ac:dyDescent="0.3">
      <c r="B45" s="205" t="s">
        <v>186</v>
      </c>
      <c r="C45" s="206"/>
      <c r="D45" s="206"/>
      <c r="E45" s="206"/>
      <c r="F45" s="206"/>
      <c r="G45" s="206"/>
      <c r="H45" s="206"/>
      <c r="I45" s="206"/>
      <c r="J45" s="207"/>
    </row>
    <row r="46" spans="1:14" ht="15.75" thickBot="1" x14ac:dyDescent="0.3"/>
    <row r="47" spans="1:14" ht="15.75" thickBot="1" x14ac:dyDescent="0.3">
      <c r="A47" s="200" t="s">
        <v>75</v>
      </c>
      <c r="B47" s="201"/>
      <c r="C47" s="201"/>
      <c r="D47" s="201"/>
      <c r="E47" s="201"/>
      <c r="F47" s="201"/>
      <c r="G47" s="201"/>
      <c r="H47" s="201"/>
      <c r="I47" s="202"/>
    </row>
    <row r="48" spans="1:14" ht="90.75" thickBot="1" x14ac:dyDescent="0.3">
      <c r="A48" s="17" t="s">
        <v>114</v>
      </c>
      <c r="B48" s="18" t="s">
        <v>116</v>
      </c>
      <c r="C48" s="19" t="s">
        <v>115</v>
      </c>
      <c r="D48" s="20" t="s">
        <v>119</v>
      </c>
      <c r="E48" s="20">
        <v>1</v>
      </c>
      <c r="F48" s="27">
        <v>815.1260504201681</v>
      </c>
      <c r="G48" s="20" t="s">
        <v>125</v>
      </c>
      <c r="H48" s="42" t="s">
        <v>135</v>
      </c>
      <c r="I48" s="43"/>
      <c r="J48" s="43"/>
      <c r="K48" s="44"/>
      <c r="L48" s="43"/>
      <c r="M48" s="43"/>
      <c r="N48" s="44"/>
    </row>
    <row r="49" spans="1:15" x14ac:dyDescent="0.25">
      <c r="A49" s="21"/>
      <c r="B49" s="21"/>
      <c r="C49" s="21"/>
      <c r="D49" s="21"/>
      <c r="E49" s="21"/>
      <c r="F49" s="21"/>
      <c r="G49" s="21"/>
      <c r="H49" s="21"/>
      <c r="I49" s="21"/>
      <c r="J49" s="21"/>
      <c r="K49" s="21"/>
      <c r="L49" s="21"/>
      <c r="M49" s="21"/>
      <c r="N49" s="21"/>
      <c r="O49" s="21"/>
    </row>
    <row r="50" spans="1:15" x14ac:dyDescent="0.25">
      <c r="A50" s="21"/>
      <c r="B50" s="21"/>
      <c r="C50" s="21"/>
      <c r="D50" s="21"/>
      <c r="E50" s="21"/>
      <c r="F50" s="21"/>
      <c r="G50" s="21"/>
      <c r="H50" s="21"/>
      <c r="I50" s="21"/>
      <c r="J50" s="21"/>
      <c r="K50" s="21"/>
      <c r="L50" s="21"/>
      <c r="M50" s="21"/>
      <c r="N50" s="21"/>
      <c r="O50" s="21"/>
    </row>
    <row r="51" spans="1:15" x14ac:dyDescent="0.25">
      <c r="A51" s="21"/>
      <c r="B51" s="21"/>
      <c r="C51" s="21"/>
      <c r="D51" s="21"/>
      <c r="E51" s="21"/>
      <c r="F51" s="21"/>
      <c r="G51" s="21"/>
      <c r="H51" s="21"/>
      <c r="I51" s="21"/>
      <c r="J51" s="21"/>
      <c r="K51" s="21"/>
      <c r="L51" s="21"/>
      <c r="M51" s="21"/>
      <c r="N51" s="21"/>
      <c r="O51" s="21"/>
    </row>
    <row r="52" spans="1:15" ht="18.75" x14ac:dyDescent="0.25">
      <c r="A52" s="199"/>
      <c r="B52" s="199"/>
      <c r="C52" s="199"/>
      <c r="D52" s="199"/>
      <c r="E52" s="199"/>
      <c r="F52" s="199"/>
      <c r="G52" s="199"/>
      <c r="H52" s="199"/>
      <c r="I52" s="199"/>
    </row>
  </sheetData>
  <mergeCells count="8">
    <mergeCell ref="A1:I1"/>
    <mergeCell ref="A2:I2"/>
    <mergeCell ref="A3:I3"/>
    <mergeCell ref="A4:I4"/>
    <mergeCell ref="A52:I52"/>
    <mergeCell ref="A47:I47"/>
    <mergeCell ref="B44:F44"/>
    <mergeCell ref="B45:J45"/>
  </mergeCells>
  <phoneticPr fontId="7" type="noConversion"/>
  <conditionalFormatting sqref="F23:F25">
    <cfRule type="cellIs" dxfId="11" priority="7" stopIfTrue="1" operator="greaterThan">
      <formula>#REF!</formula>
    </cfRule>
  </conditionalFormatting>
  <conditionalFormatting sqref="I23:I24">
    <cfRule type="cellIs" dxfId="10" priority="5" stopIfTrue="1" operator="greaterThan">
      <formula>#REF!</formula>
    </cfRule>
  </conditionalFormatting>
  <hyperlinks>
    <hyperlink ref="H6" r:id="rId1" xr:uid="{B43856B1-6CA0-486E-B783-3E224E4F99DF}"/>
    <hyperlink ref="H34" r:id="rId2" xr:uid="{618D0417-89CF-492A-9F44-3A20E745A0F7}"/>
    <hyperlink ref="H17" r:id="rId3" xr:uid="{B0EABDC5-36D0-4AEF-AB5C-3F49E6A6141A}"/>
    <hyperlink ref="H13" r:id="rId4" xr:uid="{8604F973-4078-4C35-B735-5009EAFE1893}"/>
    <hyperlink ref="H12" r:id="rId5" xr:uid="{5215639C-9510-4E33-95B8-467502D5C49E}"/>
    <hyperlink ref="H11" r:id="rId6" xr:uid="{925CA14E-F177-4A07-B53A-AA1DDC0B05BF}"/>
    <hyperlink ref="H10" r:id="rId7" xr:uid="{BD61930A-4A35-4C32-8176-3D855D9E078A}"/>
    <hyperlink ref="H9" r:id="rId8" xr:uid="{C64B621E-B0B4-44EB-9680-31C1299BE7A5}"/>
    <hyperlink ref="H8" r:id="rId9" xr:uid="{261CF553-A97A-4294-8178-451E5A6ACED2}"/>
    <hyperlink ref="H25" r:id="rId10" xr:uid="{9AC220F0-C6E2-4740-A52C-878F77A53A8E}"/>
    <hyperlink ref="H42" r:id="rId11" xr:uid="{0A45F253-97B2-44C7-8710-072EFCE4D825}"/>
    <hyperlink ref="H30" r:id="rId12" xr:uid="{9E3AA161-B844-4FD1-8D2C-85D2707A37ED}"/>
    <hyperlink ref="K8" r:id="rId13" xr:uid="{86C0E994-4CF9-4288-ABD0-DD33FC8E1BDA}"/>
    <hyperlink ref="K10" r:id="rId14" xr:uid="{56910E0F-72F4-4077-8B99-EDC25DA9505E}"/>
    <hyperlink ref="K11" r:id="rId15" xr:uid="{FD20F1EB-31F3-46AF-9C64-0EE5AB734203}"/>
    <hyperlink ref="K12" r:id="rId16" xr:uid="{D3400E48-B619-4111-B165-5D817EF0BA56}"/>
    <hyperlink ref="K13" r:id="rId17" xr:uid="{7E751A6F-58D5-4C2B-96A5-2AE492DD3E97}"/>
    <hyperlink ref="K14" r:id="rId18" xr:uid="{B4D089DD-F6AC-47CC-8256-D0423A8B60FF}"/>
    <hyperlink ref="K25" r:id="rId19" xr:uid="{65242468-5460-497A-A7FF-6DE9BF8A3625}"/>
    <hyperlink ref="K27" r:id="rId20" xr:uid="{538B1A08-F47C-443F-8F26-1101846BD7B6}"/>
    <hyperlink ref="H37" r:id="rId21" xr:uid="{80DF3147-D5F3-4C0B-B823-A2F40F638940}"/>
    <hyperlink ref="K39" r:id="rId22" xr:uid="{08216263-7E8D-4289-8C4F-D066A2211BD7}"/>
    <hyperlink ref="N11" r:id="rId23" xr:uid="{981A17C7-D0A3-41AD-8EC9-1864A253EE81}"/>
    <hyperlink ref="K6" r:id="rId24" xr:uid="{C53CFACF-FAD7-42FC-933E-9B55CD1E2ADF}"/>
    <hyperlink ref="J6" r:id="rId25" display="https://community.secop.gov.co/Public/Tendering/OpportunityDetail/Index?noticeUID=CO1.NTC.10888899&amp;isFromPublicArea=True&amp;isModal=False" xr:uid="{15739C8E-2B24-4C0A-8425-AF1053EFBC1A}"/>
    <hyperlink ref="N6" r:id="rId26" xr:uid="{E773D477-9D8F-4997-B632-BE07327A6E39}"/>
    <hyperlink ref="M6" r:id="rId27" xr:uid="{BECF33B1-9B3A-48AE-B734-E74A72FB3A89}"/>
    <hyperlink ref="J8" r:id="rId28" xr:uid="{C9C2FED6-EC23-473C-9B7C-CEB3274DDB32}"/>
    <hyperlink ref="M8" r:id="rId29" xr:uid="{253719D1-3867-465E-B92F-0D8C77058A06}"/>
    <hyperlink ref="K9" r:id="rId30" xr:uid="{63C2BA78-A789-4D2C-933B-796223E05EE6}"/>
    <hyperlink ref="J9" r:id="rId31" xr:uid="{7206FBBD-6442-40A5-BDEB-0CC60D679FD6}"/>
    <hyperlink ref="N9" r:id="rId32" xr:uid="{CB66F6DB-5DC9-4601-9C4B-C270D2F39C2F}"/>
    <hyperlink ref="M9" r:id="rId33" xr:uid="{ABF60C5E-8EB9-48F2-860F-460172FBAEB8}"/>
    <hyperlink ref="N10" r:id="rId34" xr:uid="{DD1DC7A3-E644-41FA-9998-A541CFDB748D}"/>
    <hyperlink ref="M10" r:id="rId35" xr:uid="{A6ECFAEF-0454-4F72-A35B-B1E8114B25CA}"/>
    <hyperlink ref="M11" r:id="rId36" xr:uid="{907D80C4-64E8-4A94-8496-59EBB445F0BE}"/>
    <hyperlink ref="N13" r:id="rId37" xr:uid="{780865D4-CA64-4A34-AB70-92A56B3F0B51}"/>
    <hyperlink ref="M13" r:id="rId38" xr:uid="{49CCD0D4-5F83-493B-BC71-7A1DF430BFCD}"/>
    <hyperlink ref="J25" r:id="rId39" display="https://community.secop.gov.co/Public/Tendering/OpportunityDetail/Index?noticeUID=CO1.NTC.10738624&amp;isFromPublicArea=True&amp;isModal=False" xr:uid="{B928F20F-DFFD-4BD7-87B8-A0C5373F28CF}"/>
    <hyperlink ref="H27" r:id="rId40" xr:uid="{421BD237-01BD-49C1-BEBC-054A48573BAA}"/>
    <hyperlink ref="K30" r:id="rId41" xr:uid="{EF24C0F9-AC4E-4CE5-BCF9-E54966B22227}"/>
    <hyperlink ref="G31" r:id="rId42" display="https://community.secop.gov.co/Public/Tendering/OpportunityDetail/Index?noticeUID=CO1.NTC.10738624&amp;isFromPublicArea=True&amp;isModal=False" xr:uid="{4455D297-0BD0-4A8A-B8A1-932682C3BABA}"/>
    <hyperlink ref="H32" r:id="rId43" xr:uid="{3F60B4B8-DF37-4D6E-95E1-A1DB16E5397B}"/>
    <hyperlink ref="G32" r:id="rId44" display="https://community.secop.gov.co/Public/Tendering/OpportunityDetail/Index?noticeUID=CO1.NTC.10738624&amp;isFromPublicArea=True&amp;isModal=False" xr:uid="{4BA94D60-97A4-470F-9A42-8FABBD5458CB}"/>
    <hyperlink ref="K34" r:id="rId45" xr:uid="{5859A537-76AA-4C6D-BDD7-A08810126BDE}"/>
    <hyperlink ref="N34" r:id="rId46" xr:uid="{68CB864C-282A-4585-B7C9-CBDD86BB792B}"/>
    <hyperlink ref="K37" r:id="rId47" xr:uid="{E065A410-850F-4576-9918-B837E4CBFB3F}"/>
    <hyperlink ref="H48" r:id="rId48" xr:uid="{2D2543CA-D082-45AC-90F1-4B184917956B}"/>
    <hyperlink ref="K18" r:id="rId49" xr:uid="{FF02DA3F-9812-4014-A5A3-4EFDB765F82A}"/>
    <hyperlink ref="G18" r:id="rId50" display="https://community.secop.gov.co/Public/Tendering/OpportunityDetail/Index?noticeUID=CO1.NTC.10738624&amp;isFromPublicArea=True&amp;isModal=False" xr:uid="{D10F16C8-1394-449C-9C15-F334C9DC710D}"/>
    <hyperlink ref="H18" r:id="rId51" xr:uid="{C0D7F7E6-1AAE-4BC1-9656-1A5C338815F0}"/>
    <hyperlink ref="M18" r:id="rId52" display="https://community.secop.gov.co/Public/Tendering/OpportunityDetail/Index?noticeUID=CO1.NTC.10738624&amp;isFromPublicArea=True&amp;isModal=False" xr:uid="{3A777BD8-83AF-4FE9-8B85-73F65539C525}"/>
    <hyperlink ref="N18" r:id="rId53" xr:uid="{C214B776-675E-478A-8C8B-94B9FEDC3C58}"/>
    <hyperlink ref="H28" r:id="rId54" xr:uid="{D3621DBF-743A-4F71-A279-D28F9D7DB479}"/>
    <hyperlink ref="G28" r:id="rId55" xr:uid="{A6E1CBE8-4E9A-4EBA-BF74-7FA72E977E24}"/>
    <hyperlink ref="H33" r:id="rId56" xr:uid="{C74FA6CD-BBB4-45AF-9F04-E55A35A00AD9}"/>
    <hyperlink ref="G33" r:id="rId57" xr:uid="{CE2298F3-B25C-4DDE-B0B0-621B2E03AD4E}"/>
    <hyperlink ref="K33" r:id="rId58" xr:uid="{D2294CB0-B9A5-4B80-94CF-DB761699FB9A}"/>
    <hyperlink ref="J33" r:id="rId59" xr:uid="{6568C432-7D8B-4E18-8472-F7E04450F14E}"/>
    <hyperlink ref="H35" r:id="rId60" xr:uid="{CF64C888-4F90-436D-8372-626BE1D1BAAA}"/>
    <hyperlink ref="G35" r:id="rId61" xr:uid="{EB9B5734-1DFC-4AD9-906C-467B1FA661A2}"/>
    <hyperlink ref="H14" r:id="rId62" xr:uid="{A6A182D7-E9EF-4935-9E8D-8D0062646B8D}"/>
    <hyperlink ref="N14" r:id="rId63" xr:uid="{3B52FAD5-4E68-4AB0-9441-2435D1B5A496}"/>
    <hyperlink ref="N12" r:id="rId64" xr:uid="{6CCE6BEE-33B2-495D-9189-C6B5D3B136FD}"/>
    <hyperlink ref="K15" r:id="rId65" xr:uid="{E007480B-5AEB-4D3B-BE36-EB72B088D4D1}"/>
    <hyperlink ref="N15" r:id="rId66" xr:uid="{883A83EC-1235-496A-BA56-4B9C61D49617}"/>
    <hyperlink ref="H15" r:id="rId67" xr:uid="{135F37F7-7C0B-4242-A500-AF74D2DAB0ED}"/>
    <hyperlink ref="H16" r:id="rId68" xr:uid="{A1260141-92C5-4966-8733-B4C1A9CEDFE7}"/>
    <hyperlink ref="K16" r:id="rId69" xr:uid="{13A3F923-4E2F-4D70-8DD5-B587D57D9B2E}"/>
    <hyperlink ref="N16" r:id="rId70" xr:uid="{2656BB5F-F3A7-456C-A299-0519A20D25D6}"/>
    <hyperlink ref="K17" r:id="rId71" xr:uid="{824EE9B7-ED62-4339-B29D-378BCFBCE2B8}"/>
    <hyperlink ref="N17" r:id="rId72" xr:uid="{ED364F07-4E45-4C16-B87F-494EEE154618}"/>
    <hyperlink ref="H19" r:id="rId73" xr:uid="{1A5FD1C5-C90A-41C8-93D0-9D8F1123BDA7}"/>
    <hyperlink ref="K19" r:id="rId74" xr:uid="{2CC3A4CB-90BB-4B1B-9DD4-EF45054283C3}"/>
    <hyperlink ref="N19" r:id="rId75" xr:uid="{F3EC1BB3-23F3-4CC8-86F4-7DCF6B40C79C}"/>
    <hyperlink ref="H21" r:id="rId76" xr:uid="{E06D4A01-A14A-43EC-890D-A3826051D6EA}"/>
    <hyperlink ref="K21" r:id="rId77" xr:uid="{18F170BD-B0C0-44C7-A29F-1A4970CB26D5}"/>
    <hyperlink ref="N21" r:id="rId78" xr:uid="{E823E5F2-EA3E-4F26-8DA4-D6B92739AFC3}"/>
    <hyperlink ref="H22" r:id="rId79" xr:uid="{E2F06326-F8DE-4BE2-B9B3-B72EF952F583}"/>
    <hyperlink ref="K22" r:id="rId80" xr:uid="{2256B5CC-67BD-4721-A4A2-433E3B4E385A}"/>
    <hyperlink ref="N22" r:id="rId81" xr:uid="{8E0D2346-DEBD-41C7-9AF3-95C3FC40C2DA}"/>
    <hyperlink ref="H23" r:id="rId82" xr:uid="{C1A3570A-4344-4182-A23B-098B141A9AE4}"/>
    <hyperlink ref="K23" r:id="rId83" xr:uid="{3A0B4281-A14D-486C-A77D-26C8C6D80D9C}"/>
    <hyperlink ref="N23" r:id="rId84" xr:uid="{0C61FF2A-26F2-4F38-9D39-50AE217C1228}"/>
    <hyperlink ref="N25" r:id="rId85" xr:uid="{16E25A85-47EA-4ED6-A713-4B5F2864B9F0}"/>
    <hyperlink ref="M25" r:id="rId86" display="https://community.secop.gov.co/Public/Tendering/OpportunityDetail/Index?noticeUID=CO1.NTC.10738624&amp;isFromPublicArea=True&amp;isModal=False" xr:uid="{24BF285B-6ACB-4A34-AADE-E7591852110C}"/>
    <hyperlink ref="N27" r:id="rId87" xr:uid="{86421B7E-29C9-4C0A-8F57-990F9C2AA2E5}"/>
    <hyperlink ref="K28" r:id="rId88" xr:uid="{4AD16D7C-4636-4C9C-A7CD-FEBB2376E72C}"/>
    <hyperlink ref="J28" r:id="rId89" xr:uid="{CCD68AF3-A6F4-4688-BF94-18BFDA018DAC}"/>
    <hyperlink ref="N28" r:id="rId90" xr:uid="{6FDF609F-3401-4E48-A5F3-B44D15FA16C5}"/>
    <hyperlink ref="M28" r:id="rId91" xr:uid="{B679238F-4701-4284-BCD9-4FEF824D96C9}"/>
    <hyperlink ref="H29" r:id="rId92" xr:uid="{46074A25-818A-49DC-A5EB-08AD7D8B5267}"/>
    <hyperlink ref="K29" r:id="rId93" xr:uid="{B1559029-6E11-4034-B6B8-48B1E0B83BC6}"/>
    <hyperlink ref="N29" r:id="rId94" xr:uid="{2B9BB71C-4FFC-4ABA-8904-C7AA556F7CA0}"/>
    <hyperlink ref="N30" r:id="rId95" xr:uid="{DDC9BB77-CE24-4701-9C43-BB469BCE886B}"/>
    <hyperlink ref="H31" r:id="rId96" xr:uid="{280AE17C-E1FD-42B6-89F5-8164E78D8CEB}"/>
    <hyperlink ref="K32" r:id="rId97" xr:uid="{3395C27E-D386-4F85-947E-0AA86AD67AF4}"/>
    <hyperlink ref="K31" r:id="rId98" xr:uid="{1FFE1155-5605-4359-9484-5FBDE0DDA76D}"/>
    <hyperlink ref="N31" r:id="rId99" xr:uid="{C1B3F2B2-D8FD-4648-8E2C-07773C7DB2E1}"/>
    <hyperlink ref="K42" r:id="rId100" xr:uid="{58FC7802-AD36-415B-A536-6524AEBF5A4E}"/>
    <hyperlink ref="N42" r:id="rId101" xr:uid="{3FC4DEE0-ECA5-4F3E-9B89-BBF3C3B821D9}"/>
    <hyperlink ref="N39" r:id="rId102" xr:uid="{93F5451C-7AB6-4E88-B1AA-B59C9CA9AA49}"/>
    <hyperlink ref="H39" r:id="rId103" xr:uid="{EB304B66-2253-4ECB-AC05-9558304774C4}"/>
    <hyperlink ref="H43" r:id="rId104" xr:uid="{140E7A6E-EEB4-4FAB-8296-9EE5FF1D3F99}"/>
    <hyperlink ref="K43" r:id="rId105" xr:uid="{054B263D-2F09-43EA-BC1F-2829F47005B6}"/>
    <hyperlink ref="N43" r:id="rId106" xr:uid="{88D3B6A1-DC04-4917-8C9E-E893331A6368}"/>
    <hyperlink ref="G40" r:id="rId107" display="SSF-SA-SU-001-2026" xr:uid="{3E242417-04E2-4B03-93F7-E604C8E9297D}"/>
    <hyperlink ref="H40" r:id="rId108" xr:uid="{3EBFEE70-696D-4A8E-96E7-19EB91547FF1}"/>
    <hyperlink ref="J40" r:id="rId109" display="SSF-SA-SU-001-2026" xr:uid="{BF3345D3-1F0B-4515-89A7-3F5CD4AECF53}"/>
    <hyperlink ref="K40" r:id="rId110" xr:uid="{97DE298A-56FA-44B2-B575-1CE2E8D0E055}"/>
    <hyperlink ref="M40" r:id="rId111" display="SSF-SA-SU-001-2026" xr:uid="{3953246F-8DE6-4624-8C87-20746041591B}"/>
    <hyperlink ref="N40" r:id="rId112" xr:uid="{AB15DE35-41EF-4EE7-A39D-57932BB896BB}"/>
    <hyperlink ref="H20" r:id="rId113" xr:uid="{158975DC-73F5-40D0-BD5F-824D1D6D7214}"/>
    <hyperlink ref="K20" r:id="rId114" xr:uid="{B42A9865-FE02-4B0B-9027-42E91823A95E}"/>
    <hyperlink ref="N20" r:id="rId115" xr:uid="{E07E8D42-4E33-4F79-803E-C8450066B1B0}"/>
    <hyperlink ref="N32" r:id="rId116" xr:uid="{9FED452F-864D-419B-AF2F-5AE9E3B0B793}"/>
    <hyperlink ref="M32" r:id="rId117" display="https://community.secop.gov.co/Public/Tendering/OpportunityDetail/Index?noticeUID=CO1.NTC.10738624&amp;isFromPublicArea=True&amp;isModal=False" xr:uid="{B23284C3-88A8-4780-8059-F05ABEE1EA34}"/>
    <hyperlink ref="N33" r:id="rId118" xr:uid="{4A53ACAE-5DCC-4098-9706-78E880288D94}"/>
    <hyperlink ref="M33" r:id="rId119" xr:uid="{F314B0F8-1BC0-4993-A83A-DEE616886170}"/>
    <hyperlink ref="K35" r:id="rId120" xr:uid="{69D4B9FC-1C8E-4734-B018-252C1EAB5A46}"/>
    <hyperlink ref="J35" r:id="rId121" xr:uid="{3D9C0E46-6954-4EFF-A3C0-0DC9A169FCAB}"/>
    <hyperlink ref="N35" r:id="rId122" xr:uid="{59496571-2830-443C-9D9A-802B2A3BC84D}"/>
    <hyperlink ref="M35" r:id="rId123" xr:uid="{70CDEF61-1859-465B-839E-D86BF868EB6B}"/>
    <hyperlink ref="N37" r:id="rId124" xr:uid="{3E66B681-2C77-43EA-B094-544C10880C47}"/>
  </hyperlinks>
  <pageMargins left="0.7" right="0.7" top="0.75" bottom="0.75" header="0.3" footer="0.3"/>
  <pageSetup paperSize="9" orientation="portrait"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B0688-3127-4858-9708-27CDB12C8B5B}">
  <dimension ref="A2:L47"/>
  <sheetViews>
    <sheetView showGridLines="0" topLeftCell="A38" workbookViewId="0">
      <selection activeCell="M42" sqref="M42"/>
    </sheetView>
  </sheetViews>
  <sheetFormatPr baseColWidth="10" defaultRowHeight="15" x14ac:dyDescent="0.25"/>
  <cols>
    <col min="3" max="3" width="12.7109375" customWidth="1"/>
    <col min="4" max="4" width="14.28515625" bestFit="1" customWidth="1"/>
    <col min="5" max="5" width="18.28515625" customWidth="1"/>
    <col min="8" max="8" width="16.140625" customWidth="1"/>
    <col min="9" max="9" width="13.140625" customWidth="1"/>
    <col min="10" max="10" width="13.5703125" customWidth="1"/>
    <col min="11" max="11" width="17.7109375" customWidth="1"/>
  </cols>
  <sheetData>
    <row r="2" spans="1:12" ht="41.45" customHeight="1" x14ac:dyDescent="0.25">
      <c r="B2" s="57" t="s">
        <v>144</v>
      </c>
      <c r="C2" s="212" t="s">
        <v>145</v>
      </c>
      <c r="D2" s="212"/>
      <c r="E2" s="212"/>
      <c r="F2" s="212" t="s">
        <v>146</v>
      </c>
      <c r="G2" s="212"/>
      <c r="H2" s="212"/>
      <c r="I2" s="212" t="s">
        <v>155</v>
      </c>
      <c r="J2" s="212"/>
      <c r="K2" s="212"/>
    </row>
    <row r="3" spans="1:12" ht="156.75" x14ac:dyDescent="0.25">
      <c r="B3" s="53" t="s">
        <v>147</v>
      </c>
      <c r="C3" s="54">
        <v>99900</v>
      </c>
      <c r="D3" s="55" t="s">
        <v>152</v>
      </c>
      <c r="E3" s="56">
        <f>+C3</f>
        <v>99900</v>
      </c>
      <c r="F3" s="54">
        <v>104350</v>
      </c>
      <c r="G3" s="55" t="s">
        <v>153</v>
      </c>
      <c r="H3" s="56">
        <f>+F3</f>
        <v>104350</v>
      </c>
      <c r="I3" s="54">
        <v>169900</v>
      </c>
      <c r="J3" s="55" t="s">
        <v>156</v>
      </c>
      <c r="K3" s="56">
        <f>+I3</f>
        <v>169900</v>
      </c>
    </row>
    <row r="4" spans="1:12" ht="213.75" x14ac:dyDescent="0.25">
      <c r="B4" s="53" t="s">
        <v>148</v>
      </c>
      <c r="C4" s="54">
        <v>79900</v>
      </c>
      <c r="D4" s="55" t="s">
        <v>158</v>
      </c>
      <c r="E4" s="56">
        <f>+C4</f>
        <v>79900</v>
      </c>
      <c r="F4" s="54">
        <v>63480</v>
      </c>
      <c r="G4" s="55" t="s">
        <v>159</v>
      </c>
      <c r="H4" s="56">
        <f>+F4</f>
        <v>63480</v>
      </c>
      <c r="I4" s="54">
        <v>75900</v>
      </c>
      <c r="J4" s="55" t="s">
        <v>154</v>
      </c>
      <c r="K4" s="56">
        <f>+I4</f>
        <v>75900</v>
      </c>
    </row>
    <row r="5" spans="1:12" ht="213.75" x14ac:dyDescent="0.25">
      <c r="B5" s="53" t="s">
        <v>149</v>
      </c>
      <c r="C5" s="54">
        <v>51828</v>
      </c>
      <c r="D5" s="55" t="s">
        <v>157</v>
      </c>
      <c r="E5" s="56">
        <f>+C5*5</f>
        <v>259140</v>
      </c>
      <c r="F5" s="54">
        <v>73200</v>
      </c>
      <c r="G5" s="55" t="s">
        <v>157</v>
      </c>
      <c r="H5" s="56">
        <f>+F5*5</f>
        <v>366000</v>
      </c>
      <c r="I5" s="54">
        <v>24500</v>
      </c>
      <c r="J5" s="55" t="s">
        <v>160</v>
      </c>
      <c r="K5" s="56">
        <f>+I5*5</f>
        <v>122500</v>
      </c>
      <c r="L5" s="50"/>
    </row>
    <row r="6" spans="1:12" ht="213.75" x14ac:dyDescent="0.25">
      <c r="B6" s="53" t="s">
        <v>150</v>
      </c>
      <c r="C6" s="54">
        <v>66286</v>
      </c>
      <c r="D6" s="55" t="s">
        <v>157</v>
      </c>
      <c r="E6" s="56">
        <f t="shared" ref="E6:E7" si="0">+C6*5</f>
        <v>331430</v>
      </c>
      <c r="F6" s="54">
        <v>77500</v>
      </c>
      <c r="G6" s="55" t="s">
        <v>157</v>
      </c>
      <c r="H6" s="56">
        <f t="shared" ref="H6:H7" si="1">+F6*5</f>
        <v>387500</v>
      </c>
      <c r="I6" s="54">
        <v>41400</v>
      </c>
      <c r="J6" s="55" t="s">
        <v>161</v>
      </c>
      <c r="K6" s="56">
        <f t="shared" ref="K6:K7" si="2">+I6*5</f>
        <v>207000</v>
      </c>
    </row>
    <row r="7" spans="1:12" ht="185.25" x14ac:dyDescent="0.25">
      <c r="B7" s="53" t="s">
        <v>151</v>
      </c>
      <c r="C7" s="54">
        <v>10950</v>
      </c>
      <c r="D7" s="55" t="s">
        <v>163</v>
      </c>
      <c r="E7" s="56">
        <f t="shared" si="0"/>
        <v>54750</v>
      </c>
      <c r="F7" s="54">
        <v>18900</v>
      </c>
      <c r="G7" s="55" t="s">
        <v>162</v>
      </c>
      <c r="H7" s="56">
        <f t="shared" si="1"/>
        <v>94500</v>
      </c>
      <c r="I7" s="54">
        <v>7350</v>
      </c>
      <c r="J7" s="55" t="s">
        <v>164</v>
      </c>
      <c r="K7" s="56">
        <f t="shared" si="2"/>
        <v>36750</v>
      </c>
    </row>
    <row r="8" spans="1:12" ht="28.9" customHeight="1" x14ac:dyDescent="0.25">
      <c r="A8" s="51"/>
      <c r="B8" s="212" t="s">
        <v>171</v>
      </c>
      <c r="C8" s="212"/>
      <c r="D8" s="212"/>
      <c r="E8" s="58">
        <f>+SUM(E3:E7)</f>
        <v>825120</v>
      </c>
      <c r="F8" s="52"/>
      <c r="G8" s="52"/>
      <c r="H8" s="58">
        <f>+SUM(H3:H7)</f>
        <v>1015830</v>
      </c>
      <c r="I8" s="52"/>
      <c r="J8" s="52"/>
      <c r="K8" s="58">
        <f>+SUM(K3:K7)</f>
        <v>612050</v>
      </c>
    </row>
    <row r="9" spans="1:12" x14ac:dyDescent="0.25">
      <c r="B9" s="213" t="s">
        <v>172</v>
      </c>
      <c r="C9" s="213"/>
      <c r="D9" s="214"/>
      <c r="E9" s="63">
        <f>+B27</f>
        <v>13345.333333333334</v>
      </c>
      <c r="F9" s="52"/>
      <c r="G9" s="52"/>
      <c r="H9" s="63">
        <f>+B27</f>
        <v>13345.333333333334</v>
      </c>
      <c r="I9" s="52"/>
      <c r="J9" s="52"/>
      <c r="K9" s="63">
        <f>+B27</f>
        <v>13345.333333333334</v>
      </c>
    </row>
    <row r="10" spans="1:12" ht="29.45" customHeight="1" x14ac:dyDescent="0.25">
      <c r="B10" s="212" t="s">
        <v>173</v>
      </c>
      <c r="C10" s="212"/>
      <c r="D10" s="212"/>
      <c r="E10" s="64">
        <f>+E8+E9</f>
        <v>838465.33333333337</v>
      </c>
      <c r="F10" s="52"/>
      <c r="G10" s="52"/>
      <c r="H10" s="64">
        <f>+H8+H9</f>
        <v>1029175.3333333334</v>
      </c>
      <c r="I10" s="52"/>
      <c r="J10" s="52"/>
      <c r="K10" s="64">
        <f>+K8+K9</f>
        <v>625395.33333333337</v>
      </c>
    </row>
    <row r="20" spans="1:10" x14ac:dyDescent="0.25">
      <c r="A20" s="216" t="s">
        <v>165</v>
      </c>
      <c r="B20" s="217"/>
      <c r="C20" s="217"/>
      <c r="D20" s="217"/>
      <c r="E20" s="217"/>
      <c r="F20" s="217"/>
      <c r="G20" s="217"/>
      <c r="H20" s="217"/>
      <c r="I20" s="217"/>
      <c r="J20" s="218"/>
    </row>
    <row r="23" spans="1:10" ht="30" x14ac:dyDescent="0.25">
      <c r="A23" s="59" t="s">
        <v>166</v>
      </c>
      <c r="B23" s="59" t="s">
        <v>167</v>
      </c>
      <c r="C23" s="59" t="s">
        <v>168</v>
      </c>
    </row>
    <row r="24" spans="1:10" ht="187.15" customHeight="1" x14ac:dyDescent="0.25">
      <c r="A24" s="31">
        <v>1</v>
      </c>
      <c r="B24" s="60">
        <v>15000</v>
      </c>
      <c r="C24" s="215" t="s">
        <v>169</v>
      </c>
      <c r="D24" s="215"/>
      <c r="E24" s="215"/>
    </row>
    <row r="25" spans="1:10" ht="99" customHeight="1" x14ac:dyDescent="0.25">
      <c r="A25" s="31">
        <v>2</v>
      </c>
      <c r="B25" s="60">
        <v>13500</v>
      </c>
      <c r="C25" s="215" t="s">
        <v>169</v>
      </c>
      <c r="D25" s="215"/>
      <c r="E25" s="215"/>
    </row>
    <row r="26" spans="1:10" ht="107.45" customHeight="1" x14ac:dyDescent="0.25">
      <c r="A26" s="31">
        <v>3</v>
      </c>
      <c r="B26" s="60">
        <v>11536</v>
      </c>
      <c r="C26" s="215" t="s">
        <v>169</v>
      </c>
      <c r="D26" s="215"/>
      <c r="E26" s="215"/>
    </row>
    <row r="27" spans="1:10" x14ac:dyDescent="0.25">
      <c r="A27" s="61" t="s">
        <v>170</v>
      </c>
      <c r="B27" s="62">
        <f>+AVERAGE(B24:B26)</f>
        <v>13345.333333333334</v>
      </c>
    </row>
    <row r="33" spans="2:11" ht="15.75" thickBot="1" x14ac:dyDescent="0.3"/>
    <row r="34" spans="2:11" ht="30" x14ac:dyDescent="0.25">
      <c r="B34" s="87" t="s">
        <v>144</v>
      </c>
      <c r="C34" s="208" t="s">
        <v>211</v>
      </c>
      <c r="D34" s="209"/>
      <c r="E34" s="79" t="s">
        <v>225</v>
      </c>
      <c r="F34" s="210" t="s">
        <v>212</v>
      </c>
      <c r="G34" s="211"/>
      <c r="H34" s="79" t="s">
        <v>225</v>
      </c>
      <c r="I34" s="210" t="s">
        <v>213</v>
      </c>
      <c r="J34" s="211"/>
      <c r="K34" s="79" t="s">
        <v>225</v>
      </c>
    </row>
    <row r="35" spans="2:11" ht="75" x14ac:dyDescent="0.25">
      <c r="B35" s="88" t="s">
        <v>214</v>
      </c>
      <c r="C35" s="80" t="s">
        <v>226</v>
      </c>
      <c r="D35" s="78">
        <v>15600</v>
      </c>
      <c r="E35" s="81">
        <f>+D35*2</f>
        <v>31200</v>
      </c>
      <c r="F35" s="80" t="s">
        <v>226</v>
      </c>
      <c r="G35" s="78">
        <v>12900</v>
      </c>
      <c r="H35" s="81">
        <f>+G35*2</f>
        <v>25800</v>
      </c>
      <c r="I35" s="80" t="s">
        <v>244</v>
      </c>
      <c r="J35" s="78">
        <v>57000</v>
      </c>
      <c r="K35" s="86">
        <f>+J35*2</f>
        <v>114000</v>
      </c>
    </row>
    <row r="36" spans="2:11" ht="85.5" x14ac:dyDescent="0.25">
      <c r="B36" s="88" t="s">
        <v>215</v>
      </c>
      <c r="C36" s="80" t="s">
        <v>227</v>
      </c>
      <c r="D36" s="78">
        <v>3100</v>
      </c>
      <c r="E36" s="81">
        <f>+D36*10</f>
        <v>31000</v>
      </c>
      <c r="F36" s="80" t="s">
        <v>236</v>
      </c>
      <c r="G36" s="78">
        <v>2500</v>
      </c>
      <c r="H36" s="81">
        <f>+G36*10</f>
        <v>25000</v>
      </c>
      <c r="I36" s="80" t="s">
        <v>245</v>
      </c>
      <c r="J36" s="78">
        <v>3250</v>
      </c>
      <c r="K36" s="81">
        <f>+J36*10</f>
        <v>32500</v>
      </c>
    </row>
    <row r="37" spans="2:11" ht="71.25" x14ac:dyDescent="0.25">
      <c r="B37" s="88" t="s">
        <v>216</v>
      </c>
      <c r="C37" s="80" t="s">
        <v>228</v>
      </c>
      <c r="D37" s="78">
        <v>3454</v>
      </c>
      <c r="E37" s="81">
        <f>+D37*20</f>
        <v>69080</v>
      </c>
      <c r="F37" s="80" t="s">
        <v>243</v>
      </c>
      <c r="G37" s="85">
        <v>1500</v>
      </c>
      <c r="H37" s="81">
        <f>+G37*20</f>
        <v>30000</v>
      </c>
      <c r="I37" s="80" t="s">
        <v>246</v>
      </c>
      <c r="J37" s="78">
        <v>2400</v>
      </c>
      <c r="K37" s="81">
        <f>+J37*20</f>
        <v>48000</v>
      </c>
    </row>
    <row r="38" spans="2:11" ht="85.5" x14ac:dyDescent="0.25">
      <c r="B38" s="88" t="s">
        <v>217</v>
      </c>
      <c r="C38" s="80" t="s">
        <v>229</v>
      </c>
      <c r="D38" s="78">
        <v>41900</v>
      </c>
      <c r="E38" s="81">
        <f>+D38*5</f>
        <v>209500</v>
      </c>
      <c r="F38" s="80" t="s">
        <v>237</v>
      </c>
      <c r="G38" s="78">
        <v>41900</v>
      </c>
      <c r="H38" s="81">
        <f>+G38*5</f>
        <v>209500</v>
      </c>
      <c r="I38" s="80" t="s">
        <v>247</v>
      </c>
      <c r="J38" s="78">
        <v>67900</v>
      </c>
      <c r="K38" s="81">
        <f>+J38*5</f>
        <v>339500</v>
      </c>
    </row>
    <row r="39" spans="2:11" ht="71.25" x14ac:dyDescent="0.25">
      <c r="B39" s="88" t="s">
        <v>218</v>
      </c>
      <c r="C39" s="80" t="s">
        <v>230</v>
      </c>
      <c r="D39" s="78">
        <v>25000</v>
      </c>
      <c r="E39" s="81">
        <f>+D39*10</f>
        <v>250000</v>
      </c>
      <c r="F39" s="80" t="s">
        <v>238</v>
      </c>
      <c r="G39" s="78">
        <v>33000</v>
      </c>
      <c r="H39" s="81">
        <f>+G39*10</f>
        <v>330000</v>
      </c>
      <c r="I39" s="80" t="s">
        <v>248</v>
      </c>
      <c r="J39" s="78">
        <v>25450</v>
      </c>
      <c r="K39" s="81">
        <f>+J39*10</f>
        <v>254500</v>
      </c>
    </row>
    <row r="40" spans="2:11" ht="71.25" x14ac:dyDescent="0.25">
      <c r="B40" s="88" t="s">
        <v>219</v>
      </c>
      <c r="C40" s="80" t="s">
        <v>231</v>
      </c>
      <c r="D40" s="78">
        <v>37335</v>
      </c>
      <c r="E40" s="81">
        <f>+D40*20</f>
        <v>746700</v>
      </c>
      <c r="F40" s="80" t="s">
        <v>239</v>
      </c>
      <c r="G40" s="78">
        <v>27800</v>
      </c>
      <c r="H40" s="81">
        <f>+G40*20</f>
        <v>556000</v>
      </c>
      <c r="I40" s="80" t="s">
        <v>249</v>
      </c>
      <c r="J40" s="78">
        <v>30250</v>
      </c>
      <c r="K40" s="81">
        <f>+J40*20</f>
        <v>605000</v>
      </c>
    </row>
    <row r="41" spans="2:11" ht="60" x14ac:dyDescent="0.25">
      <c r="B41" s="88" t="s">
        <v>220</v>
      </c>
      <c r="C41" s="80" t="s">
        <v>232</v>
      </c>
      <c r="D41" s="78">
        <v>12341</v>
      </c>
      <c r="E41" s="81">
        <f>+D41*20</f>
        <v>246820</v>
      </c>
      <c r="F41" s="80" t="s">
        <v>232</v>
      </c>
      <c r="G41" s="78">
        <v>15295</v>
      </c>
      <c r="H41" s="81">
        <f>+G41*20</f>
        <v>305900</v>
      </c>
      <c r="I41" s="80" t="s">
        <v>232</v>
      </c>
      <c r="J41" s="78">
        <v>17555</v>
      </c>
      <c r="K41" s="81">
        <f>+J41*20</f>
        <v>351100</v>
      </c>
    </row>
    <row r="42" spans="2:11" ht="71.25" x14ac:dyDescent="0.25">
      <c r="B42" s="88" t="s">
        <v>221</v>
      </c>
      <c r="C42" s="80" t="s">
        <v>233</v>
      </c>
      <c r="D42" s="78">
        <v>12900</v>
      </c>
      <c r="E42" s="81">
        <f>+D42*20</f>
        <v>258000</v>
      </c>
      <c r="F42" s="80" t="s">
        <v>240</v>
      </c>
      <c r="G42" s="78">
        <v>14000</v>
      </c>
      <c r="H42" s="81">
        <f>+G42*20</f>
        <v>280000</v>
      </c>
      <c r="I42" s="80" t="s">
        <v>240</v>
      </c>
      <c r="J42" s="78">
        <v>15600</v>
      </c>
      <c r="K42" s="81">
        <f>+J42*20</f>
        <v>312000</v>
      </c>
    </row>
    <row r="43" spans="2:11" ht="71.25" x14ac:dyDescent="0.25">
      <c r="B43" s="88" t="s">
        <v>222</v>
      </c>
      <c r="C43" s="80" t="s">
        <v>234</v>
      </c>
      <c r="D43" s="78">
        <v>22140</v>
      </c>
      <c r="E43" s="81">
        <f>+D43*20</f>
        <v>442800</v>
      </c>
      <c r="F43" s="80" t="s">
        <v>241</v>
      </c>
      <c r="G43" s="78">
        <v>14025</v>
      </c>
      <c r="H43" s="81">
        <f t="shared" ref="H43" si="3">+G43*20</f>
        <v>280500</v>
      </c>
      <c r="I43" s="80" t="s">
        <v>250</v>
      </c>
      <c r="J43" s="78">
        <v>4800</v>
      </c>
      <c r="K43" s="81">
        <f>+J43*20</f>
        <v>96000</v>
      </c>
    </row>
    <row r="44" spans="2:11" ht="75.75" thickBot="1" x14ac:dyDescent="0.3">
      <c r="B44" s="89" t="s">
        <v>223</v>
      </c>
      <c r="C44" s="82" t="s">
        <v>235</v>
      </c>
      <c r="D44" s="83">
        <v>9409</v>
      </c>
      <c r="E44" s="84">
        <f>+D44*20</f>
        <v>188180</v>
      </c>
      <c r="F44" s="82" t="s">
        <v>242</v>
      </c>
      <c r="G44" s="83">
        <v>14355</v>
      </c>
      <c r="H44" s="84">
        <f>+G44*20</f>
        <v>287100</v>
      </c>
      <c r="I44" s="82" t="s">
        <v>251</v>
      </c>
      <c r="J44" s="83">
        <v>12100</v>
      </c>
      <c r="K44" s="84">
        <f t="shared" ref="K44" si="4">+J44*20</f>
        <v>242000</v>
      </c>
    </row>
    <row r="45" spans="2:11" ht="15.75" thickBot="1" x14ac:dyDescent="0.3">
      <c r="B45" s="90" t="s">
        <v>252</v>
      </c>
      <c r="E45" s="91">
        <f>+SUM(E35:E44)</f>
        <v>2473280</v>
      </c>
      <c r="H45" s="91">
        <f>+SUM(H35:H44)</f>
        <v>2329800</v>
      </c>
      <c r="K45" s="91">
        <f>+SUM(K35:K44)</f>
        <v>2394600</v>
      </c>
    </row>
    <row r="47" spans="2:11" x14ac:dyDescent="0.25">
      <c r="B47" t="s">
        <v>224</v>
      </c>
    </row>
  </sheetData>
  <mergeCells count="13">
    <mergeCell ref="C34:D34"/>
    <mergeCell ref="F34:G34"/>
    <mergeCell ref="I34:J34"/>
    <mergeCell ref="B8:D8"/>
    <mergeCell ref="C2:E2"/>
    <mergeCell ref="F2:H2"/>
    <mergeCell ref="I2:K2"/>
    <mergeCell ref="B9:D9"/>
    <mergeCell ref="C24:E24"/>
    <mergeCell ref="C25:E25"/>
    <mergeCell ref="C26:E26"/>
    <mergeCell ref="A20:J20"/>
    <mergeCell ref="B10:D10"/>
  </mergeCells>
  <hyperlinks>
    <hyperlink ref="D3" r:id="rId1" xr:uid="{71783DD1-E2B1-4862-8E1E-4145738B0735}"/>
    <hyperlink ref="G3" r:id="rId2" xr:uid="{D4983D14-DAF8-4B2E-AC35-E6B0BBCC9067}"/>
    <hyperlink ref="J4" r:id="rId3" xr:uid="{56B33D09-74EF-4E63-BC12-95CE861B5912}"/>
    <hyperlink ref="J3" r:id="rId4" xr:uid="{0C7D2AEC-04E4-43D9-9439-BC4AF0A605DE}"/>
    <hyperlink ref="D5" r:id="rId5" xr:uid="{B9943BF6-6653-4AA0-9DD5-0C82DB0B0E79}"/>
    <hyperlink ref="G5" r:id="rId6" xr:uid="{F1307B49-456A-4AA0-A4C1-7A1AAABA525A}"/>
    <hyperlink ref="D6" r:id="rId7" xr:uid="{0964F362-0CE9-4043-B392-61242311208C}"/>
    <hyperlink ref="G6" r:id="rId8" xr:uid="{7604AF72-B6AA-4973-9560-95F01F7F68FC}"/>
    <hyperlink ref="D4" r:id="rId9" xr:uid="{0CFA9112-D4C3-4ACC-A493-9161E05A437A}"/>
    <hyperlink ref="G4" r:id="rId10" xr:uid="{C7C891E7-F868-4D3C-8624-E58C40A702AE}"/>
    <hyperlink ref="J5" r:id="rId11" xr:uid="{1E02D14A-BD93-493F-A23A-72FE46647543}"/>
    <hyperlink ref="D7" r:id="rId12" xr:uid="{9705BE1F-BD5D-4D43-BF78-9E37E17BC920}"/>
    <hyperlink ref="J7" r:id="rId13" xr:uid="{A3A5AF53-A00E-432B-BA7A-87DE5C14C3E5}"/>
    <hyperlink ref="C24" r:id="rId14" xr:uid="{B40FCB51-62E3-4E79-A18C-FD3122D7CC50}"/>
    <hyperlink ref="C25" r:id="rId15" xr:uid="{88EBE804-31FE-4AC3-9D9D-721438253AED}"/>
    <hyperlink ref="C26" r:id="rId16" xr:uid="{D3353E5D-1971-454A-BCD9-931ACF899CDB}"/>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9AC0A-0662-4FA2-BF42-F6F1EDCE90C3}">
  <dimension ref="C2:G8"/>
  <sheetViews>
    <sheetView showGridLines="0" workbookViewId="0">
      <selection activeCell="J3" sqref="J3"/>
    </sheetView>
  </sheetViews>
  <sheetFormatPr baseColWidth="10" defaultColWidth="11.5703125" defaultRowHeight="14.25" x14ac:dyDescent="0.2"/>
  <cols>
    <col min="1" max="2" width="11.5703125" style="52"/>
    <col min="3" max="3" width="22.42578125" style="52" customWidth="1"/>
    <col min="4" max="4" width="26.7109375" style="52" customWidth="1"/>
    <col min="5" max="5" width="19.5703125" style="52" customWidth="1"/>
    <col min="6" max="6" width="14.28515625" style="52" customWidth="1"/>
    <col min="7" max="7" width="23.85546875" style="52" customWidth="1"/>
    <col min="8" max="16384" width="11.5703125" style="52"/>
  </cols>
  <sheetData>
    <row r="2" spans="3:7" ht="15" x14ac:dyDescent="0.2">
      <c r="C2" s="104" t="s">
        <v>253</v>
      </c>
      <c r="D2" s="104" t="s">
        <v>273</v>
      </c>
      <c r="E2" s="104" t="s">
        <v>274</v>
      </c>
      <c r="F2" s="104" t="s">
        <v>275</v>
      </c>
      <c r="G2" s="104" t="s">
        <v>258</v>
      </c>
    </row>
    <row r="3" spans="3:7" ht="57" x14ac:dyDescent="0.2">
      <c r="C3" s="104" t="s">
        <v>276</v>
      </c>
      <c r="D3" s="53" t="s">
        <v>277</v>
      </c>
      <c r="E3" s="53" t="s">
        <v>278</v>
      </c>
      <c r="F3" s="53" t="s">
        <v>279</v>
      </c>
      <c r="G3" s="56">
        <v>329900</v>
      </c>
    </row>
    <row r="4" spans="3:7" ht="57" x14ac:dyDescent="0.2">
      <c r="C4" s="104" t="s">
        <v>280</v>
      </c>
      <c r="D4" s="53" t="s">
        <v>281</v>
      </c>
      <c r="E4" s="53" t="s">
        <v>282</v>
      </c>
      <c r="F4" s="53" t="s">
        <v>283</v>
      </c>
      <c r="G4" s="56">
        <v>287092</v>
      </c>
    </row>
    <row r="5" spans="3:7" ht="57" x14ac:dyDescent="0.2">
      <c r="C5" s="104" t="s">
        <v>284</v>
      </c>
      <c r="D5" s="53" t="s">
        <v>285</v>
      </c>
      <c r="E5" s="53" t="s">
        <v>286</v>
      </c>
      <c r="F5" s="53" t="s">
        <v>287</v>
      </c>
      <c r="G5" s="56">
        <v>108573</v>
      </c>
    </row>
    <row r="8" spans="3:7" ht="120.6" customHeight="1" x14ac:dyDescent="0.2">
      <c r="C8" s="219" t="s">
        <v>288</v>
      </c>
      <c r="D8" s="219"/>
      <c r="E8" s="219"/>
      <c r="F8" s="219"/>
      <c r="G8" s="219"/>
    </row>
  </sheetData>
  <mergeCells count="1">
    <mergeCell ref="C8:G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A4B03-BEA6-48D9-AFD1-DBED9F67AF96}">
  <dimension ref="B3:K17"/>
  <sheetViews>
    <sheetView showGridLines="0" topLeftCell="A13" workbookViewId="0">
      <selection activeCell="L5" sqref="L5"/>
    </sheetView>
  </sheetViews>
  <sheetFormatPr baseColWidth="10" defaultRowHeight="15" x14ac:dyDescent="0.25"/>
  <cols>
    <col min="3" max="3" width="12.7109375" customWidth="1"/>
    <col min="4" max="4" width="14.28515625" bestFit="1" customWidth="1"/>
    <col min="5" max="5" width="18.28515625" customWidth="1"/>
    <col min="8" max="8" width="16.140625" customWidth="1"/>
    <col min="9" max="9" width="13.140625" customWidth="1"/>
    <col min="10" max="10" width="13.5703125" customWidth="1"/>
    <col min="11" max="11" width="17.7109375" customWidth="1"/>
  </cols>
  <sheetData>
    <row r="3" spans="2:11" ht="15.75" thickBot="1" x14ac:dyDescent="0.3"/>
    <row r="4" spans="2:11" ht="30.75" thickBot="1" x14ac:dyDescent="0.3">
      <c r="B4" s="101" t="s">
        <v>144</v>
      </c>
      <c r="C4" s="220" t="s">
        <v>211</v>
      </c>
      <c r="D4" s="221"/>
      <c r="E4" s="98" t="s">
        <v>225</v>
      </c>
      <c r="F4" s="222" t="s">
        <v>212</v>
      </c>
      <c r="G4" s="223"/>
      <c r="H4" s="98" t="s">
        <v>225</v>
      </c>
      <c r="I4" s="222" t="s">
        <v>213</v>
      </c>
      <c r="J4" s="223"/>
      <c r="K4" s="98" t="s">
        <v>225</v>
      </c>
    </row>
    <row r="5" spans="2:11" ht="75" x14ac:dyDescent="0.25">
      <c r="B5" s="100" t="s">
        <v>214</v>
      </c>
      <c r="C5" s="96" t="s">
        <v>226</v>
      </c>
      <c r="D5" s="97">
        <v>15600</v>
      </c>
      <c r="E5" s="99">
        <f>+D5*2</f>
        <v>31200</v>
      </c>
      <c r="F5" s="96" t="s">
        <v>226</v>
      </c>
      <c r="G5" s="97">
        <v>12900</v>
      </c>
      <c r="H5" s="99">
        <f>+G5*2</f>
        <v>25800</v>
      </c>
      <c r="I5" s="96" t="s">
        <v>244</v>
      </c>
      <c r="J5" s="97">
        <v>57000</v>
      </c>
      <c r="K5" s="86">
        <f>+J5*2</f>
        <v>114000</v>
      </c>
    </row>
    <row r="6" spans="2:11" ht="85.5" x14ac:dyDescent="0.25">
      <c r="B6" s="92" t="s">
        <v>215</v>
      </c>
      <c r="C6" s="80" t="s">
        <v>227</v>
      </c>
      <c r="D6" s="78">
        <v>3100</v>
      </c>
      <c r="E6" s="81">
        <f>+D6*10</f>
        <v>31000</v>
      </c>
      <c r="F6" s="80" t="s">
        <v>236</v>
      </c>
      <c r="G6" s="78">
        <v>2500</v>
      </c>
      <c r="H6" s="81">
        <f>+G6*10</f>
        <v>25000</v>
      </c>
      <c r="I6" s="80" t="s">
        <v>245</v>
      </c>
      <c r="J6" s="78">
        <v>3250</v>
      </c>
      <c r="K6" s="81">
        <f>+J6*10</f>
        <v>32500</v>
      </c>
    </row>
    <row r="7" spans="2:11" ht="71.25" x14ac:dyDescent="0.25">
      <c r="B7" s="92" t="s">
        <v>216</v>
      </c>
      <c r="C7" s="80" t="s">
        <v>228</v>
      </c>
      <c r="D7" s="78">
        <v>3454</v>
      </c>
      <c r="E7" s="81">
        <f>+D7*20</f>
        <v>69080</v>
      </c>
      <c r="F7" s="80" t="s">
        <v>243</v>
      </c>
      <c r="G7" s="85">
        <v>1500</v>
      </c>
      <c r="H7" s="81">
        <f>+G7*20</f>
        <v>30000</v>
      </c>
      <c r="I7" s="80" t="s">
        <v>246</v>
      </c>
      <c r="J7" s="78">
        <v>2400</v>
      </c>
      <c r="K7" s="81">
        <f>+J7*20</f>
        <v>48000</v>
      </c>
    </row>
    <row r="8" spans="2:11" ht="85.5" x14ac:dyDescent="0.25">
      <c r="B8" s="92" t="s">
        <v>217</v>
      </c>
      <c r="C8" s="80" t="s">
        <v>229</v>
      </c>
      <c r="D8" s="78">
        <v>41900</v>
      </c>
      <c r="E8" s="81">
        <f>+D8*5</f>
        <v>209500</v>
      </c>
      <c r="F8" s="80" t="s">
        <v>237</v>
      </c>
      <c r="G8" s="78">
        <v>41900</v>
      </c>
      <c r="H8" s="81">
        <f>+G8*5</f>
        <v>209500</v>
      </c>
      <c r="I8" s="80" t="s">
        <v>247</v>
      </c>
      <c r="J8" s="78">
        <v>67900</v>
      </c>
      <c r="K8" s="81">
        <f>+J8*5</f>
        <v>339500</v>
      </c>
    </row>
    <row r="9" spans="2:11" ht="71.25" x14ac:dyDescent="0.25">
      <c r="B9" s="92" t="s">
        <v>218</v>
      </c>
      <c r="C9" s="80" t="s">
        <v>230</v>
      </c>
      <c r="D9" s="78">
        <v>25000</v>
      </c>
      <c r="E9" s="81">
        <f>+D9*10</f>
        <v>250000</v>
      </c>
      <c r="F9" s="80" t="s">
        <v>238</v>
      </c>
      <c r="G9" s="78">
        <v>33000</v>
      </c>
      <c r="H9" s="81">
        <f>+G9*10</f>
        <v>330000</v>
      </c>
      <c r="I9" s="80" t="s">
        <v>248</v>
      </c>
      <c r="J9" s="78">
        <v>25450</v>
      </c>
      <c r="K9" s="81">
        <f>+J9*10</f>
        <v>254500</v>
      </c>
    </row>
    <row r="10" spans="2:11" ht="71.25" x14ac:dyDescent="0.25">
      <c r="B10" s="92" t="s">
        <v>219</v>
      </c>
      <c r="C10" s="80" t="s">
        <v>231</v>
      </c>
      <c r="D10" s="78">
        <v>37335</v>
      </c>
      <c r="E10" s="81">
        <f>+D10*20</f>
        <v>746700</v>
      </c>
      <c r="F10" s="80" t="s">
        <v>239</v>
      </c>
      <c r="G10" s="78">
        <v>27800</v>
      </c>
      <c r="H10" s="81">
        <f>+G10*20</f>
        <v>556000</v>
      </c>
      <c r="I10" s="80" t="s">
        <v>249</v>
      </c>
      <c r="J10" s="78">
        <v>30250</v>
      </c>
      <c r="K10" s="81">
        <f>+J10*20</f>
        <v>605000</v>
      </c>
    </row>
    <row r="11" spans="2:11" ht="60" x14ac:dyDescent="0.25">
      <c r="B11" s="92" t="s">
        <v>220</v>
      </c>
      <c r="C11" s="80" t="s">
        <v>232</v>
      </c>
      <c r="D11" s="78">
        <v>12341</v>
      </c>
      <c r="E11" s="81">
        <f>+D11*20</f>
        <v>246820</v>
      </c>
      <c r="F11" s="80" t="s">
        <v>232</v>
      </c>
      <c r="G11" s="78">
        <v>15295</v>
      </c>
      <c r="H11" s="81">
        <f>+G11*20</f>
        <v>305900</v>
      </c>
      <c r="I11" s="80" t="s">
        <v>232</v>
      </c>
      <c r="J11" s="78">
        <v>17555</v>
      </c>
      <c r="K11" s="81">
        <f>+J11*20</f>
        <v>351100</v>
      </c>
    </row>
    <row r="12" spans="2:11" ht="71.25" x14ac:dyDescent="0.25">
      <c r="B12" s="92" t="s">
        <v>221</v>
      </c>
      <c r="C12" s="80" t="s">
        <v>233</v>
      </c>
      <c r="D12" s="78">
        <v>12900</v>
      </c>
      <c r="E12" s="81">
        <f>+D12*20</f>
        <v>258000</v>
      </c>
      <c r="F12" s="80" t="s">
        <v>240</v>
      </c>
      <c r="G12" s="78">
        <v>14000</v>
      </c>
      <c r="H12" s="81">
        <f>+G12*20</f>
        <v>280000</v>
      </c>
      <c r="I12" s="80" t="s">
        <v>240</v>
      </c>
      <c r="J12" s="78">
        <v>15600</v>
      </c>
      <c r="K12" s="81">
        <f>+J12*20</f>
        <v>312000</v>
      </c>
    </row>
    <row r="13" spans="2:11" ht="71.25" x14ac:dyDescent="0.25">
      <c r="B13" s="92" t="s">
        <v>222</v>
      </c>
      <c r="C13" s="80" t="s">
        <v>234</v>
      </c>
      <c r="D13" s="78">
        <v>22140</v>
      </c>
      <c r="E13" s="81">
        <f>+D13*20</f>
        <v>442800</v>
      </c>
      <c r="F13" s="80" t="s">
        <v>241</v>
      </c>
      <c r="G13" s="78">
        <v>14025</v>
      </c>
      <c r="H13" s="81">
        <f t="shared" ref="H13" si="0">+G13*20</f>
        <v>280500</v>
      </c>
      <c r="I13" s="80" t="s">
        <v>250</v>
      </c>
      <c r="J13" s="78">
        <v>4800</v>
      </c>
      <c r="K13" s="81">
        <f>+J13*20</f>
        <v>96000</v>
      </c>
    </row>
    <row r="14" spans="2:11" ht="75.75" thickBot="1" x14ac:dyDescent="0.3">
      <c r="B14" s="93" t="s">
        <v>223</v>
      </c>
      <c r="C14" s="82" t="s">
        <v>235</v>
      </c>
      <c r="D14" s="83">
        <v>9409</v>
      </c>
      <c r="E14" s="84">
        <f>+D14*20</f>
        <v>188180</v>
      </c>
      <c r="F14" s="82" t="s">
        <v>242</v>
      </c>
      <c r="G14" s="83">
        <v>14355</v>
      </c>
      <c r="H14" s="84">
        <f>+G14*20</f>
        <v>287100</v>
      </c>
      <c r="I14" s="82" t="s">
        <v>251</v>
      </c>
      <c r="J14" s="83">
        <v>12100</v>
      </c>
      <c r="K14" s="84">
        <f t="shared" ref="K14" si="1">+J14*20</f>
        <v>242000</v>
      </c>
    </row>
    <row r="15" spans="2:11" ht="15.75" thickBot="1" x14ac:dyDescent="0.3">
      <c r="B15" s="94" t="s">
        <v>252</v>
      </c>
      <c r="E15" s="95">
        <f>+SUM(E5:E14)</f>
        <v>2473280</v>
      </c>
      <c r="H15" s="95">
        <f>+SUM(H5:H14)</f>
        <v>2329800</v>
      </c>
      <c r="K15" s="95">
        <f>+SUM(K5:K14)</f>
        <v>2394600</v>
      </c>
    </row>
    <row r="17" spans="2:2" x14ac:dyDescent="0.25">
      <c r="B17" t="s">
        <v>224</v>
      </c>
    </row>
  </sheetData>
  <mergeCells count="3">
    <mergeCell ref="C4:D4"/>
    <mergeCell ref="F4:G4"/>
    <mergeCell ref="I4:J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49A7C-73AB-40CF-8915-B32E274BD13D}">
  <dimension ref="C2:H7"/>
  <sheetViews>
    <sheetView showGridLines="0" workbookViewId="0">
      <selection activeCell="H6" sqref="H6"/>
    </sheetView>
  </sheetViews>
  <sheetFormatPr baseColWidth="10" defaultRowHeight="15" x14ac:dyDescent="0.25"/>
  <cols>
    <col min="3" max="3" width="22.28515625" customWidth="1"/>
  </cols>
  <sheetData>
    <row r="2" spans="3:8" ht="45" x14ac:dyDescent="0.25">
      <c r="C2" s="102" t="s">
        <v>253</v>
      </c>
      <c r="D2" s="102" t="s">
        <v>254</v>
      </c>
      <c r="E2" s="102" t="s">
        <v>255</v>
      </c>
      <c r="F2" s="102" t="s">
        <v>256</v>
      </c>
      <c r="G2" s="102" t="s">
        <v>257</v>
      </c>
      <c r="H2" s="102" t="s">
        <v>258</v>
      </c>
    </row>
    <row r="3" spans="3:8" ht="45" x14ac:dyDescent="0.25">
      <c r="C3" s="104" t="s">
        <v>259</v>
      </c>
      <c r="D3" s="53" t="s">
        <v>260</v>
      </c>
      <c r="E3" s="53" t="s">
        <v>261</v>
      </c>
      <c r="F3" s="53" t="s">
        <v>262</v>
      </c>
      <c r="G3" s="53" t="s">
        <v>263</v>
      </c>
      <c r="H3" s="56">
        <v>3100000</v>
      </c>
    </row>
    <row r="4" spans="3:8" ht="30" x14ac:dyDescent="0.25">
      <c r="C4" s="104" t="s">
        <v>264</v>
      </c>
      <c r="D4" s="53" t="s">
        <v>265</v>
      </c>
      <c r="E4" s="53" t="s">
        <v>266</v>
      </c>
      <c r="F4" s="53" t="s">
        <v>267</v>
      </c>
      <c r="G4" s="53" t="s">
        <v>268</v>
      </c>
      <c r="H4" s="56">
        <v>3559900</v>
      </c>
    </row>
    <row r="5" spans="3:8" ht="30" x14ac:dyDescent="0.25">
      <c r="C5" s="104" t="s">
        <v>269</v>
      </c>
      <c r="D5" s="53" t="s">
        <v>260</v>
      </c>
      <c r="E5" s="53" t="s">
        <v>270</v>
      </c>
      <c r="F5" s="53" t="s">
        <v>271</v>
      </c>
      <c r="G5" s="53" t="s">
        <v>263</v>
      </c>
      <c r="H5" s="56">
        <v>3500000</v>
      </c>
    </row>
    <row r="7" spans="3:8" ht="213" customHeight="1" x14ac:dyDescent="0.25">
      <c r="C7" s="224" t="s">
        <v>272</v>
      </c>
      <c r="D7" s="224"/>
      <c r="E7" s="224"/>
      <c r="F7" s="224"/>
      <c r="G7" s="224"/>
      <c r="H7" s="224"/>
    </row>
  </sheetData>
  <mergeCells count="1">
    <mergeCell ref="C7:H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6CCF3-FCDF-40BA-9DD1-F82A362B942F}">
  <dimension ref="A1:H47"/>
  <sheetViews>
    <sheetView showGridLines="0" topLeftCell="A7" zoomScaleNormal="100" workbookViewId="0">
      <selection activeCell="G8" sqref="G8"/>
    </sheetView>
  </sheetViews>
  <sheetFormatPr baseColWidth="10" defaultRowHeight="15" x14ac:dyDescent="0.25"/>
  <cols>
    <col min="2" max="2" width="19.28515625" customWidth="1"/>
    <col min="3" max="3" width="45.7109375" customWidth="1"/>
    <col min="4" max="4" width="21.7109375" customWidth="1"/>
    <col min="6" max="6" width="20.7109375" customWidth="1"/>
    <col min="7" max="7" width="25.7109375" customWidth="1"/>
    <col min="8" max="8" width="40.7109375" style="110" customWidth="1"/>
  </cols>
  <sheetData>
    <row r="1" spans="1:8" ht="15.75" customHeight="1" x14ac:dyDescent="0.25">
      <c r="A1" s="226" t="s">
        <v>0</v>
      </c>
      <c r="B1" s="227"/>
      <c r="C1" s="227"/>
      <c r="D1" s="227"/>
      <c r="E1" s="227"/>
      <c r="F1" s="227"/>
      <c r="G1" s="227"/>
      <c r="H1" s="228"/>
    </row>
    <row r="2" spans="1:8" ht="16.5" customHeight="1" x14ac:dyDescent="0.25">
      <c r="A2" s="229" t="s">
        <v>1</v>
      </c>
      <c r="B2" s="230"/>
      <c r="C2" s="230"/>
      <c r="D2" s="230"/>
      <c r="E2" s="230"/>
      <c r="F2" s="230"/>
      <c r="G2" s="230"/>
      <c r="H2" s="231"/>
    </row>
    <row r="3" spans="1:8" ht="47.45" customHeight="1" thickBot="1" x14ac:dyDescent="0.3">
      <c r="A3" s="232" t="s">
        <v>118</v>
      </c>
      <c r="B3" s="233"/>
      <c r="C3" s="233"/>
      <c r="D3" s="233"/>
      <c r="E3" s="233"/>
      <c r="F3" s="233"/>
      <c r="G3" s="233"/>
      <c r="H3" s="234"/>
    </row>
    <row r="4" spans="1:8" ht="15" customHeight="1" thickBot="1" x14ac:dyDescent="0.3">
      <c r="A4" s="235" t="s">
        <v>2</v>
      </c>
      <c r="B4" s="236"/>
      <c r="C4" s="236"/>
      <c r="D4" s="236"/>
      <c r="E4" s="236"/>
      <c r="F4" s="236"/>
      <c r="G4" s="236"/>
      <c r="H4" s="236"/>
    </row>
    <row r="5" spans="1:8" ht="26.25" thickBot="1" x14ac:dyDescent="0.3">
      <c r="A5" s="131" t="s">
        <v>3</v>
      </c>
      <c r="B5" s="131" t="s">
        <v>4</v>
      </c>
      <c r="C5" s="131" t="s">
        <v>5</v>
      </c>
      <c r="D5" s="131" t="s">
        <v>6</v>
      </c>
      <c r="E5" s="131" t="s">
        <v>7</v>
      </c>
      <c r="F5" s="131" t="s">
        <v>369</v>
      </c>
      <c r="G5" s="131" t="s">
        <v>368</v>
      </c>
      <c r="H5" s="130" t="s">
        <v>367</v>
      </c>
    </row>
    <row r="6" spans="1:8" ht="97.5" customHeight="1" x14ac:dyDescent="0.25">
      <c r="A6" s="129" t="s">
        <v>76</v>
      </c>
      <c r="B6" s="128" t="s">
        <v>9</v>
      </c>
      <c r="C6" s="68" t="s">
        <v>366</v>
      </c>
      <c r="D6" s="127" t="s">
        <v>119</v>
      </c>
      <c r="E6" s="127">
        <v>1</v>
      </c>
      <c r="F6" s="126">
        <v>1849900</v>
      </c>
      <c r="G6" s="126" t="s">
        <v>360</v>
      </c>
      <c r="H6" s="125" t="s">
        <v>365</v>
      </c>
    </row>
    <row r="7" spans="1:8" ht="75.75" customHeight="1" x14ac:dyDescent="0.25">
      <c r="A7" s="121" t="s">
        <v>78</v>
      </c>
      <c r="B7" s="120" t="s">
        <v>11</v>
      </c>
      <c r="C7" s="69" t="s">
        <v>364</v>
      </c>
      <c r="D7" s="119" t="s">
        <v>119</v>
      </c>
      <c r="E7" s="119">
        <v>1</v>
      </c>
      <c r="F7" s="122" t="s">
        <v>363</v>
      </c>
      <c r="G7" s="122" t="s">
        <v>362</v>
      </c>
      <c r="H7" s="113" t="s">
        <v>361</v>
      </c>
    </row>
    <row r="8" spans="1:8" ht="165" x14ac:dyDescent="0.25">
      <c r="A8" s="121" t="s">
        <v>79</v>
      </c>
      <c r="B8" s="120" t="s">
        <v>49</v>
      </c>
      <c r="C8" s="69" t="s">
        <v>32</v>
      </c>
      <c r="D8" s="119" t="s">
        <v>119</v>
      </c>
      <c r="E8" s="119">
        <v>1</v>
      </c>
      <c r="F8" s="118">
        <v>6300000</v>
      </c>
      <c r="G8" s="118" t="s">
        <v>360</v>
      </c>
      <c r="H8" s="113" t="s">
        <v>463</v>
      </c>
    </row>
    <row r="9" spans="1:8" ht="57.75" customHeight="1" x14ac:dyDescent="0.25">
      <c r="A9" s="121" t="s">
        <v>80</v>
      </c>
      <c r="B9" s="120" t="s">
        <v>12</v>
      </c>
      <c r="C9" s="69" t="s">
        <v>33</v>
      </c>
      <c r="D9" s="119" t="s">
        <v>119</v>
      </c>
      <c r="E9" s="119">
        <v>1</v>
      </c>
      <c r="F9" s="122">
        <v>179900</v>
      </c>
      <c r="G9" s="118" t="s">
        <v>358</v>
      </c>
      <c r="H9" s="113" t="s">
        <v>359</v>
      </c>
    </row>
    <row r="10" spans="1:8" ht="54.75" customHeight="1" x14ac:dyDescent="0.25">
      <c r="A10" s="121" t="s">
        <v>81</v>
      </c>
      <c r="B10" s="120" t="s">
        <v>13</v>
      </c>
      <c r="C10" s="69" t="s">
        <v>34</v>
      </c>
      <c r="D10" s="119" t="s">
        <v>119</v>
      </c>
      <c r="E10" s="119">
        <v>1</v>
      </c>
      <c r="F10" s="122">
        <v>169900</v>
      </c>
      <c r="G10" s="118" t="s">
        <v>358</v>
      </c>
      <c r="H10" s="113" t="s">
        <v>357</v>
      </c>
    </row>
    <row r="11" spans="1:8" ht="105" customHeight="1" x14ac:dyDescent="0.25">
      <c r="A11" s="121" t="s">
        <v>82</v>
      </c>
      <c r="B11" s="120" t="s">
        <v>46</v>
      </c>
      <c r="C11" s="124" t="s">
        <v>356</v>
      </c>
      <c r="D11" s="119" t="s">
        <v>119</v>
      </c>
      <c r="E11" s="119">
        <v>1</v>
      </c>
      <c r="F11" s="118">
        <v>1342301</v>
      </c>
      <c r="G11" s="118" t="s">
        <v>354</v>
      </c>
      <c r="H11" s="113" t="s">
        <v>355</v>
      </c>
    </row>
    <row r="12" spans="1:8" ht="89.25" x14ac:dyDescent="0.25">
      <c r="A12" s="121" t="s">
        <v>83</v>
      </c>
      <c r="B12" s="120" t="s">
        <v>51</v>
      </c>
      <c r="C12" s="69" t="s">
        <v>47</v>
      </c>
      <c r="D12" s="119" t="s">
        <v>119</v>
      </c>
      <c r="E12" s="119">
        <v>1</v>
      </c>
      <c r="F12" s="118">
        <v>991000</v>
      </c>
      <c r="G12" s="118" t="s">
        <v>354</v>
      </c>
      <c r="H12" s="113" t="s">
        <v>353</v>
      </c>
    </row>
    <row r="13" spans="1:8" ht="102" x14ac:dyDescent="0.25">
      <c r="A13" s="121" t="s">
        <v>84</v>
      </c>
      <c r="B13" s="120" t="s">
        <v>52</v>
      </c>
      <c r="C13" s="69" t="s">
        <v>48</v>
      </c>
      <c r="D13" s="119" t="s">
        <v>119</v>
      </c>
      <c r="E13" s="119">
        <v>1</v>
      </c>
      <c r="F13" s="118">
        <v>256000</v>
      </c>
      <c r="G13" s="118" t="s">
        <v>352</v>
      </c>
      <c r="H13" s="113" t="s">
        <v>351</v>
      </c>
    </row>
    <row r="14" spans="1:8" ht="76.5" x14ac:dyDescent="0.25">
      <c r="A14" s="121" t="s">
        <v>85</v>
      </c>
      <c r="B14" s="120" t="s">
        <v>14</v>
      </c>
      <c r="C14" s="69" t="s">
        <v>35</v>
      </c>
      <c r="D14" s="119" t="s">
        <v>119</v>
      </c>
      <c r="E14" s="119">
        <v>1</v>
      </c>
      <c r="F14" s="118">
        <v>550000</v>
      </c>
      <c r="G14" s="118" t="s">
        <v>346</v>
      </c>
      <c r="H14" s="113" t="s">
        <v>350</v>
      </c>
    </row>
    <row r="15" spans="1:8" ht="75" x14ac:dyDescent="0.25">
      <c r="A15" s="121" t="s">
        <v>86</v>
      </c>
      <c r="B15" s="120" t="s">
        <v>15</v>
      </c>
      <c r="C15" s="69" t="s">
        <v>36</v>
      </c>
      <c r="D15" s="119" t="s">
        <v>119</v>
      </c>
      <c r="E15" s="119">
        <v>1</v>
      </c>
      <c r="F15" s="122" t="s">
        <v>349</v>
      </c>
      <c r="G15" s="122" t="s">
        <v>348</v>
      </c>
      <c r="H15" s="113" t="s">
        <v>347</v>
      </c>
    </row>
    <row r="16" spans="1:8" ht="51" x14ac:dyDescent="0.25">
      <c r="A16" s="121" t="s">
        <v>87</v>
      </c>
      <c r="B16" s="120" t="s">
        <v>16</v>
      </c>
      <c r="C16" s="69" t="s">
        <v>37</v>
      </c>
      <c r="D16" s="119" t="s">
        <v>119</v>
      </c>
      <c r="E16" s="119">
        <v>1</v>
      </c>
      <c r="F16" s="118">
        <v>225000</v>
      </c>
      <c r="G16" s="118" t="s">
        <v>346</v>
      </c>
      <c r="H16" s="113" t="s">
        <v>345</v>
      </c>
    </row>
    <row r="17" spans="1:8" ht="51" x14ac:dyDescent="0.25">
      <c r="A17" s="121" t="s">
        <v>88</v>
      </c>
      <c r="B17" s="120" t="s">
        <v>17</v>
      </c>
      <c r="C17" s="69" t="s">
        <v>38</v>
      </c>
      <c r="D17" s="119" t="s">
        <v>119</v>
      </c>
      <c r="E17" s="119">
        <v>1</v>
      </c>
      <c r="F17" s="118">
        <v>423400</v>
      </c>
      <c r="G17" s="118" t="s">
        <v>331</v>
      </c>
      <c r="H17" s="113" t="s">
        <v>344</v>
      </c>
    </row>
    <row r="18" spans="1:8" ht="51" x14ac:dyDescent="0.25">
      <c r="A18" s="121" t="s">
        <v>89</v>
      </c>
      <c r="B18" s="120" t="s">
        <v>18</v>
      </c>
      <c r="C18" s="69" t="s">
        <v>39</v>
      </c>
      <c r="D18" s="119" t="s">
        <v>119</v>
      </c>
      <c r="E18" s="119">
        <v>1</v>
      </c>
      <c r="F18" s="118">
        <v>249000</v>
      </c>
      <c r="G18" s="118" t="s">
        <v>343</v>
      </c>
      <c r="H18" s="113" t="s">
        <v>342</v>
      </c>
    </row>
    <row r="19" spans="1:8" ht="51" x14ac:dyDescent="0.25">
      <c r="A19" s="121" t="s">
        <v>90</v>
      </c>
      <c r="B19" s="120" t="s">
        <v>19</v>
      </c>
      <c r="C19" s="69" t="s">
        <v>40</v>
      </c>
      <c r="D19" s="119" t="s">
        <v>119</v>
      </c>
      <c r="E19" s="119">
        <v>1</v>
      </c>
      <c r="F19" s="118">
        <v>215000</v>
      </c>
      <c r="G19" s="118" t="s">
        <v>331</v>
      </c>
      <c r="H19" s="113" t="s">
        <v>209</v>
      </c>
    </row>
    <row r="20" spans="1:8" ht="38.25" x14ac:dyDescent="0.25">
      <c r="A20" s="121" t="s">
        <v>91</v>
      </c>
      <c r="B20" s="120" t="s">
        <v>20</v>
      </c>
      <c r="C20" s="69" t="s">
        <v>341</v>
      </c>
      <c r="D20" s="119" t="s">
        <v>119</v>
      </c>
      <c r="E20" s="119">
        <v>1</v>
      </c>
      <c r="F20" s="118">
        <v>90000</v>
      </c>
      <c r="G20" s="118" t="s">
        <v>340</v>
      </c>
      <c r="H20" s="113" t="s">
        <v>339</v>
      </c>
    </row>
    <row r="21" spans="1:8" ht="38.25" x14ac:dyDescent="0.25">
      <c r="A21" s="121" t="s">
        <v>92</v>
      </c>
      <c r="B21" s="120" t="s">
        <v>21</v>
      </c>
      <c r="C21" s="69" t="s">
        <v>338</v>
      </c>
      <c r="D21" s="119" t="s">
        <v>119</v>
      </c>
      <c r="E21" s="119">
        <v>1</v>
      </c>
      <c r="F21" s="118">
        <v>90000</v>
      </c>
      <c r="G21" s="118" t="s">
        <v>337</v>
      </c>
      <c r="H21" s="113" t="s">
        <v>336</v>
      </c>
    </row>
    <row r="22" spans="1:8" ht="51" x14ac:dyDescent="0.25">
      <c r="A22" s="121" t="s">
        <v>93</v>
      </c>
      <c r="B22" s="120" t="s">
        <v>22</v>
      </c>
      <c r="C22" s="69" t="s">
        <v>335</v>
      </c>
      <c r="D22" s="119" t="s">
        <v>119</v>
      </c>
      <c r="E22" s="119">
        <v>1</v>
      </c>
      <c r="F22" s="118">
        <v>190000</v>
      </c>
      <c r="G22" s="118" t="s">
        <v>334</v>
      </c>
      <c r="H22" s="113" t="s">
        <v>333</v>
      </c>
    </row>
    <row r="23" spans="1:8" ht="60" x14ac:dyDescent="0.25">
      <c r="A23" s="121" t="s">
        <v>94</v>
      </c>
      <c r="B23" s="120" t="s">
        <v>23</v>
      </c>
      <c r="C23" s="69" t="s">
        <v>332</v>
      </c>
      <c r="D23" s="119" t="s">
        <v>119</v>
      </c>
      <c r="E23" s="119">
        <v>1</v>
      </c>
      <c r="F23" s="118">
        <v>577700</v>
      </c>
      <c r="G23" s="118" t="s">
        <v>331</v>
      </c>
      <c r="H23" s="113" t="s">
        <v>330</v>
      </c>
    </row>
    <row r="24" spans="1:8" ht="293.25" x14ac:dyDescent="0.25">
      <c r="A24" s="121" t="s">
        <v>95</v>
      </c>
      <c r="B24" s="120" t="s">
        <v>53</v>
      </c>
      <c r="C24" s="69" t="s">
        <v>41</v>
      </c>
      <c r="D24" s="119" t="s">
        <v>119</v>
      </c>
      <c r="E24" s="119">
        <v>1</v>
      </c>
      <c r="F24" s="118">
        <v>460000</v>
      </c>
      <c r="G24" s="118" t="s">
        <v>329</v>
      </c>
      <c r="H24" s="113" t="s">
        <v>328</v>
      </c>
    </row>
    <row r="25" spans="1:8" ht="178.5" x14ac:dyDescent="0.25">
      <c r="A25" s="121" t="s">
        <v>96</v>
      </c>
      <c r="B25" s="120" t="s">
        <v>24</v>
      </c>
      <c r="C25" s="69" t="s">
        <v>69</v>
      </c>
      <c r="D25" s="119" t="s">
        <v>119</v>
      </c>
      <c r="E25" s="119">
        <v>1</v>
      </c>
      <c r="F25" s="118">
        <v>928000</v>
      </c>
      <c r="G25" s="122" t="s">
        <v>327</v>
      </c>
      <c r="H25" s="123" t="s">
        <v>326</v>
      </c>
    </row>
    <row r="26" spans="1:8" ht="30" x14ac:dyDescent="0.25">
      <c r="A26" s="121" t="s">
        <v>97</v>
      </c>
      <c r="B26" s="120" t="s">
        <v>25</v>
      </c>
      <c r="C26" s="69" t="s">
        <v>70</v>
      </c>
      <c r="D26" s="119" t="s">
        <v>119</v>
      </c>
      <c r="E26" s="119">
        <v>1</v>
      </c>
      <c r="F26" s="118">
        <v>14900</v>
      </c>
      <c r="G26" s="118" t="s">
        <v>315</v>
      </c>
      <c r="H26" s="113" t="s">
        <v>325</v>
      </c>
    </row>
    <row r="27" spans="1:8" ht="30" x14ac:dyDescent="0.25">
      <c r="A27" s="121" t="s">
        <v>98</v>
      </c>
      <c r="B27" s="120" t="s">
        <v>26</v>
      </c>
      <c r="C27" s="69" t="s">
        <v>324</v>
      </c>
      <c r="D27" s="119" t="s">
        <v>119</v>
      </c>
      <c r="E27" s="119">
        <v>1</v>
      </c>
      <c r="F27" s="118">
        <v>20000</v>
      </c>
      <c r="G27" s="118" t="s">
        <v>322</v>
      </c>
      <c r="H27" s="113" t="s">
        <v>323</v>
      </c>
    </row>
    <row r="28" spans="1:8" ht="51" x14ac:dyDescent="0.25">
      <c r="A28" s="121" t="s">
        <v>99</v>
      </c>
      <c r="B28" s="120" t="s">
        <v>27</v>
      </c>
      <c r="C28" s="69" t="s">
        <v>43</v>
      </c>
      <c r="D28" s="119" t="s">
        <v>119</v>
      </c>
      <c r="E28" s="119">
        <v>1</v>
      </c>
      <c r="F28" s="122">
        <v>818000</v>
      </c>
      <c r="G28" s="118" t="s">
        <v>322</v>
      </c>
      <c r="H28" s="113" t="s">
        <v>321</v>
      </c>
    </row>
    <row r="29" spans="1:8" ht="165" x14ac:dyDescent="0.25">
      <c r="A29" s="121" t="s">
        <v>100</v>
      </c>
      <c r="B29" s="120" t="s">
        <v>28</v>
      </c>
      <c r="C29" s="69" t="s">
        <v>44</v>
      </c>
      <c r="D29" s="119" t="s">
        <v>119</v>
      </c>
      <c r="E29" s="119">
        <v>1</v>
      </c>
      <c r="F29" s="122">
        <v>49000</v>
      </c>
      <c r="G29" s="118" t="s">
        <v>320</v>
      </c>
      <c r="H29" s="113" t="s">
        <v>319</v>
      </c>
    </row>
    <row r="30" spans="1:8" ht="63.75" x14ac:dyDescent="0.25">
      <c r="A30" s="121" t="s">
        <v>101</v>
      </c>
      <c r="B30" s="120" t="s">
        <v>29</v>
      </c>
      <c r="C30" s="69" t="s">
        <v>45</v>
      </c>
      <c r="D30" s="119" t="s">
        <v>119</v>
      </c>
      <c r="E30" s="119">
        <v>1</v>
      </c>
      <c r="F30" s="118">
        <v>100000</v>
      </c>
      <c r="G30" s="118" t="s">
        <v>296</v>
      </c>
      <c r="H30" s="113" t="s">
        <v>318</v>
      </c>
    </row>
    <row r="31" spans="1:8" ht="178.5" x14ac:dyDescent="0.25">
      <c r="A31" s="121" t="s">
        <v>102</v>
      </c>
      <c r="B31" s="120" t="s">
        <v>30</v>
      </c>
      <c r="C31" s="69" t="s">
        <v>71</v>
      </c>
      <c r="D31" s="119" t="s">
        <v>119</v>
      </c>
      <c r="E31" s="119">
        <v>1</v>
      </c>
      <c r="F31" s="118">
        <v>349500</v>
      </c>
      <c r="G31" s="122" t="s">
        <v>317</v>
      </c>
      <c r="H31" s="113" t="s">
        <v>316</v>
      </c>
    </row>
    <row r="32" spans="1:8" ht="204" x14ac:dyDescent="0.25">
      <c r="A32" s="121" t="s">
        <v>103</v>
      </c>
      <c r="B32" s="120" t="s">
        <v>31</v>
      </c>
      <c r="C32" s="69" t="s">
        <v>72</v>
      </c>
      <c r="D32" s="119" t="s">
        <v>119</v>
      </c>
      <c r="E32" s="119">
        <v>1</v>
      </c>
      <c r="F32" s="118">
        <v>129990</v>
      </c>
      <c r="G32" s="118" t="s">
        <v>315</v>
      </c>
      <c r="H32" s="113" t="s">
        <v>314</v>
      </c>
    </row>
    <row r="33" spans="1:8" ht="76.5" x14ac:dyDescent="0.25">
      <c r="A33" s="121" t="s">
        <v>104</v>
      </c>
      <c r="B33" s="120" t="s">
        <v>54</v>
      </c>
      <c r="C33" s="69" t="s">
        <v>313</v>
      </c>
      <c r="D33" s="119" t="s">
        <v>119</v>
      </c>
      <c r="E33" s="119">
        <v>1</v>
      </c>
      <c r="F33" s="118">
        <v>5800000</v>
      </c>
      <c r="G33" s="122" t="s">
        <v>312</v>
      </c>
      <c r="H33" s="113" t="s">
        <v>311</v>
      </c>
    </row>
    <row r="34" spans="1:8" ht="60" x14ac:dyDescent="0.25">
      <c r="A34" s="121" t="s">
        <v>105</v>
      </c>
      <c r="B34" s="120" t="s">
        <v>55</v>
      </c>
      <c r="C34" s="69" t="s">
        <v>310</v>
      </c>
      <c r="D34" s="119" t="s">
        <v>119</v>
      </c>
      <c r="E34" s="119">
        <v>1</v>
      </c>
      <c r="F34" s="118">
        <v>504000</v>
      </c>
      <c r="G34" s="118" t="s">
        <v>296</v>
      </c>
      <c r="H34" s="113" t="s">
        <v>309</v>
      </c>
    </row>
    <row r="35" spans="1:8" ht="255" x14ac:dyDescent="0.25">
      <c r="A35" s="121" t="s">
        <v>106</v>
      </c>
      <c r="B35" s="120" t="s">
        <v>56</v>
      </c>
      <c r="C35" s="69" t="s">
        <v>57</v>
      </c>
      <c r="D35" s="119" t="s">
        <v>119</v>
      </c>
      <c r="E35" s="119">
        <v>1</v>
      </c>
      <c r="F35" s="118">
        <v>1859900</v>
      </c>
      <c r="G35" s="118" t="s">
        <v>296</v>
      </c>
      <c r="H35" s="113" t="s">
        <v>308</v>
      </c>
    </row>
    <row r="36" spans="1:8" ht="255" x14ac:dyDescent="0.25">
      <c r="A36" s="121" t="s">
        <v>107</v>
      </c>
      <c r="B36" s="120" t="s">
        <v>58</v>
      </c>
      <c r="C36" s="69" t="s">
        <v>59</v>
      </c>
      <c r="D36" s="119" t="s">
        <v>119</v>
      </c>
      <c r="E36" s="119">
        <v>1</v>
      </c>
      <c r="F36" s="118">
        <v>1859900</v>
      </c>
      <c r="G36" s="118" t="s">
        <v>296</v>
      </c>
      <c r="H36" s="113" t="s">
        <v>307</v>
      </c>
    </row>
    <row r="37" spans="1:8" ht="114.75" x14ac:dyDescent="0.25">
      <c r="A37" s="121" t="s">
        <v>108</v>
      </c>
      <c r="B37" s="120" t="s">
        <v>60</v>
      </c>
      <c r="C37" s="69" t="s">
        <v>73</v>
      </c>
      <c r="D37" s="119" t="s">
        <v>119</v>
      </c>
      <c r="E37" s="119">
        <v>1</v>
      </c>
      <c r="F37" s="118">
        <v>231800</v>
      </c>
      <c r="G37" s="118" t="s">
        <v>306</v>
      </c>
      <c r="H37" s="113" t="s">
        <v>305</v>
      </c>
    </row>
    <row r="38" spans="1:8" ht="89.25" x14ac:dyDescent="0.25">
      <c r="A38" s="121" t="s">
        <v>109</v>
      </c>
      <c r="B38" s="120" t="s">
        <v>61</v>
      </c>
      <c r="C38" s="69" t="s">
        <v>62</v>
      </c>
      <c r="D38" s="119" t="s">
        <v>119</v>
      </c>
      <c r="E38" s="119">
        <v>1</v>
      </c>
      <c r="F38" s="118">
        <v>232700</v>
      </c>
      <c r="G38" s="122" t="s">
        <v>304</v>
      </c>
      <c r="H38" s="113" t="s">
        <v>303</v>
      </c>
    </row>
    <row r="39" spans="1:8" ht="165.75" x14ac:dyDescent="0.25">
      <c r="A39" s="121" t="s">
        <v>110</v>
      </c>
      <c r="B39" s="120" t="s">
        <v>63</v>
      </c>
      <c r="C39" s="69" t="s">
        <v>74</v>
      </c>
      <c r="D39" s="119" t="s">
        <v>119</v>
      </c>
      <c r="E39" s="119">
        <v>1</v>
      </c>
      <c r="F39" s="118">
        <v>2399900</v>
      </c>
      <c r="G39" s="118" t="s">
        <v>302</v>
      </c>
      <c r="H39" s="113" t="s">
        <v>301</v>
      </c>
    </row>
    <row r="40" spans="1:8" ht="47.25" customHeight="1" x14ac:dyDescent="0.25">
      <c r="A40" s="121" t="s">
        <v>111</v>
      </c>
      <c r="B40" s="120" t="s">
        <v>64</v>
      </c>
      <c r="C40" s="69" t="s">
        <v>300</v>
      </c>
      <c r="D40" s="119" t="s">
        <v>119</v>
      </c>
      <c r="E40" s="119">
        <v>1</v>
      </c>
      <c r="F40" s="118">
        <v>3199900</v>
      </c>
      <c r="G40" s="118" t="s">
        <v>296</v>
      </c>
      <c r="H40" s="113" t="s">
        <v>299</v>
      </c>
    </row>
    <row r="41" spans="1:8" ht="60" x14ac:dyDescent="0.25">
      <c r="A41" s="121" t="s">
        <v>112</v>
      </c>
      <c r="B41" s="120" t="s">
        <v>65</v>
      </c>
      <c r="C41" s="69" t="s">
        <v>66</v>
      </c>
      <c r="D41" s="119" t="s">
        <v>119</v>
      </c>
      <c r="E41" s="119">
        <v>1</v>
      </c>
      <c r="F41" s="118">
        <v>2899900</v>
      </c>
      <c r="G41" s="118" t="s">
        <v>298</v>
      </c>
      <c r="H41" s="113" t="s">
        <v>297</v>
      </c>
    </row>
    <row r="42" spans="1:8" ht="51.75" thickBot="1" x14ac:dyDescent="0.3">
      <c r="A42" s="117" t="s">
        <v>113</v>
      </c>
      <c r="B42" s="116" t="s">
        <v>67</v>
      </c>
      <c r="C42" s="70" t="s">
        <v>68</v>
      </c>
      <c r="D42" s="115" t="s">
        <v>119</v>
      </c>
      <c r="E42" s="115">
        <v>1</v>
      </c>
      <c r="F42" s="114">
        <v>419000</v>
      </c>
      <c r="G42" s="114" t="s">
        <v>296</v>
      </c>
      <c r="H42" s="113" t="s">
        <v>295</v>
      </c>
    </row>
    <row r="43" spans="1:8" x14ac:dyDescent="0.25">
      <c r="A43" s="111"/>
      <c r="B43" s="111"/>
      <c r="C43" s="111"/>
      <c r="D43" s="111"/>
      <c r="E43" s="111"/>
    </row>
    <row r="44" spans="1:8" x14ac:dyDescent="0.25">
      <c r="A44" s="111"/>
      <c r="B44" s="111"/>
      <c r="C44" s="111"/>
      <c r="D44" s="111"/>
      <c r="E44" s="111"/>
    </row>
    <row r="45" spans="1:8" x14ac:dyDescent="0.25">
      <c r="A45" s="111"/>
      <c r="B45" s="111"/>
      <c r="C45" s="111"/>
      <c r="D45" s="111"/>
      <c r="E45" s="111"/>
    </row>
    <row r="46" spans="1:8" x14ac:dyDescent="0.25">
      <c r="A46" s="111"/>
      <c r="B46" s="111"/>
      <c r="C46" s="111"/>
      <c r="D46" s="111"/>
      <c r="E46" s="111"/>
    </row>
    <row r="47" spans="1:8" ht="18.75" x14ac:dyDescent="0.3">
      <c r="A47" s="225"/>
      <c r="B47" s="225"/>
      <c r="C47" s="225"/>
      <c r="D47" s="225"/>
      <c r="E47" s="225"/>
    </row>
  </sheetData>
  <mergeCells count="5">
    <mergeCell ref="A47:E47"/>
    <mergeCell ref="A1:H1"/>
    <mergeCell ref="A2:H2"/>
    <mergeCell ref="A3:H3"/>
    <mergeCell ref="A4:H4"/>
  </mergeCells>
  <hyperlinks>
    <hyperlink ref="H32" display="https://www.mercadolibre.com.co/bloques-madera-100-piezas-macrooutlet-rompecabezas-didactico-construccion-ninos/p/MCO51101681#polycard_client=search-desktop&amp;be_origin=backend&amp;overlay_label=not_apply&amp;search_layout=grid&amp;position=10&amp;type=product&amp;tracking_id=" xr:uid="{136F5D50-070F-4DD4-A5F1-E16DF1854B8E}"/>
    <hyperlink ref="H34" r:id="rId1" xr:uid="{71A45A62-B6B9-4F37-A1D1-B057C7E042E3}"/>
    <hyperlink ref="H6" r:id="rId2" xr:uid="{A2EF29A1-1A11-4545-8737-231DC02303AB}"/>
    <hyperlink ref="H7" r:id="rId3" display="https://indupro.com.co/productos/tablero-acrilico-borrable-fondo-diseno/?utm" xr:uid="{AC1691E3-0690-4128-8085-C13D38D3E1E9}"/>
    <hyperlink ref="H8" r:id="rId4" display="https://www.alkosto.com/computador-all-in-one-lenovo-ideacentre-aio-27-pulgadas/p/198155653490?fuente=google&amp;medio=cpc&amp;campaign=AK_COL_MAX_PEF_CPC_AON_COMP_TLP_Computadores-Brand-AON_PAC&amp;keyword=&amp;gad_source=1&amp;gad_campaignid=17335909635&amp;gbraid=0AAAAADlnVbi8Uf3TbuWPT6J-EBFX2QKTw&amp;gclid=CjwKCAjwotzWBhBFEiwA1JhPoDAPYLLPh4cks_eZgKFo2opHf6Bt_LxB-jwIWddw_ETM6h96UUHl2hoCrEgQAvD_BwE" xr:uid="{C53D1DF7-BABE-4B86-BE31-B1892A8D00EA}"/>
    <hyperlink ref="H9" r:id="rId5" xr:uid="{F8CF180C-F84D-45E9-8D30-1CF998FCAFCC}"/>
    <hyperlink ref="H10" r:id="rId6" xr:uid="{FB53C1D2-C1AA-4819-A6A3-C3B60BFB9D10}"/>
    <hyperlink ref="H11" r:id="rId7" xr:uid="{7FE972AC-B6C6-46DA-BB60-ADCFC9F42276}"/>
    <hyperlink ref="H12" r:id="rId8" xr:uid="{810B3E90-EF38-40CC-898B-4F831AB3B6F3}"/>
    <hyperlink ref="H13" r:id="rId9" xr:uid="{946A0C86-D77F-4587-9B6F-9396E2B49424}"/>
    <hyperlink ref="H14" r:id="rId10" xr:uid="{F38D601B-858F-48C6-8EF3-5F36864C6CBE}"/>
    <hyperlink ref="H16" r:id="rId11" xr:uid="{EA258142-A9DA-439E-8124-996B48D84633}"/>
    <hyperlink ref="H17" r:id="rId12" xr:uid="{CA3C3C0C-2DA5-48DB-AD7B-B68C545282AF}"/>
    <hyperlink ref="H18" r:id="rId13" xr:uid="{016C2A1D-8BB4-4C1A-B784-1371E55AA4AC}"/>
    <hyperlink ref="H19" r:id="rId14" xr:uid="{152EDD81-7D4C-4A45-89AB-5598691F08C8}"/>
    <hyperlink ref="H22" r:id="rId15" xr:uid="{7576B8D3-208E-46B0-84B7-D84BFDDF7D06}"/>
    <hyperlink ref="H21" r:id="rId16" xr:uid="{B42A9321-EA7D-475B-A27D-44DB8B90B544}"/>
    <hyperlink ref="H20" r:id="rId17" xr:uid="{4C43162D-09D5-46FA-A4D9-0F76BE5B5000}"/>
    <hyperlink ref="H23" r:id="rId18" xr:uid="{00DD1872-8F75-42AD-BB6F-1EA7B3F49C6F}"/>
  </hyperlinks>
  <pageMargins left="0.7" right="0.7" top="0.75" bottom="0.75" header="0.3" footer="0.3"/>
  <pageSetup paperSize="9" orientation="portrait" r:id="rId19"/>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2332F-82AE-4E95-8440-F74CFC211E61}">
  <dimension ref="A1:AC20"/>
  <sheetViews>
    <sheetView showGridLines="0" zoomScale="95" zoomScaleNormal="95" workbookViewId="0">
      <selection activeCell="N9" sqref="N9:N10"/>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4.42578125" style="2" customWidth="1"/>
    <col min="7" max="8" width="40.28515625" style="2" customWidth="1"/>
    <col min="9" max="9" width="32" style="2" bestFit="1" customWidth="1"/>
    <col min="10" max="10" width="24.42578125" style="2" customWidth="1"/>
    <col min="11" max="11" width="26.7109375" style="2" customWidth="1"/>
    <col min="12" max="13" width="24.42578125" style="2" customWidth="1"/>
    <col min="14" max="14" width="27.5703125" style="2" customWidth="1"/>
    <col min="15" max="15" width="23" style="2" bestFit="1" customWidth="1"/>
    <col min="16" max="16" width="13" style="2" bestFit="1" customWidth="1"/>
    <col min="17" max="20" width="14.42578125" style="2" bestFit="1" customWidth="1"/>
    <col min="21" max="21" width="14.85546875" style="2" bestFit="1" customWidth="1"/>
    <col min="22" max="22" width="21.28515625" style="2" customWidth="1"/>
    <col min="23" max="23" width="16.7109375" style="2" customWidth="1"/>
    <col min="24" max="24" width="13" style="2" bestFit="1" customWidth="1"/>
    <col min="25" max="28" width="14.42578125" style="2" bestFit="1" customWidth="1"/>
    <col min="29" max="29" width="14.85546875" style="2" bestFit="1" customWidth="1"/>
    <col min="30" max="16384" width="11.42578125" style="2"/>
  </cols>
  <sheetData>
    <row r="1" spans="1:29" ht="15.75" x14ac:dyDescent="0.25">
      <c r="A1" s="187" t="s">
        <v>0</v>
      </c>
      <c r="B1" s="188"/>
      <c r="C1" s="188"/>
      <c r="D1" s="188"/>
      <c r="E1" s="188"/>
      <c r="F1" s="188"/>
      <c r="G1" s="188"/>
      <c r="H1" s="188"/>
      <c r="I1" s="189"/>
    </row>
    <row r="2" spans="1:29" ht="16.5" thickBot="1" x14ac:dyDescent="0.3">
      <c r="A2" s="190" t="s">
        <v>1</v>
      </c>
      <c r="B2" s="191"/>
      <c r="C2" s="191"/>
      <c r="D2" s="191"/>
      <c r="E2" s="191"/>
      <c r="F2" s="191"/>
      <c r="G2" s="191"/>
      <c r="H2" s="191"/>
      <c r="I2" s="192"/>
    </row>
    <row r="3" spans="1:29" ht="16.5" thickBot="1" x14ac:dyDescent="0.3">
      <c r="A3" s="193" t="s">
        <v>118</v>
      </c>
      <c r="B3" s="194"/>
      <c r="C3" s="194"/>
      <c r="D3" s="194"/>
      <c r="E3" s="194"/>
      <c r="F3" s="194"/>
      <c r="G3" s="194"/>
      <c r="H3" s="194"/>
      <c r="I3" s="195"/>
    </row>
    <row r="4" spans="1:29" ht="15.75" thickBot="1" x14ac:dyDescent="0.3">
      <c r="A4" s="196" t="s">
        <v>2</v>
      </c>
      <c r="B4" s="197"/>
      <c r="C4" s="197"/>
      <c r="D4" s="197"/>
      <c r="E4" s="197"/>
      <c r="F4" s="197"/>
      <c r="G4" s="197"/>
      <c r="H4" s="197"/>
      <c r="I4" s="198"/>
    </row>
    <row r="5" spans="1:29" ht="51" x14ac:dyDescent="0.25">
      <c r="A5" s="3" t="s">
        <v>3</v>
      </c>
      <c r="B5" s="3" t="s">
        <v>4</v>
      </c>
      <c r="C5" s="3" t="s">
        <v>5</v>
      </c>
      <c r="D5" s="3" t="s">
        <v>6</v>
      </c>
      <c r="E5" s="3" t="s">
        <v>7</v>
      </c>
      <c r="F5" s="4" t="s">
        <v>8</v>
      </c>
      <c r="G5" s="4" t="s">
        <v>120</v>
      </c>
      <c r="H5" s="4" t="s">
        <v>289</v>
      </c>
      <c r="I5" s="4" t="s">
        <v>8</v>
      </c>
      <c r="J5" s="4" t="s">
        <v>122</v>
      </c>
      <c r="K5" s="4" t="s">
        <v>289</v>
      </c>
      <c r="L5" s="4" t="s">
        <v>8</v>
      </c>
      <c r="M5" s="4" t="s">
        <v>122</v>
      </c>
      <c r="N5" s="4" t="s">
        <v>289</v>
      </c>
    </row>
    <row r="6" spans="1:29" ht="25.5" x14ac:dyDescent="0.25">
      <c r="A6" s="12" t="s">
        <v>89</v>
      </c>
      <c r="B6" s="13" t="s">
        <v>18</v>
      </c>
      <c r="C6" s="69" t="s">
        <v>39</v>
      </c>
      <c r="D6" s="14" t="s">
        <v>119</v>
      </c>
      <c r="E6" s="14">
        <v>1</v>
      </c>
      <c r="F6" s="26">
        <v>881000</v>
      </c>
      <c r="G6" s="105" t="s">
        <v>193</v>
      </c>
      <c r="H6" s="109">
        <f>+((F6*5.1%)+F6)</f>
        <v>925931</v>
      </c>
      <c r="I6" s="45">
        <v>619200</v>
      </c>
      <c r="J6" s="14" t="s">
        <v>193</v>
      </c>
      <c r="K6" s="109">
        <f>+((I6*5.1%)+I6)</f>
        <v>650779.19999999995</v>
      </c>
      <c r="L6" s="45">
        <v>895000</v>
      </c>
      <c r="M6" s="14" t="s">
        <v>193</v>
      </c>
      <c r="N6" s="109">
        <f>+((L6*5.1%)+L6)</f>
        <v>940645</v>
      </c>
    </row>
    <row r="7" spans="1:29" ht="25.5" x14ac:dyDescent="0.25">
      <c r="A7" s="12" t="s">
        <v>91</v>
      </c>
      <c r="B7" s="13" t="s">
        <v>20</v>
      </c>
      <c r="C7" s="69" t="s">
        <v>179</v>
      </c>
      <c r="D7" s="14" t="s">
        <v>119</v>
      </c>
      <c r="E7" s="14">
        <v>1</v>
      </c>
      <c r="F7" s="26">
        <v>185378</v>
      </c>
      <c r="G7" s="105" t="s">
        <v>193</v>
      </c>
      <c r="H7" s="109">
        <f t="shared" ref="H7:H10" si="0">+((F7*5.1%)+F7)</f>
        <v>194832.27799999999</v>
      </c>
      <c r="I7" s="45">
        <v>159900</v>
      </c>
      <c r="J7" s="14" t="s">
        <v>193</v>
      </c>
      <c r="K7" s="109">
        <f t="shared" ref="K7:K10" si="1">+((I7*5.1%)+I7)</f>
        <v>168054.9</v>
      </c>
      <c r="L7" s="45">
        <v>178500</v>
      </c>
      <c r="M7" s="14" t="s">
        <v>193</v>
      </c>
      <c r="N7" s="109">
        <f t="shared" ref="N7:N10" si="2">+((L7*5.1%)+L7)</f>
        <v>187603.5</v>
      </c>
    </row>
    <row r="8" spans="1:29" ht="25.5" x14ac:dyDescent="0.25">
      <c r="A8" s="12" t="s">
        <v>92</v>
      </c>
      <c r="B8" s="13" t="s">
        <v>21</v>
      </c>
      <c r="C8" s="69" t="s">
        <v>180</v>
      </c>
      <c r="D8" s="14" t="s">
        <v>119</v>
      </c>
      <c r="E8" s="14">
        <v>1</v>
      </c>
      <c r="F8" s="47">
        <v>185442</v>
      </c>
      <c r="G8" s="105" t="s">
        <v>193</v>
      </c>
      <c r="H8" s="109">
        <f t="shared" si="0"/>
        <v>194899.54199999999</v>
      </c>
      <c r="I8" s="45">
        <v>154221</v>
      </c>
      <c r="J8" s="14" t="s">
        <v>193</v>
      </c>
      <c r="K8" s="109">
        <f t="shared" si="1"/>
        <v>162086.27100000001</v>
      </c>
      <c r="L8" s="45">
        <v>128500</v>
      </c>
      <c r="M8" s="14" t="s">
        <v>193</v>
      </c>
      <c r="N8" s="109">
        <f t="shared" si="2"/>
        <v>135053.5</v>
      </c>
    </row>
    <row r="9" spans="1:29" ht="76.5" x14ac:dyDescent="0.25">
      <c r="A9" s="12" t="s">
        <v>103</v>
      </c>
      <c r="B9" s="13" t="s">
        <v>31</v>
      </c>
      <c r="C9" s="69" t="s">
        <v>72</v>
      </c>
      <c r="D9" s="14" t="s">
        <v>119</v>
      </c>
      <c r="E9" s="14">
        <v>1</v>
      </c>
      <c r="F9" s="49">
        <v>185000</v>
      </c>
      <c r="G9" s="106" t="s">
        <v>138</v>
      </c>
      <c r="H9" s="109">
        <f t="shared" si="0"/>
        <v>194435</v>
      </c>
      <c r="I9" s="48">
        <v>199920</v>
      </c>
      <c r="J9" s="14" t="s">
        <v>140</v>
      </c>
      <c r="K9" s="109">
        <f t="shared" si="1"/>
        <v>210115.92</v>
      </c>
      <c r="L9" s="31">
        <v>168900</v>
      </c>
      <c r="M9" s="14" t="s">
        <v>140</v>
      </c>
      <c r="N9" s="109">
        <f t="shared" si="2"/>
        <v>177513.9</v>
      </c>
    </row>
    <row r="10" spans="1:29" ht="25.5" x14ac:dyDescent="0.25">
      <c r="A10" s="12" t="s">
        <v>111</v>
      </c>
      <c r="B10" s="13" t="s">
        <v>64</v>
      </c>
      <c r="C10" s="69" t="s">
        <v>185</v>
      </c>
      <c r="D10" s="14" t="s">
        <v>119</v>
      </c>
      <c r="E10" s="14">
        <v>1</v>
      </c>
      <c r="F10" s="26">
        <v>4383246</v>
      </c>
      <c r="G10" s="105" t="s">
        <v>127</v>
      </c>
      <c r="H10" s="109">
        <f t="shared" si="0"/>
        <v>4606791.5460000001</v>
      </c>
      <c r="I10" s="26">
        <v>3883400</v>
      </c>
      <c r="J10" s="14" t="s">
        <v>127</v>
      </c>
      <c r="K10" s="109">
        <f t="shared" si="1"/>
        <v>4081453.4</v>
      </c>
      <c r="L10" s="26">
        <v>4128358</v>
      </c>
      <c r="M10" s="14" t="s">
        <v>127</v>
      </c>
      <c r="N10" s="109">
        <f t="shared" si="2"/>
        <v>4338904.2580000004</v>
      </c>
    </row>
    <row r="12" spans="1:29" x14ac:dyDescent="0.25">
      <c r="A12" s="21"/>
      <c r="B12" s="21"/>
      <c r="C12" s="21"/>
      <c r="D12" s="21"/>
      <c r="E12" s="21"/>
      <c r="F12" s="21"/>
      <c r="G12" s="21"/>
      <c r="H12" s="21"/>
      <c r="I12" s="21"/>
      <c r="J12" s="21"/>
      <c r="K12" s="21"/>
      <c r="L12" s="21"/>
      <c r="M12" s="21"/>
    </row>
    <row r="13" spans="1:29" ht="15.75" thickBot="1" x14ac:dyDescent="0.3">
      <c r="A13" s="21"/>
      <c r="B13" s="21"/>
      <c r="C13" s="21"/>
      <c r="D13" s="21"/>
      <c r="E13" s="21"/>
      <c r="F13" s="21"/>
      <c r="G13" s="21"/>
      <c r="H13" s="21"/>
      <c r="I13" s="21"/>
      <c r="J13" s="21"/>
      <c r="K13" s="21"/>
      <c r="L13" s="21"/>
      <c r="M13" s="21"/>
    </row>
    <row r="14" spans="1:29" ht="63.75" x14ac:dyDescent="0.25">
      <c r="A14" s="3" t="s">
        <v>3</v>
      </c>
      <c r="B14" s="3" t="s">
        <v>4</v>
      </c>
      <c r="C14" s="3" t="s">
        <v>5</v>
      </c>
      <c r="D14" s="3" t="s">
        <v>6</v>
      </c>
      <c r="E14" s="3" t="s">
        <v>7</v>
      </c>
      <c r="F14" s="4" t="s">
        <v>8</v>
      </c>
      <c r="G14" s="4" t="s">
        <v>120</v>
      </c>
      <c r="H14" s="4" t="s">
        <v>291</v>
      </c>
      <c r="I14" s="4" t="s">
        <v>292</v>
      </c>
      <c r="J14" s="4" t="s">
        <v>293</v>
      </c>
      <c r="K14" s="4" t="s">
        <v>294</v>
      </c>
      <c r="L14" s="4" t="s">
        <v>290</v>
      </c>
      <c r="M14" s="4" t="s">
        <v>289</v>
      </c>
      <c r="N14" s="4" t="s">
        <v>8</v>
      </c>
      <c r="O14" s="4" t="s">
        <v>120</v>
      </c>
      <c r="P14" s="4" t="s">
        <v>291</v>
      </c>
      <c r="Q14" s="4" t="s">
        <v>292</v>
      </c>
      <c r="R14" s="4" t="s">
        <v>293</v>
      </c>
      <c r="S14" s="4" t="s">
        <v>294</v>
      </c>
      <c r="T14" s="4" t="s">
        <v>290</v>
      </c>
      <c r="U14" s="4" t="s">
        <v>289</v>
      </c>
      <c r="V14" s="4" t="s">
        <v>8</v>
      </c>
      <c r="W14" s="4" t="s">
        <v>120</v>
      </c>
      <c r="X14" s="4" t="s">
        <v>291</v>
      </c>
      <c r="Y14" s="4" t="s">
        <v>292</v>
      </c>
      <c r="Z14" s="4" t="s">
        <v>293</v>
      </c>
      <c r="AA14" s="4" t="s">
        <v>294</v>
      </c>
      <c r="AB14" s="4" t="s">
        <v>290</v>
      </c>
      <c r="AC14" s="4" t="s">
        <v>289</v>
      </c>
    </row>
    <row r="15" spans="1:29" ht="99" customHeight="1" x14ac:dyDescent="0.25">
      <c r="A15" s="12" t="s">
        <v>94</v>
      </c>
      <c r="B15" s="13" t="s">
        <v>23</v>
      </c>
      <c r="C15" s="69" t="s">
        <v>182</v>
      </c>
      <c r="D15" s="14" t="s">
        <v>119</v>
      </c>
      <c r="E15" s="14">
        <v>1</v>
      </c>
      <c r="F15" s="71">
        <v>975000</v>
      </c>
      <c r="G15" s="105" t="s">
        <v>200</v>
      </c>
      <c r="H15" s="108">
        <f>+((F15*5.62%)+F15)</f>
        <v>1029795</v>
      </c>
      <c r="I15" s="108">
        <f>+((H15*13.12%)+H15)</f>
        <v>1164904.1040000001</v>
      </c>
      <c r="J15" s="108">
        <f>+((I15*9.28%)+I15)</f>
        <v>1273007.2048512001</v>
      </c>
      <c r="K15" s="108">
        <f>+((J15*5.2%)+J15)</f>
        <v>1339203.5795034624</v>
      </c>
      <c r="L15" s="108">
        <f>+((K15*5.1%)+K15)</f>
        <v>1407502.962058139</v>
      </c>
      <c r="M15" s="109">
        <f>+((L15*5.1%)+L15)</f>
        <v>1479285.6131231042</v>
      </c>
      <c r="N15" s="25">
        <v>845000</v>
      </c>
      <c r="O15" s="14" t="s">
        <v>200</v>
      </c>
      <c r="P15" s="108">
        <f>+((N15*5.62%)+N15)</f>
        <v>892489</v>
      </c>
      <c r="Q15" s="108">
        <f>+((P15*13.12%)+P15)</f>
        <v>1009583.5568</v>
      </c>
      <c r="R15" s="108">
        <f>+((Q15*9.28%)+Q15)</f>
        <v>1103272.9108710401</v>
      </c>
      <c r="S15" s="108">
        <f>+((R15*5.2%)+R15)</f>
        <v>1160643.1022363342</v>
      </c>
      <c r="T15" s="108">
        <f>+((S15*5.1%)+S15)</f>
        <v>1219835.9004503873</v>
      </c>
      <c r="U15" s="109">
        <f>+((T15*5.1%)+T15)</f>
        <v>1282047.5313733569</v>
      </c>
      <c r="V15" s="45">
        <v>885900</v>
      </c>
      <c r="W15" s="14" t="s">
        <v>200</v>
      </c>
      <c r="X15" s="108">
        <f>+((V15*5.62%)+V15)</f>
        <v>935687.58</v>
      </c>
      <c r="Y15" s="108">
        <f>+((X15*13.12%)+X15)</f>
        <v>1058449.7904959999</v>
      </c>
      <c r="Z15" s="108">
        <f>+((Y15*9.28%)+Y15)</f>
        <v>1156673.9310540287</v>
      </c>
      <c r="AA15" s="108">
        <f>+((Z15*5.2%)+Z15)</f>
        <v>1216820.9754688381</v>
      </c>
      <c r="AB15" s="108">
        <f>+((AA15*5.1%)+AA15)</f>
        <v>1278878.8452177488</v>
      </c>
      <c r="AC15" s="109">
        <f>+((AB15*5.1%)+AB15)</f>
        <v>1344101.6663238539</v>
      </c>
    </row>
    <row r="18" spans="1:26" ht="15.75" thickBot="1" x14ac:dyDescent="0.3"/>
    <row r="19" spans="1:26" ht="89.25" x14ac:dyDescent="0.25">
      <c r="A19" s="3" t="s">
        <v>3</v>
      </c>
      <c r="B19" s="3" t="s">
        <v>4</v>
      </c>
      <c r="C19" s="3" t="s">
        <v>5</v>
      </c>
      <c r="D19" s="3" t="s">
        <v>6</v>
      </c>
      <c r="E19" s="3" t="s">
        <v>7</v>
      </c>
      <c r="F19" s="4" t="s">
        <v>8</v>
      </c>
      <c r="G19" s="4" t="s">
        <v>120</v>
      </c>
      <c r="H19" s="4" t="s">
        <v>292</v>
      </c>
      <c r="I19" s="4" t="s">
        <v>293</v>
      </c>
      <c r="J19" s="4" t="s">
        <v>294</v>
      </c>
      <c r="K19" s="4" t="s">
        <v>290</v>
      </c>
      <c r="L19" s="4" t="s">
        <v>289</v>
      </c>
      <c r="M19" s="4" t="s">
        <v>8</v>
      </c>
      <c r="N19" s="4" t="s">
        <v>120</v>
      </c>
      <c r="O19" s="4" t="s">
        <v>292</v>
      </c>
      <c r="P19" s="4" t="s">
        <v>293</v>
      </c>
      <c r="Q19" s="4" t="s">
        <v>294</v>
      </c>
      <c r="R19" s="4" t="s">
        <v>290</v>
      </c>
      <c r="S19" s="4" t="s">
        <v>289</v>
      </c>
      <c r="T19" s="4" t="s">
        <v>8</v>
      </c>
      <c r="U19" s="4" t="s">
        <v>120</v>
      </c>
      <c r="V19" s="4" t="s">
        <v>292</v>
      </c>
      <c r="W19" s="4" t="s">
        <v>293</v>
      </c>
      <c r="X19" s="4" t="s">
        <v>294</v>
      </c>
      <c r="Y19" s="4" t="s">
        <v>290</v>
      </c>
      <c r="Z19" s="4" t="s">
        <v>289</v>
      </c>
    </row>
    <row r="20" spans="1:26" ht="57" customHeight="1" thickBot="1" x14ac:dyDescent="0.3">
      <c r="A20" s="76" t="s">
        <v>113</v>
      </c>
      <c r="B20" s="77" t="s">
        <v>67</v>
      </c>
      <c r="C20" s="70" t="s">
        <v>68</v>
      </c>
      <c r="D20" s="74" t="s">
        <v>119</v>
      </c>
      <c r="E20" s="74">
        <v>1</v>
      </c>
      <c r="F20" s="22">
        <v>351309</v>
      </c>
      <c r="G20" s="107" t="s">
        <v>207</v>
      </c>
      <c r="H20" s="108">
        <f>+((F20*13.12%)+F20)</f>
        <v>397400.74079999997</v>
      </c>
      <c r="I20" s="108">
        <f>+((H20*9.28%)+H20)</f>
        <v>434279.52954624</v>
      </c>
      <c r="J20" s="108">
        <f>+((I20*5.2%)+I20)</f>
        <v>456862.06508264446</v>
      </c>
      <c r="K20" s="108">
        <f>+((J20*5.1%)+J20)</f>
        <v>480162.03040185932</v>
      </c>
      <c r="L20" s="109">
        <f>+((K20*5.1%)+K20)</f>
        <v>504650.29395235411</v>
      </c>
      <c r="M20" s="22">
        <v>385127</v>
      </c>
      <c r="N20" s="74" t="s">
        <v>207</v>
      </c>
      <c r="O20" s="108">
        <f>+((M20*13.12%)+M20)</f>
        <v>435655.66239999997</v>
      </c>
      <c r="P20" s="108">
        <f>+((O20*9.28%)+O20)</f>
        <v>476084.50787071994</v>
      </c>
      <c r="Q20" s="108">
        <f>+((P20*5.2%)+P20)</f>
        <v>500840.90227999736</v>
      </c>
      <c r="R20" s="108">
        <f>+((Q20*5.1%)+Q20)</f>
        <v>526383.78829627717</v>
      </c>
      <c r="S20" s="109">
        <f>+((R20*5.1%)+R20)</f>
        <v>553229.36149938731</v>
      </c>
      <c r="T20" s="22">
        <v>328800</v>
      </c>
      <c r="U20" s="74" t="s">
        <v>207</v>
      </c>
      <c r="V20" s="108">
        <f>+((T20*13.12%)+T20)</f>
        <v>371938.56</v>
      </c>
      <c r="W20" s="108">
        <f>+((V20*9.28%)+V20)</f>
        <v>406454.45836799999</v>
      </c>
      <c r="X20" s="108">
        <f>+((W20*5.2%)+W20)</f>
        <v>427590.09020313597</v>
      </c>
      <c r="Y20" s="108">
        <f>+((X20*5.1%)+X20)</f>
        <v>449397.18480349588</v>
      </c>
      <c r="Z20" s="109">
        <f>+((Y20*5.1%)+Y20)</f>
        <v>472316.44122847414</v>
      </c>
    </row>
  </sheetData>
  <mergeCells count="4">
    <mergeCell ref="A1:I1"/>
    <mergeCell ref="A2:I2"/>
    <mergeCell ref="A3:I3"/>
    <mergeCell ref="A4:I4"/>
  </mergeCells>
  <conditionalFormatting sqref="F15">
    <cfRule type="cellIs" dxfId="9" priority="3" stopIfTrue="1" operator="greaterThan">
      <formula>#REF!</formula>
    </cfRule>
  </conditionalFormatting>
  <conditionalFormatting sqref="N15">
    <cfRule type="cellIs" dxfId="8" priority="1" stopIfTrue="1" operator="greaterThan">
      <formula>#REF!</formula>
    </cfRule>
  </conditionalFormatting>
  <hyperlinks>
    <hyperlink ref="G9" r:id="rId1" xr:uid="{375F9658-F43A-47A5-94AA-1D4CE316FA13}"/>
    <hyperlink ref="J9" r:id="rId2" xr:uid="{CBF7D62F-E66A-4FB8-82E0-CA279E74D610}"/>
    <hyperlink ref="M9" r:id="rId3" xr:uid="{554A46BC-6248-4703-AEAA-3F01E1035326}"/>
  </hyperlinks>
  <pageMargins left="0.7" right="0.7" top="0.75" bottom="0.75" header="0.3" footer="0.3"/>
  <pageSetup paperSize="9" orientation="portrait"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7BCB4-F494-418A-AAB8-A813C02A11A5}">
  <dimension ref="A1:I52"/>
  <sheetViews>
    <sheetView showGridLines="0" tabSelected="1" zoomScale="95" zoomScaleNormal="95" workbookViewId="0">
      <selection activeCell="G9" sqref="G9"/>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9.7109375" style="2" customWidth="1"/>
    <col min="7" max="7" width="32" style="2" bestFit="1" customWidth="1"/>
    <col min="8" max="8" width="28.140625" style="2" customWidth="1"/>
    <col min="9" max="9" width="25.28515625" style="2" customWidth="1"/>
    <col min="10" max="16384" width="11.42578125" style="2"/>
  </cols>
  <sheetData>
    <row r="1" spans="1:9" ht="15.6" customHeight="1" x14ac:dyDescent="0.25">
      <c r="A1" s="237" t="s">
        <v>0</v>
      </c>
      <c r="B1" s="238"/>
      <c r="C1" s="238"/>
      <c r="D1" s="238"/>
      <c r="E1" s="238"/>
      <c r="F1" s="238"/>
      <c r="G1" s="238"/>
      <c r="H1" s="238"/>
      <c r="I1" s="238"/>
    </row>
    <row r="2" spans="1:9" ht="16.149999999999999" customHeight="1" x14ac:dyDescent="0.25">
      <c r="A2" s="237" t="s">
        <v>1</v>
      </c>
      <c r="B2" s="238"/>
      <c r="C2" s="238"/>
      <c r="D2" s="238"/>
      <c r="E2" s="238"/>
      <c r="F2" s="238"/>
      <c r="G2" s="238"/>
      <c r="H2" s="238"/>
      <c r="I2" s="238"/>
    </row>
    <row r="3" spans="1:9" ht="16.149999999999999" customHeight="1" x14ac:dyDescent="0.25">
      <c r="A3" s="237" t="s">
        <v>118</v>
      </c>
      <c r="B3" s="238"/>
      <c r="C3" s="238"/>
      <c r="D3" s="238"/>
      <c r="E3" s="238"/>
      <c r="F3" s="238"/>
      <c r="G3" s="238"/>
      <c r="H3" s="238"/>
      <c r="I3" s="238"/>
    </row>
    <row r="4" spans="1:9" ht="15" customHeight="1" thickBot="1" x14ac:dyDescent="0.3">
      <c r="A4" s="239" t="s">
        <v>2</v>
      </c>
      <c r="B4" s="240"/>
      <c r="C4" s="240"/>
      <c r="D4" s="240"/>
      <c r="E4" s="240"/>
      <c r="F4" s="240"/>
      <c r="G4" s="240"/>
      <c r="H4" s="240"/>
      <c r="I4" s="240"/>
    </row>
    <row r="5" spans="1:9" ht="63.75" x14ac:dyDescent="0.25">
      <c r="A5" s="3" t="s">
        <v>3</v>
      </c>
      <c r="B5" s="3" t="s">
        <v>4</v>
      </c>
      <c r="C5" s="3" t="s">
        <v>5</v>
      </c>
      <c r="D5" s="3" t="s">
        <v>6</v>
      </c>
      <c r="E5" s="3" t="s">
        <v>7</v>
      </c>
      <c r="F5" s="143" t="s">
        <v>8</v>
      </c>
      <c r="G5" s="143" t="s">
        <v>8</v>
      </c>
      <c r="H5" s="143" t="s">
        <v>8</v>
      </c>
      <c r="I5" s="142" t="s">
        <v>370</v>
      </c>
    </row>
    <row r="6" spans="1:9" ht="51" x14ac:dyDescent="0.25">
      <c r="A6" s="137" t="s">
        <v>76</v>
      </c>
      <c r="B6" s="13" t="s">
        <v>9</v>
      </c>
      <c r="C6" s="69" t="s">
        <v>176</v>
      </c>
      <c r="D6" s="14" t="s">
        <v>119</v>
      </c>
      <c r="E6" s="14">
        <v>1</v>
      </c>
      <c r="F6" s="138">
        <v>2221848.7394957985</v>
      </c>
      <c r="G6" s="15">
        <v>3327871</v>
      </c>
      <c r="H6" s="71">
        <v>3157200</v>
      </c>
      <c r="I6" s="136">
        <v>1849900</v>
      </c>
    </row>
    <row r="7" spans="1:9" ht="114.75" x14ac:dyDescent="0.25">
      <c r="A7" s="137" t="s">
        <v>77</v>
      </c>
      <c r="B7" s="13" t="s">
        <v>10</v>
      </c>
      <c r="C7" s="69" t="s">
        <v>177</v>
      </c>
      <c r="D7" s="14" t="s">
        <v>119</v>
      </c>
      <c r="E7" s="14">
        <v>1</v>
      </c>
      <c r="F7" s="48">
        <f>+'KIT ASEO'!E10</f>
        <v>838465.33333333337</v>
      </c>
      <c r="G7" s="65">
        <f>+'KIT ASEO'!H10</f>
        <v>1029175.3333333334</v>
      </c>
      <c r="H7" s="67">
        <f>+'KIT ASEO'!K10</f>
        <v>625395.33333333337</v>
      </c>
      <c r="I7" s="139">
        <v>798198</v>
      </c>
    </row>
    <row r="8" spans="1:9" ht="38.25" x14ac:dyDescent="0.25">
      <c r="A8" s="137" t="s">
        <v>78</v>
      </c>
      <c r="B8" s="13" t="s">
        <v>11</v>
      </c>
      <c r="C8" s="69" t="s">
        <v>178</v>
      </c>
      <c r="D8" s="14" t="s">
        <v>119</v>
      </c>
      <c r="E8" s="14">
        <v>1</v>
      </c>
      <c r="F8" s="15">
        <v>471428.57142857148</v>
      </c>
      <c r="G8" s="140">
        <v>476485.71428571432</v>
      </c>
      <c r="H8" s="23">
        <v>532048.76130554464</v>
      </c>
      <c r="I8" s="135">
        <v>595000</v>
      </c>
    </row>
    <row r="9" spans="1:9" ht="51" x14ac:dyDescent="0.25">
      <c r="A9" s="137" t="s">
        <v>79</v>
      </c>
      <c r="B9" s="13" t="s">
        <v>49</v>
      </c>
      <c r="C9" s="69" t="s">
        <v>462</v>
      </c>
      <c r="D9" s="14" t="s">
        <v>119</v>
      </c>
      <c r="E9" s="14">
        <v>1</v>
      </c>
      <c r="F9" s="15">
        <v>5890000</v>
      </c>
      <c r="G9" s="140">
        <f>+'VALORES OTROS PROCESOS'!I9</f>
        <v>6350000</v>
      </c>
      <c r="H9" s="36">
        <f>+'VALORES OTROS PROCESOS'!L9</f>
        <v>5125000</v>
      </c>
      <c r="I9" s="136">
        <f>+'VALORES MERCADO GRANDES SUPERFI'!F8</f>
        <v>6300000</v>
      </c>
    </row>
    <row r="10" spans="1:9" ht="63.75" x14ac:dyDescent="0.25">
      <c r="A10" s="137" t="s">
        <v>80</v>
      </c>
      <c r="B10" s="13" t="s">
        <v>12</v>
      </c>
      <c r="C10" s="69" t="s">
        <v>33</v>
      </c>
      <c r="D10" s="14" t="s">
        <v>119</v>
      </c>
      <c r="E10" s="14">
        <v>1</v>
      </c>
      <c r="F10" s="15">
        <v>305271.19938884646</v>
      </c>
      <c r="G10" s="15">
        <v>355919</v>
      </c>
      <c r="H10" s="36">
        <v>380000</v>
      </c>
      <c r="I10" s="135">
        <v>179900</v>
      </c>
    </row>
    <row r="11" spans="1:9" ht="25.5" x14ac:dyDescent="0.25">
      <c r="A11" s="137" t="s">
        <v>81</v>
      </c>
      <c r="B11" s="13" t="s">
        <v>13</v>
      </c>
      <c r="C11" s="69" t="s">
        <v>34</v>
      </c>
      <c r="D11" s="14" t="s">
        <v>119</v>
      </c>
      <c r="E11" s="14">
        <v>1</v>
      </c>
      <c r="F11" s="22">
        <v>63997.374466688547</v>
      </c>
      <c r="G11" s="15">
        <v>62163</v>
      </c>
      <c r="H11" s="36">
        <v>58048</v>
      </c>
      <c r="I11" s="135">
        <v>169900</v>
      </c>
    </row>
    <row r="12" spans="1:9" ht="63.75" x14ac:dyDescent="0.25">
      <c r="A12" s="137" t="s">
        <v>82</v>
      </c>
      <c r="B12" s="13" t="s">
        <v>46</v>
      </c>
      <c r="C12" s="69" t="s">
        <v>50</v>
      </c>
      <c r="D12" s="14" t="s">
        <v>119</v>
      </c>
      <c r="E12" s="14">
        <v>1</v>
      </c>
      <c r="F12" s="23">
        <v>1784745.7627118647</v>
      </c>
      <c r="G12" s="15">
        <v>1706155</v>
      </c>
      <c r="H12" s="48">
        <v>1594538</v>
      </c>
      <c r="I12" s="136">
        <v>1342301</v>
      </c>
    </row>
    <row r="13" spans="1:9" ht="38.25" x14ac:dyDescent="0.25">
      <c r="A13" s="137" t="s">
        <v>83</v>
      </c>
      <c r="B13" s="13" t="s">
        <v>51</v>
      </c>
      <c r="C13" s="69" t="s">
        <v>47</v>
      </c>
      <c r="D13" s="14" t="s">
        <v>119</v>
      </c>
      <c r="E13" s="14">
        <v>1</v>
      </c>
      <c r="F13" s="15">
        <v>903093.96485867072</v>
      </c>
      <c r="G13" s="15">
        <v>519265</v>
      </c>
      <c r="H13" s="48">
        <v>378151</v>
      </c>
      <c r="I13" s="136">
        <v>991000</v>
      </c>
    </row>
    <row r="14" spans="1:9" ht="51" x14ac:dyDescent="0.25">
      <c r="A14" s="137" t="s">
        <v>84</v>
      </c>
      <c r="B14" s="13" t="s">
        <v>52</v>
      </c>
      <c r="C14" s="69" t="s">
        <v>48</v>
      </c>
      <c r="D14" s="14" t="s">
        <v>119</v>
      </c>
      <c r="E14" s="14">
        <v>1</v>
      </c>
      <c r="F14" s="49">
        <v>370903</v>
      </c>
      <c r="G14" s="48">
        <v>379903</v>
      </c>
      <c r="H14" s="48">
        <v>349639</v>
      </c>
      <c r="I14" s="136">
        <v>256000</v>
      </c>
    </row>
    <row r="15" spans="1:9" ht="25.5" x14ac:dyDescent="0.25">
      <c r="A15" s="137" t="s">
        <v>85</v>
      </c>
      <c r="B15" s="13" t="s">
        <v>14</v>
      </c>
      <c r="C15" s="69" t="s">
        <v>35</v>
      </c>
      <c r="D15" s="14" t="s">
        <v>119</v>
      </c>
      <c r="E15" s="14">
        <v>1</v>
      </c>
      <c r="F15" s="49">
        <v>3485278</v>
      </c>
      <c r="G15" s="48">
        <v>3560672</v>
      </c>
      <c r="H15" s="48">
        <v>3327732</v>
      </c>
      <c r="I15" s="136">
        <v>550000</v>
      </c>
    </row>
    <row r="16" spans="1:9" ht="25.5" x14ac:dyDescent="0.25">
      <c r="A16" s="137" t="s">
        <v>86</v>
      </c>
      <c r="B16" s="13" t="s">
        <v>15</v>
      </c>
      <c r="C16" s="69" t="s">
        <v>36</v>
      </c>
      <c r="D16" s="14" t="s">
        <v>119</v>
      </c>
      <c r="E16" s="14">
        <v>1</v>
      </c>
      <c r="F16" s="49">
        <v>281513</v>
      </c>
      <c r="G16" s="48">
        <v>335000</v>
      </c>
      <c r="H16" s="45">
        <v>335000</v>
      </c>
      <c r="I16" s="136">
        <v>535000</v>
      </c>
    </row>
    <row r="17" spans="1:9" ht="25.5" x14ac:dyDescent="0.25">
      <c r="A17" s="137" t="s">
        <v>87</v>
      </c>
      <c r="B17" s="13" t="s">
        <v>16</v>
      </c>
      <c r="C17" s="69" t="s">
        <v>37</v>
      </c>
      <c r="D17" s="14" t="s">
        <v>119</v>
      </c>
      <c r="E17" s="14">
        <v>1</v>
      </c>
      <c r="F17" s="22">
        <v>3617463.712757831</v>
      </c>
      <c r="G17" s="46">
        <v>3979210</v>
      </c>
      <c r="H17" s="45">
        <v>3316008</v>
      </c>
      <c r="I17" s="136">
        <v>225000</v>
      </c>
    </row>
    <row r="18" spans="1:9" ht="25.5" x14ac:dyDescent="0.25">
      <c r="A18" s="137" t="s">
        <v>88</v>
      </c>
      <c r="B18" s="13" t="s">
        <v>17</v>
      </c>
      <c r="C18" s="69" t="s">
        <v>38</v>
      </c>
      <c r="D18" s="14" t="s">
        <v>119</v>
      </c>
      <c r="E18" s="14">
        <v>1</v>
      </c>
      <c r="F18" s="45">
        <v>1112710</v>
      </c>
      <c r="G18" s="45">
        <v>1695947.7158135979</v>
      </c>
      <c r="H18" s="45">
        <v>1039915</v>
      </c>
      <c r="I18" s="136">
        <v>423400</v>
      </c>
    </row>
    <row r="19" spans="1:9" ht="25.5" x14ac:dyDescent="0.25">
      <c r="A19" s="137" t="s">
        <v>89</v>
      </c>
      <c r="B19" s="13" t="s">
        <v>18</v>
      </c>
      <c r="C19" s="69" t="s">
        <v>39</v>
      </c>
      <c r="D19" s="14" t="s">
        <v>119</v>
      </c>
      <c r="E19" s="14">
        <v>1</v>
      </c>
      <c r="F19" s="132">
        <f>+'INDEXACION VALORES 2026'!H6</f>
        <v>925931</v>
      </c>
      <c r="G19" s="45">
        <f>+'INDEXACION VALORES 2026'!K6</f>
        <v>650779.19999999995</v>
      </c>
      <c r="H19" s="45">
        <v>895000</v>
      </c>
      <c r="I19" s="136">
        <v>249000</v>
      </c>
    </row>
    <row r="20" spans="1:9" ht="25.5" x14ac:dyDescent="0.25">
      <c r="A20" s="137" t="s">
        <v>90</v>
      </c>
      <c r="B20" s="13" t="s">
        <v>19</v>
      </c>
      <c r="C20" s="69" t="s">
        <v>40</v>
      </c>
      <c r="D20" s="14" t="s">
        <v>119</v>
      </c>
      <c r="E20" s="14">
        <v>1</v>
      </c>
      <c r="F20" s="45">
        <v>215300</v>
      </c>
      <c r="G20" s="45">
        <v>288900</v>
      </c>
      <c r="H20" s="45">
        <f>+'INDEXACION VALORES 2026'!N6</f>
        <v>940645</v>
      </c>
      <c r="I20" s="136">
        <v>215000</v>
      </c>
    </row>
    <row r="21" spans="1:9" ht="25.5" x14ac:dyDescent="0.25">
      <c r="A21" s="137" t="s">
        <v>91</v>
      </c>
      <c r="B21" s="13" t="s">
        <v>20</v>
      </c>
      <c r="C21" s="69" t="s">
        <v>179</v>
      </c>
      <c r="D21" s="14" t="s">
        <v>119</v>
      </c>
      <c r="E21" s="14">
        <v>1</v>
      </c>
      <c r="F21" s="132">
        <f>+'INDEXACION VALORES 2026'!H7</f>
        <v>194832.27799999999</v>
      </c>
      <c r="G21" s="45">
        <f>+'INDEXACION VALORES 2026'!K7</f>
        <v>168054.9</v>
      </c>
      <c r="H21" s="45">
        <f>+'INDEXACION VALORES 2026'!N7</f>
        <v>187603.5</v>
      </c>
      <c r="I21" s="136">
        <v>90000</v>
      </c>
    </row>
    <row r="22" spans="1:9" ht="25.5" x14ac:dyDescent="0.25">
      <c r="A22" s="137" t="s">
        <v>92</v>
      </c>
      <c r="B22" s="13" t="s">
        <v>21</v>
      </c>
      <c r="C22" s="69" t="s">
        <v>180</v>
      </c>
      <c r="D22" s="14" t="s">
        <v>119</v>
      </c>
      <c r="E22" s="14">
        <v>1</v>
      </c>
      <c r="F22" s="133">
        <f>+'INDEXACION VALORES 2026'!H8</f>
        <v>194899.54199999999</v>
      </c>
      <c r="G22" s="45">
        <f>+'INDEXACION VALORES 2026'!K8</f>
        <v>162086.27100000001</v>
      </c>
      <c r="H22" s="45">
        <f>+'INDEXACION VALORES 2026'!N8</f>
        <v>135053.5</v>
      </c>
      <c r="I22" s="136">
        <v>90000</v>
      </c>
    </row>
    <row r="23" spans="1:9" ht="38.25" x14ac:dyDescent="0.25">
      <c r="A23" s="137" t="s">
        <v>93</v>
      </c>
      <c r="B23" s="13" t="s">
        <v>22</v>
      </c>
      <c r="C23" s="69" t="s">
        <v>181</v>
      </c>
      <c r="D23" s="14" t="s">
        <v>119</v>
      </c>
      <c r="E23" s="14">
        <v>1</v>
      </c>
      <c r="F23" s="25">
        <v>156581</v>
      </c>
      <c r="G23" s="25">
        <v>175307</v>
      </c>
      <c r="H23" s="45">
        <v>287598</v>
      </c>
      <c r="I23" s="136">
        <v>190000</v>
      </c>
    </row>
    <row r="24" spans="1:9" ht="99" customHeight="1" x14ac:dyDescent="0.25">
      <c r="A24" s="137" t="s">
        <v>94</v>
      </c>
      <c r="B24" s="13" t="s">
        <v>23</v>
      </c>
      <c r="C24" s="69" t="s">
        <v>182</v>
      </c>
      <c r="D24" s="14" t="s">
        <v>119</v>
      </c>
      <c r="E24" s="14">
        <v>1</v>
      </c>
      <c r="F24" s="71">
        <f>+'INDEXACION VALORES 2026'!M15</f>
        <v>1479285.6131231042</v>
      </c>
      <c r="G24" s="25">
        <f>+'INDEXACION VALORES 2026'!U15</f>
        <v>1282047.5313733569</v>
      </c>
      <c r="H24" s="45">
        <f>+'INDEXACION VALORES 2026'!AC15</f>
        <v>1344101.6663238539</v>
      </c>
      <c r="I24" s="136">
        <v>577700</v>
      </c>
    </row>
    <row r="25" spans="1:9" ht="127.5" x14ac:dyDescent="0.25">
      <c r="A25" s="137" t="s">
        <v>95</v>
      </c>
      <c r="B25" s="13" t="s">
        <v>53</v>
      </c>
      <c r="C25" s="69" t="s">
        <v>41</v>
      </c>
      <c r="D25" s="14" t="s">
        <v>119</v>
      </c>
      <c r="E25" s="14">
        <v>1</v>
      </c>
      <c r="F25" s="24">
        <v>410436</v>
      </c>
      <c r="G25" s="15">
        <v>474756</v>
      </c>
      <c r="H25" s="15">
        <v>443697</v>
      </c>
      <c r="I25" s="136">
        <v>460000</v>
      </c>
    </row>
    <row r="26" spans="1:9" ht="89.25" x14ac:dyDescent="0.25">
      <c r="A26" s="137" t="s">
        <v>96</v>
      </c>
      <c r="B26" s="13" t="s">
        <v>24</v>
      </c>
      <c r="C26" s="69" t="s">
        <v>69</v>
      </c>
      <c r="D26" s="14" t="s">
        <v>119</v>
      </c>
      <c r="E26" s="14">
        <v>1</v>
      </c>
      <c r="F26" s="39">
        <f>+'MATERIAL DIDÁCTICO'!E15</f>
        <v>2473280</v>
      </c>
      <c r="G26" s="39">
        <f>+'MATERIAL DIDÁCTICO'!H15</f>
        <v>2329800</v>
      </c>
      <c r="H26" s="67">
        <f>+'MATERIAL DIDÁCTICO'!K15</f>
        <v>2394600</v>
      </c>
      <c r="I26" s="136">
        <v>928000</v>
      </c>
    </row>
    <row r="27" spans="1:9" x14ac:dyDescent="0.25">
      <c r="A27" s="137" t="s">
        <v>97</v>
      </c>
      <c r="B27" s="13" t="s">
        <v>25</v>
      </c>
      <c r="C27" s="69" t="s">
        <v>70</v>
      </c>
      <c r="D27" s="14" t="s">
        <v>119</v>
      </c>
      <c r="E27" s="14">
        <v>1</v>
      </c>
      <c r="F27" s="39">
        <v>5820</v>
      </c>
      <c r="G27" s="39">
        <v>5325</v>
      </c>
      <c r="H27" s="39">
        <v>4895</v>
      </c>
      <c r="I27" s="136">
        <v>14900</v>
      </c>
    </row>
    <row r="28" spans="1:9" ht="54.75" customHeight="1" x14ac:dyDescent="0.25">
      <c r="A28" s="137" t="s">
        <v>98</v>
      </c>
      <c r="B28" s="13" t="s">
        <v>26</v>
      </c>
      <c r="C28" s="69" t="s">
        <v>42</v>
      </c>
      <c r="D28" s="14" t="s">
        <v>119</v>
      </c>
      <c r="E28" s="14">
        <v>1</v>
      </c>
      <c r="F28" s="39">
        <v>16005.88</v>
      </c>
      <c r="G28" s="39">
        <v>18285</v>
      </c>
      <c r="H28" s="39">
        <v>15458</v>
      </c>
      <c r="I28" s="136">
        <v>20000</v>
      </c>
    </row>
    <row r="29" spans="1:9" ht="51" x14ac:dyDescent="0.25">
      <c r="A29" s="137" t="s">
        <v>99</v>
      </c>
      <c r="B29" s="13" t="s">
        <v>27</v>
      </c>
      <c r="C29" s="69" t="s">
        <v>43</v>
      </c>
      <c r="D29" s="14" t="s">
        <v>119</v>
      </c>
      <c r="E29" s="14">
        <v>1</v>
      </c>
      <c r="F29" s="141">
        <v>78775</v>
      </c>
      <c r="G29" s="39">
        <v>64217</v>
      </c>
      <c r="H29" s="39">
        <v>70260</v>
      </c>
      <c r="I29" s="135">
        <v>818000</v>
      </c>
    </row>
    <row r="30" spans="1:9" x14ac:dyDescent="0.25">
      <c r="A30" s="137" t="s">
        <v>100</v>
      </c>
      <c r="B30" s="13" t="s">
        <v>28</v>
      </c>
      <c r="C30" s="69" t="s">
        <v>44</v>
      </c>
      <c r="D30" s="14" t="s">
        <v>119</v>
      </c>
      <c r="E30" s="14">
        <v>1</v>
      </c>
      <c r="F30" s="22">
        <v>82905.225863596104</v>
      </c>
      <c r="G30" s="49">
        <v>120441</v>
      </c>
      <c r="H30" s="39">
        <v>108500</v>
      </c>
      <c r="I30" s="135">
        <v>49000</v>
      </c>
    </row>
    <row r="31" spans="1:9" ht="25.5" x14ac:dyDescent="0.25">
      <c r="A31" s="137" t="s">
        <v>101</v>
      </c>
      <c r="B31" s="13" t="s">
        <v>29</v>
      </c>
      <c r="C31" s="69" t="s">
        <v>45</v>
      </c>
      <c r="D31" s="14" t="s">
        <v>119</v>
      </c>
      <c r="E31" s="14">
        <v>1</v>
      </c>
      <c r="F31" s="22">
        <v>109760</v>
      </c>
      <c r="G31" s="22">
        <v>104958</v>
      </c>
      <c r="H31" s="39">
        <v>90000</v>
      </c>
      <c r="I31" s="136">
        <v>100000</v>
      </c>
    </row>
    <row r="32" spans="1:9" ht="76.5" x14ac:dyDescent="0.25">
      <c r="A32" s="137" t="s">
        <v>102</v>
      </c>
      <c r="B32" s="13" t="s">
        <v>30</v>
      </c>
      <c r="C32" s="69" t="s">
        <v>71</v>
      </c>
      <c r="D32" s="14" t="s">
        <v>119</v>
      </c>
      <c r="E32" s="14">
        <v>1</v>
      </c>
      <c r="F32" s="22">
        <v>299256</v>
      </c>
      <c r="G32" s="49">
        <v>357731</v>
      </c>
      <c r="H32" s="39">
        <v>348275</v>
      </c>
      <c r="I32" s="136">
        <v>349500</v>
      </c>
    </row>
    <row r="33" spans="1:9" ht="76.5" x14ac:dyDescent="0.25">
      <c r="A33" s="137" t="s">
        <v>103</v>
      </c>
      <c r="B33" s="13" t="s">
        <v>31</v>
      </c>
      <c r="C33" s="69" t="s">
        <v>72</v>
      </c>
      <c r="D33" s="14" t="s">
        <v>119</v>
      </c>
      <c r="E33" s="14">
        <v>1</v>
      </c>
      <c r="F33" s="49">
        <f>+'INDEXACION VALORES 2026'!H9</f>
        <v>194435</v>
      </c>
      <c r="G33" s="48">
        <f>+'INDEXACION VALORES 2026'!K9</f>
        <v>210115.92</v>
      </c>
      <c r="H33" s="67">
        <f>+'INDEXACION VALORES 2026'!N9</f>
        <v>177513.9</v>
      </c>
      <c r="I33" s="136">
        <v>129990</v>
      </c>
    </row>
    <row r="34" spans="1:9" ht="38.25" x14ac:dyDescent="0.25">
      <c r="A34" s="137" t="s">
        <v>104</v>
      </c>
      <c r="B34" s="13" t="s">
        <v>54</v>
      </c>
      <c r="C34" s="69" t="s">
        <v>183</v>
      </c>
      <c r="D34" s="14" t="s">
        <v>119</v>
      </c>
      <c r="E34" s="14">
        <v>1</v>
      </c>
      <c r="F34" s="15">
        <v>4807563.0252100844</v>
      </c>
      <c r="G34" s="15">
        <v>2487286</v>
      </c>
      <c r="H34" s="15">
        <v>2984743</v>
      </c>
      <c r="I34" s="136">
        <v>5800000</v>
      </c>
    </row>
    <row r="35" spans="1:9" ht="38.25" x14ac:dyDescent="0.25">
      <c r="A35" s="137" t="s">
        <v>105</v>
      </c>
      <c r="B35" s="13" t="s">
        <v>55</v>
      </c>
      <c r="C35" s="69" t="s">
        <v>184</v>
      </c>
      <c r="D35" s="14" t="s">
        <v>119</v>
      </c>
      <c r="E35" s="14">
        <v>1</v>
      </c>
      <c r="F35" s="48">
        <v>1015258</v>
      </c>
      <c r="G35" s="48">
        <v>775723</v>
      </c>
      <c r="H35" s="48">
        <v>995858</v>
      </c>
      <c r="I35" s="136">
        <v>504000</v>
      </c>
    </row>
    <row r="36" spans="1:9" ht="114.75" x14ac:dyDescent="0.25">
      <c r="A36" s="137" t="s">
        <v>106</v>
      </c>
      <c r="B36" s="13" t="s">
        <v>56</v>
      </c>
      <c r="C36" s="69" t="s">
        <v>57</v>
      </c>
      <c r="D36" s="14" t="s">
        <v>119</v>
      </c>
      <c r="E36" s="14">
        <v>1</v>
      </c>
      <c r="F36" s="134">
        <f>+CAMINADORA!H3</f>
        <v>3100000</v>
      </c>
      <c r="G36" s="134">
        <f>+CAMINADORA!H4</f>
        <v>3559900</v>
      </c>
      <c r="H36" s="60">
        <f>+CAMINADORA!H5</f>
        <v>3500000</v>
      </c>
      <c r="I36" s="136">
        <v>1859900</v>
      </c>
    </row>
    <row r="37" spans="1:9" ht="114.75" x14ac:dyDescent="0.25">
      <c r="A37" s="137" t="s">
        <v>107</v>
      </c>
      <c r="B37" s="13" t="s">
        <v>58</v>
      </c>
      <c r="C37" s="69" t="s">
        <v>59</v>
      </c>
      <c r="D37" s="14" t="s">
        <v>119</v>
      </c>
      <c r="E37" s="14">
        <v>1</v>
      </c>
      <c r="F37" s="15">
        <v>2098999</v>
      </c>
      <c r="G37" s="48">
        <v>2130202</v>
      </c>
      <c r="H37" s="48">
        <v>2250458</v>
      </c>
      <c r="I37" s="136">
        <v>1859900</v>
      </c>
    </row>
    <row r="38" spans="1:9" ht="51" x14ac:dyDescent="0.25">
      <c r="A38" s="137" t="s">
        <v>108</v>
      </c>
      <c r="B38" s="13" t="s">
        <v>60</v>
      </c>
      <c r="C38" s="69" t="s">
        <v>73</v>
      </c>
      <c r="D38" s="14" t="s">
        <v>119</v>
      </c>
      <c r="E38" s="14">
        <v>1</v>
      </c>
      <c r="F38" s="134">
        <f>+'KIT DE MANCUERNAS'!G3</f>
        <v>329900</v>
      </c>
      <c r="G38" s="134">
        <f>+'KIT DE MANCUERNAS'!G4</f>
        <v>287092</v>
      </c>
      <c r="H38" s="60">
        <f>+'KIT DE MANCUERNAS'!G5</f>
        <v>108573</v>
      </c>
      <c r="I38" s="136">
        <v>231800</v>
      </c>
    </row>
    <row r="39" spans="1:9" ht="38.25" x14ac:dyDescent="0.25">
      <c r="A39" s="137" t="s">
        <v>109</v>
      </c>
      <c r="B39" s="13" t="s">
        <v>61</v>
      </c>
      <c r="C39" s="69" t="s">
        <v>62</v>
      </c>
      <c r="D39" s="14" t="s">
        <v>119</v>
      </c>
      <c r="E39" s="14">
        <v>1</v>
      </c>
      <c r="F39" s="22">
        <v>94148</v>
      </c>
      <c r="G39" s="15">
        <v>117487</v>
      </c>
      <c r="H39" s="15">
        <v>100737</v>
      </c>
      <c r="I39" s="136">
        <v>232700</v>
      </c>
    </row>
    <row r="40" spans="1:9" ht="63.75" x14ac:dyDescent="0.25">
      <c r="A40" s="137" t="s">
        <v>110</v>
      </c>
      <c r="B40" s="13" t="s">
        <v>63</v>
      </c>
      <c r="C40" s="69" t="s">
        <v>74</v>
      </c>
      <c r="D40" s="14" t="s">
        <v>119</v>
      </c>
      <c r="E40" s="14">
        <v>1</v>
      </c>
      <c r="F40" s="22">
        <v>5462183</v>
      </c>
      <c r="G40" s="15">
        <v>5735292</v>
      </c>
      <c r="H40" s="15">
        <v>5805000</v>
      </c>
      <c r="I40" s="136">
        <v>2399900</v>
      </c>
    </row>
    <row r="41" spans="1:9" ht="25.5" x14ac:dyDescent="0.25">
      <c r="A41" s="137" t="s">
        <v>111</v>
      </c>
      <c r="B41" s="13" t="s">
        <v>64</v>
      </c>
      <c r="C41" s="69" t="s">
        <v>185</v>
      </c>
      <c r="D41" s="14" t="s">
        <v>119</v>
      </c>
      <c r="E41" s="14">
        <v>1</v>
      </c>
      <c r="F41" s="132">
        <f>+'INDEXACION VALORES 2026'!H10</f>
        <v>4606791.5460000001</v>
      </c>
      <c r="G41" s="132">
        <f>+'INDEXACION VALORES 2026'!K10</f>
        <v>4081453.4</v>
      </c>
      <c r="H41" s="132">
        <f>+'INDEXACION VALORES 2026'!N10</f>
        <v>4338904.2580000004</v>
      </c>
      <c r="I41" s="136">
        <v>3199900</v>
      </c>
    </row>
    <row r="42" spans="1:9" ht="25.5" x14ac:dyDescent="0.25">
      <c r="A42" s="137" t="s">
        <v>112</v>
      </c>
      <c r="B42" s="13" t="s">
        <v>65</v>
      </c>
      <c r="C42" s="69" t="s">
        <v>66</v>
      </c>
      <c r="D42" s="14" t="s">
        <v>119</v>
      </c>
      <c r="E42" s="14">
        <v>1</v>
      </c>
      <c r="F42" s="22">
        <v>3218803.6669213101</v>
      </c>
      <c r="G42" s="15">
        <v>2958903</v>
      </c>
      <c r="H42" s="15">
        <v>3175895</v>
      </c>
      <c r="I42" s="136">
        <v>2899900</v>
      </c>
    </row>
    <row r="43" spans="1:9" ht="57" customHeight="1" x14ac:dyDescent="0.25">
      <c r="A43" s="137" t="s">
        <v>113</v>
      </c>
      <c r="B43" s="13" t="s">
        <v>67</v>
      </c>
      <c r="C43" s="69" t="s">
        <v>68</v>
      </c>
      <c r="D43" s="14" t="s">
        <v>119</v>
      </c>
      <c r="E43" s="14">
        <v>1</v>
      </c>
      <c r="F43" s="22">
        <f>+'INDEXACION VALORES 2026'!L20</f>
        <v>504650.29395235411</v>
      </c>
      <c r="G43" s="22">
        <f>+'INDEXACION VALORES 2026'!S20</f>
        <v>553229.36149938731</v>
      </c>
      <c r="H43" s="22">
        <f>+'INDEXACION VALORES 2026'!Z20</f>
        <v>472316.44122847414</v>
      </c>
      <c r="I43" s="136">
        <v>419000</v>
      </c>
    </row>
    <row r="44" spans="1:9" customFormat="1" ht="15" customHeight="1" thickBot="1" x14ac:dyDescent="0.3">
      <c r="B44" s="239" t="s">
        <v>117</v>
      </c>
      <c r="C44" s="240"/>
      <c r="D44" s="240"/>
      <c r="E44" s="240"/>
      <c r="F44" s="240"/>
      <c r="G44" s="112"/>
    </row>
    <row r="45" spans="1:9" customFormat="1" ht="139.5" customHeight="1" thickBot="1" x14ac:dyDescent="0.3">
      <c r="B45" s="205" t="s">
        <v>186</v>
      </c>
      <c r="C45" s="206"/>
      <c r="D45" s="206"/>
      <c r="E45" s="206"/>
      <c r="F45" s="206"/>
      <c r="G45" s="206"/>
    </row>
    <row r="46" spans="1:9" ht="15.75" thickBot="1" x14ac:dyDescent="0.3"/>
    <row r="47" spans="1:9" ht="15.75" thickBot="1" x14ac:dyDescent="0.3">
      <c r="A47" s="200" t="s">
        <v>75</v>
      </c>
      <c r="B47" s="201"/>
      <c r="C47" s="201"/>
      <c r="D47" s="201"/>
      <c r="E47" s="201"/>
      <c r="F47" s="201"/>
      <c r="G47" s="202"/>
    </row>
    <row r="48" spans="1:9" ht="26.25" thickBot="1" x14ac:dyDescent="0.3">
      <c r="A48" s="17" t="s">
        <v>114</v>
      </c>
      <c r="B48" s="18" t="s">
        <v>116</v>
      </c>
      <c r="C48" s="19" t="s">
        <v>115</v>
      </c>
      <c r="D48" s="20" t="s">
        <v>119</v>
      </c>
      <c r="E48" s="20">
        <v>1</v>
      </c>
      <c r="F48" s="27">
        <v>815.1260504201681</v>
      </c>
      <c r="G48" s="43"/>
      <c r="H48" s="43"/>
    </row>
    <row r="49" spans="1:8" x14ac:dyDescent="0.25">
      <c r="A49" s="21"/>
      <c r="B49" s="21"/>
      <c r="C49" s="21"/>
      <c r="D49" s="21"/>
      <c r="E49" s="21"/>
      <c r="F49" s="21"/>
      <c r="G49" s="21"/>
      <c r="H49" s="21"/>
    </row>
    <row r="50" spans="1:8" x14ac:dyDescent="0.25">
      <c r="A50" s="21"/>
      <c r="B50" s="21"/>
      <c r="C50" s="21"/>
      <c r="D50" s="21"/>
      <c r="E50" s="21"/>
      <c r="F50" s="21"/>
      <c r="G50" s="21"/>
      <c r="H50" s="21"/>
    </row>
    <row r="51" spans="1:8" x14ac:dyDescent="0.25">
      <c r="A51" s="21"/>
      <c r="B51" s="21"/>
      <c r="C51" s="21"/>
      <c r="D51" s="21"/>
      <c r="E51" s="21"/>
      <c r="F51" s="21"/>
      <c r="G51" s="21"/>
      <c r="H51" s="21"/>
    </row>
    <row r="52" spans="1:8" ht="18.75" x14ac:dyDescent="0.25">
      <c r="A52" s="199"/>
      <c r="B52" s="199"/>
      <c r="C52" s="199"/>
      <c r="D52" s="199"/>
      <c r="E52" s="199"/>
      <c r="F52" s="199"/>
      <c r="G52" s="199"/>
    </row>
  </sheetData>
  <mergeCells count="8">
    <mergeCell ref="A47:G47"/>
    <mergeCell ref="A52:G52"/>
    <mergeCell ref="A1:I1"/>
    <mergeCell ref="A2:I2"/>
    <mergeCell ref="A3:I3"/>
    <mergeCell ref="A4:I4"/>
    <mergeCell ref="B44:F44"/>
    <mergeCell ref="B45:G45"/>
  </mergeCells>
  <conditionalFormatting sqref="F23:F25">
    <cfRule type="cellIs" dxfId="7" priority="2" stopIfTrue="1" operator="greaterThan">
      <formula>#REF!</formula>
    </cfRule>
  </conditionalFormatting>
  <conditionalFormatting sqref="G23:G24">
    <cfRule type="cellIs" dxfId="6" priority="1" stopIfTrue="1" operator="greaterThan">
      <formula>#REF!</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16E74-5371-4FE7-8D6D-3D5AAEC928DB}">
  <dimension ref="A1:V52"/>
  <sheetViews>
    <sheetView showGridLines="0" topLeftCell="F5" zoomScale="95" zoomScaleNormal="95" workbookViewId="0">
      <selection activeCell="O9" sqref="O9"/>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9.7109375" style="2" customWidth="1"/>
    <col min="7" max="7" width="32" style="2" customWidth="1"/>
    <col min="8" max="8" width="28.140625" style="2" customWidth="1"/>
    <col min="9" max="9" width="25.28515625" style="2" customWidth="1"/>
    <col min="10" max="10" width="18.28515625" style="2" customWidth="1"/>
    <col min="11" max="11" width="14.42578125" style="2" customWidth="1"/>
    <col min="12" max="12" width="11.42578125" style="2" customWidth="1"/>
    <col min="13" max="13" width="15.140625" style="2" customWidth="1"/>
    <col min="14" max="14" width="16.140625" style="2" customWidth="1"/>
    <col min="15" max="15" width="15.5703125" style="2" customWidth="1"/>
    <col min="16" max="16" width="11.42578125" style="2" customWidth="1"/>
    <col min="17" max="17" width="13" style="2" customWidth="1"/>
    <col min="18" max="18" width="13.7109375" style="2" customWidth="1"/>
    <col min="19" max="19" width="12.42578125" style="2" customWidth="1"/>
    <col min="20" max="20" width="18.140625" style="2" customWidth="1"/>
    <col min="21" max="21" width="11.42578125" style="2"/>
    <col min="22" max="22" width="14.42578125" style="2" customWidth="1"/>
    <col min="23" max="16384" width="11.42578125" style="2"/>
  </cols>
  <sheetData>
    <row r="1" spans="1:22" ht="15.6" customHeight="1" x14ac:dyDescent="0.25">
      <c r="A1" s="237" t="s">
        <v>0</v>
      </c>
      <c r="B1" s="238"/>
      <c r="C1" s="238"/>
      <c r="D1" s="238"/>
      <c r="E1" s="238"/>
      <c r="F1" s="238"/>
      <c r="G1" s="238"/>
      <c r="H1" s="238"/>
      <c r="I1" s="238"/>
    </row>
    <row r="2" spans="1:22" ht="16.149999999999999" customHeight="1" x14ac:dyDescent="0.25">
      <c r="A2" s="237" t="s">
        <v>1</v>
      </c>
      <c r="B2" s="238"/>
      <c r="C2" s="238"/>
      <c r="D2" s="238"/>
      <c r="E2" s="238"/>
      <c r="F2" s="238"/>
      <c r="G2" s="238"/>
      <c r="H2" s="238"/>
      <c r="I2" s="238"/>
    </row>
    <row r="3" spans="1:22" ht="16.149999999999999" customHeight="1" thickBot="1" x14ac:dyDescent="0.3">
      <c r="A3" s="237" t="s">
        <v>118</v>
      </c>
      <c r="B3" s="238"/>
      <c r="C3" s="238"/>
      <c r="D3" s="238"/>
      <c r="E3" s="238"/>
      <c r="F3" s="238"/>
      <c r="G3" s="238"/>
      <c r="H3" s="238"/>
      <c r="I3" s="238"/>
    </row>
    <row r="4" spans="1:22" ht="46.9" customHeight="1" thickBot="1" x14ac:dyDescent="0.3">
      <c r="A4" s="239" t="s">
        <v>2</v>
      </c>
      <c r="B4" s="240"/>
      <c r="C4" s="240"/>
      <c r="D4" s="240"/>
      <c r="E4" s="240"/>
      <c r="F4" s="240"/>
      <c r="G4" s="240"/>
      <c r="H4" s="240"/>
      <c r="I4" s="240"/>
      <c r="K4" s="144" t="s">
        <v>371</v>
      </c>
      <c r="M4" s="241" t="s">
        <v>373</v>
      </c>
      <c r="N4" s="241"/>
      <c r="O4" s="241"/>
      <c r="Q4" s="143" t="s">
        <v>376</v>
      </c>
      <c r="R4" s="143" t="s">
        <v>376</v>
      </c>
      <c r="S4" s="143" t="s">
        <v>376</v>
      </c>
      <c r="T4" s="142" t="s">
        <v>377</v>
      </c>
      <c r="V4" s="144" t="s">
        <v>371</v>
      </c>
    </row>
    <row r="5" spans="1:22" ht="63.75" x14ac:dyDescent="0.25">
      <c r="A5" s="3" t="s">
        <v>3</v>
      </c>
      <c r="B5" s="3" t="s">
        <v>4</v>
      </c>
      <c r="C5" s="3" t="s">
        <v>5</v>
      </c>
      <c r="D5" s="3" t="s">
        <v>6</v>
      </c>
      <c r="E5" s="3" t="s">
        <v>7</v>
      </c>
      <c r="F5" s="143" t="s">
        <v>8</v>
      </c>
      <c r="G5" s="143" t="s">
        <v>8</v>
      </c>
      <c r="H5" s="143" t="s">
        <v>8</v>
      </c>
      <c r="I5" s="142" t="s">
        <v>370</v>
      </c>
      <c r="K5" s="145" t="s">
        <v>372</v>
      </c>
      <c r="M5" s="146" t="s">
        <v>373</v>
      </c>
      <c r="N5" s="146" t="s">
        <v>374</v>
      </c>
      <c r="O5" s="146" t="s">
        <v>375</v>
      </c>
      <c r="Q5" s="143" t="s">
        <v>378</v>
      </c>
      <c r="R5" s="143" t="s">
        <v>378</v>
      </c>
      <c r="S5" s="143" t="s">
        <v>378</v>
      </c>
      <c r="T5" s="142" t="s">
        <v>378</v>
      </c>
      <c r="V5" s="160" t="s">
        <v>378</v>
      </c>
    </row>
    <row r="6" spans="1:22" ht="51" x14ac:dyDescent="0.25">
      <c r="A6" s="137" t="s">
        <v>76</v>
      </c>
      <c r="B6" s="13" t="s">
        <v>9</v>
      </c>
      <c r="C6" s="69" t="s">
        <v>176</v>
      </c>
      <c r="D6" s="14" t="s">
        <v>119</v>
      </c>
      <c r="E6" s="14">
        <v>1</v>
      </c>
      <c r="F6" s="138">
        <v>2221848.7394957985</v>
      </c>
      <c r="G6" s="15">
        <v>3327871</v>
      </c>
      <c r="H6" s="71">
        <v>3157200</v>
      </c>
      <c r="I6" s="149">
        <v>1849900</v>
      </c>
      <c r="K6" s="65">
        <f>+AVERAGE(F6:I6)</f>
        <v>2639204.9348739497</v>
      </c>
      <c r="M6" s="15">
        <f>+STDEV(F6:I6)</f>
        <v>716418.94419118459</v>
      </c>
      <c r="N6" s="147">
        <f>+K6-M6</f>
        <v>1922785.9906827651</v>
      </c>
      <c r="O6" s="147">
        <f>+K6+M6</f>
        <v>3355623.8790651346</v>
      </c>
      <c r="Q6" s="148">
        <f>+F6/$K6</f>
        <v>0.84186290732360858</v>
      </c>
      <c r="R6" s="148">
        <f t="shared" ref="R6:T6" si="0">+G6/$K6</f>
        <v>1.2609369420411991</v>
      </c>
      <c r="S6" s="148">
        <f t="shared" si="0"/>
        <v>1.1962693606249983</v>
      </c>
      <c r="T6" s="159">
        <f t="shared" si="0"/>
        <v>0.70093079001019387</v>
      </c>
      <c r="V6" s="161">
        <f>+AVERAGE(Q6:S6)</f>
        <v>1.0996897366632687</v>
      </c>
    </row>
    <row r="7" spans="1:22" ht="114.75" x14ac:dyDescent="0.25">
      <c r="A7" s="137" t="s">
        <v>77</v>
      </c>
      <c r="B7" s="13" t="s">
        <v>10</v>
      </c>
      <c r="C7" s="69" t="s">
        <v>177</v>
      </c>
      <c r="D7" s="14" t="s">
        <v>119</v>
      </c>
      <c r="E7" s="14">
        <v>1</v>
      </c>
      <c r="F7" s="48">
        <f>+'KIT ASEO'!E10</f>
        <v>838465.33333333337</v>
      </c>
      <c r="G7" s="150">
        <f>+'KIT ASEO'!H10</f>
        <v>1029175.3333333334</v>
      </c>
      <c r="H7" s="151">
        <f>+'KIT ASEO'!K10</f>
        <v>625395.33333333337</v>
      </c>
      <c r="I7" s="139">
        <v>798198</v>
      </c>
      <c r="K7" s="65">
        <f t="shared" ref="K7:K43" si="1">+AVERAGE(F7:I7)</f>
        <v>822808.5</v>
      </c>
      <c r="M7" s="15">
        <f t="shared" ref="M7:M43" si="2">+STDEV(F7:I7)</f>
        <v>165740.80307683942</v>
      </c>
      <c r="N7" s="147">
        <f t="shared" ref="N7:N43" si="3">+K7-M7</f>
        <v>657067.69692316058</v>
      </c>
      <c r="O7" s="147">
        <f t="shared" ref="O7:O43" si="4">+K7+M7</f>
        <v>988549.30307683942</v>
      </c>
      <c r="Q7" s="159">
        <f t="shared" ref="Q7:Q43" si="5">+F7/$K7</f>
        <v>1.0190285264837851</v>
      </c>
      <c r="R7" s="159">
        <f t="shared" ref="R7:R43" si="6">+G7/$K7</f>
        <v>1.2508078530220985</v>
      </c>
      <c r="S7" s="148">
        <f t="shared" ref="S7:S43" si="7">+H7/$K7</f>
        <v>0.76007398238269708</v>
      </c>
      <c r="T7" s="148">
        <f t="shared" ref="T7:T43" si="8">+I7/$K7</f>
        <v>0.97008963811141957</v>
      </c>
      <c r="V7" s="161">
        <f>+AVERAGE(S7:T7)</f>
        <v>0.86508181024705832</v>
      </c>
    </row>
    <row r="8" spans="1:22" ht="38.25" x14ac:dyDescent="0.25">
      <c r="A8" s="137" t="s">
        <v>78</v>
      </c>
      <c r="B8" s="13" t="s">
        <v>11</v>
      </c>
      <c r="C8" s="69" t="s">
        <v>178</v>
      </c>
      <c r="D8" s="14" t="s">
        <v>119</v>
      </c>
      <c r="E8" s="14">
        <v>1</v>
      </c>
      <c r="F8" s="15">
        <v>471428.57142857148</v>
      </c>
      <c r="G8" s="140">
        <v>476485.71428571432</v>
      </c>
      <c r="H8" s="23">
        <v>532048.76130554464</v>
      </c>
      <c r="I8" s="152">
        <v>595000</v>
      </c>
      <c r="K8" s="65">
        <f t="shared" si="1"/>
        <v>518740.76175495761</v>
      </c>
      <c r="M8" s="15">
        <f t="shared" si="2"/>
        <v>57782.657893929703</v>
      </c>
      <c r="N8" s="147">
        <f t="shared" si="3"/>
        <v>460958.10386102792</v>
      </c>
      <c r="O8" s="147">
        <f t="shared" si="4"/>
        <v>576523.41964888736</v>
      </c>
      <c r="Q8" s="148">
        <f t="shared" si="5"/>
        <v>0.90879415342969438</v>
      </c>
      <c r="R8" s="148">
        <f t="shared" si="6"/>
        <v>0.91854303616648558</v>
      </c>
      <c r="S8" s="148">
        <f t="shared" si="7"/>
        <v>1.0256544319084635</v>
      </c>
      <c r="T8" s="159">
        <f t="shared" si="8"/>
        <v>1.1470083784953566</v>
      </c>
      <c r="V8" s="161">
        <f>+AVERAGE(Q8:S8)</f>
        <v>0.95099720716821456</v>
      </c>
    </row>
    <row r="9" spans="1:22" ht="51" x14ac:dyDescent="0.25">
      <c r="A9" s="137" t="s">
        <v>79</v>
      </c>
      <c r="B9" s="13" t="s">
        <v>49</v>
      </c>
      <c r="C9" s="69" t="s">
        <v>462</v>
      </c>
      <c r="D9" s="14" t="s">
        <v>119</v>
      </c>
      <c r="E9" s="14">
        <v>1</v>
      </c>
      <c r="F9" s="48">
        <v>5890000</v>
      </c>
      <c r="G9" s="140">
        <f>+'VALORES OTROS PROCESOS'!I9</f>
        <v>6350000</v>
      </c>
      <c r="H9" s="154">
        <f>+'VALORES OTROS PROCESOS'!L9</f>
        <v>5125000</v>
      </c>
      <c r="I9" s="136">
        <f>+'VALORES MERCADO GRANDES SUPERFI'!F8</f>
        <v>6300000</v>
      </c>
      <c r="K9" s="65">
        <f t="shared" si="1"/>
        <v>5916250</v>
      </c>
      <c r="M9" s="15">
        <f t="shared" si="2"/>
        <v>566324.03857391281</v>
      </c>
      <c r="N9" s="147">
        <f t="shared" si="3"/>
        <v>5349925.9614260867</v>
      </c>
      <c r="O9" s="147">
        <f t="shared" si="4"/>
        <v>6482574.0385739133</v>
      </c>
      <c r="Q9" s="186">
        <f>+F9/$K9</f>
        <v>0.99556306782167758</v>
      </c>
      <c r="R9" s="148">
        <f>+G9/$K9</f>
        <v>1.0733150221846608</v>
      </c>
      <c r="S9" s="159">
        <f t="shared" si="7"/>
        <v>0.86625818719628145</v>
      </c>
      <c r="T9" s="186">
        <f t="shared" si="8"/>
        <v>1.0648637227973801</v>
      </c>
      <c r="V9" s="161">
        <f>+AVERAGE(Q9:R9,T9)</f>
        <v>1.044580604267906</v>
      </c>
    </row>
    <row r="10" spans="1:22" ht="63.75" x14ac:dyDescent="0.25">
      <c r="A10" s="137" t="s">
        <v>80</v>
      </c>
      <c r="B10" s="13" t="s">
        <v>12</v>
      </c>
      <c r="C10" s="69" t="s">
        <v>33</v>
      </c>
      <c r="D10" s="14" t="s">
        <v>119</v>
      </c>
      <c r="E10" s="14">
        <v>1</v>
      </c>
      <c r="F10" s="15">
        <v>305271.19938884646</v>
      </c>
      <c r="G10" s="15">
        <v>355919</v>
      </c>
      <c r="H10" s="36">
        <v>380000</v>
      </c>
      <c r="I10" s="152">
        <v>179900</v>
      </c>
      <c r="K10" s="65">
        <f t="shared" si="1"/>
        <v>305272.54984721163</v>
      </c>
      <c r="M10" s="15">
        <f t="shared" si="2"/>
        <v>89195.536092399532</v>
      </c>
      <c r="N10" s="147">
        <f t="shared" si="3"/>
        <v>216077.0137548121</v>
      </c>
      <c r="O10" s="147">
        <f t="shared" si="4"/>
        <v>394468.08593961119</v>
      </c>
      <c r="Q10" s="148">
        <f t="shared" si="5"/>
        <v>0.99999557622077107</v>
      </c>
      <c r="R10" s="148">
        <f t="shared" si="6"/>
        <v>1.1659056806061889</v>
      </c>
      <c r="S10" s="148">
        <f t="shared" si="7"/>
        <v>1.2447892880974374</v>
      </c>
      <c r="T10" s="159">
        <f t="shared" si="8"/>
        <v>0.58930945507560251</v>
      </c>
      <c r="V10" s="161">
        <f t="shared" ref="V10:V21" si="9">+AVERAGE(Q10:S10)</f>
        <v>1.1368968483081325</v>
      </c>
    </row>
    <row r="11" spans="1:22" ht="25.5" x14ac:dyDescent="0.25">
      <c r="A11" s="137" t="s">
        <v>81</v>
      </c>
      <c r="B11" s="13" t="s">
        <v>13</v>
      </c>
      <c r="C11" s="69" t="s">
        <v>34</v>
      </c>
      <c r="D11" s="14" t="s">
        <v>119</v>
      </c>
      <c r="E11" s="14">
        <v>1</v>
      </c>
      <c r="F11" s="22">
        <v>63997.374466688547</v>
      </c>
      <c r="G11" s="15">
        <v>62163</v>
      </c>
      <c r="H11" s="36">
        <v>58048</v>
      </c>
      <c r="I11" s="152">
        <v>169900</v>
      </c>
      <c r="K11" s="65">
        <f t="shared" si="1"/>
        <v>88527.093616672137</v>
      </c>
      <c r="M11" s="15">
        <f t="shared" si="2"/>
        <v>54305.609270649722</v>
      </c>
      <c r="N11" s="147">
        <f t="shared" si="3"/>
        <v>34221.484346022415</v>
      </c>
      <c r="O11" s="147">
        <f t="shared" si="4"/>
        <v>142832.70288732185</v>
      </c>
      <c r="Q11" s="148">
        <f t="shared" si="5"/>
        <v>0.72291286037019564</v>
      </c>
      <c r="R11" s="148">
        <f t="shared" si="6"/>
        <v>0.70219180886215116</v>
      </c>
      <c r="S11" s="148">
        <f t="shared" si="7"/>
        <v>0.65570886412866414</v>
      </c>
      <c r="T11" s="159">
        <f t="shared" si="8"/>
        <v>1.9191864666389891</v>
      </c>
      <c r="V11" s="161">
        <f t="shared" si="9"/>
        <v>0.69360451112033694</v>
      </c>
    </row>
    <row r="12" spans="1:22" ht="63.75" x14ac:dyDescent="0.25">
      <c r="A12" s="137" t="s">
        <v>82</v>
      </c>
      <c r="B12" s="13" t="s">
        <v>46</v>
      </c>
      <c r="C12" s="69" t="s">
        <v>50</v>
      </c>
      <c r="D12" s="14" t="s">
        <v>119</v>
      </c>
      <c r="E12" s="14">
        <v>1</v>
      </c>
      <c r="F12" s="23">
        <v>1784745.7627118647</v>
      </c>
      <c r="G12" s="15">
        <v>1706155</v>
      </c>
      <c r="H12" s="48">
        <v>1594538</v>
      </c>
      <c r="I12" s="149">
        <v>1342301</v>
      </c>
      <c r="K12" s="65">
        <f t="shared" si="1"/>
        <v>1606934.9406779662</v>
      </c>
      <c r="M12" s="15">
        <f t="shared" si="2"/>
        <v>192912.86055380906</v>
      </c>
      <c r="N12" s="147">
        <f t="shared" si="3"/>
        <v>1414022.0801241572</v>
      </c>
      <c r="O12" s="147">
        <f t="shared" si="4"/>
        <v>1799847.8012317752</v>
      </c>
      <c r="Q12" s="148">
        <f t="shared" si="5"/>
        <v>1.1106521599181109</v>
      </c>
      <c r="R12" s="148">
        <f t="shared" si="6"/>
        <v>1.0617449137549855</v>
      </c>
      <c r="S12" s="148">
        <f t="shared" si="7"/>
        <v>0.99228534997643658</v>
      </c>
      <c r="T12" s="159">
        <f t="shared" si="8"/>
        <v>0.83531757635046688</v>
      </c>
      <c r="V12" s="161">
        <f t="shared" si="9"/>
        <v>1.0548941412165109</v>
      </c>
    </row>
    <row r="13" spans="1:22" ht="38.25" x14ac:dyDescent="0.25">
      <c r="A13" s="137" t="s">
        <v>83</v>
      </c>
      <c r="B13" s="13" t="s">
        <v>51</v>
      </c>
      <c r="C13" s="69" t="s">
        <v>47</v>
      </c>
      <c r="D13" s="14" t="s">
        <v>119</v>
      </c>
      <c r="E13" s="14">
        <v>1</v>
      </c>
      <c r="F13" s="15">
        <v>903093.96485867072</v>
      </c>
      <c r="G13" s="15">
        <v>519265</v>
      </c>
      <c r="H13" s="153">
        <v>378151</v>
      </c>
      <c r="I13" s="136">
        <v>991000</v>
      </c>
      <c r="K13" s="65">
        <f t="shared" si="1"/>
        <v>697877.49121466768</v>
      </c>
      <c r="M13" s="15">
        <f t="shared" si="2"/>
        <v>295613.51875595923</v>
      </c>
      <c r="N13" s="147">
        <f t="shared" si="3"/>
        <v>402263.97245870845</v>
      </c>
      <c r="O13" s="147">
        <f t="shared" si="4"/>
        <v>993491.00997062691</v>
      </c>
      <c r="Q13" s="148">
        <f t="shared" si="5"/>
        <v>1.2940580205371293</v>
      </c>
      <c r="R13" s="148">
        <f t="shared" si="6"/>
        <v>0.74406325828937458</v>
      </c>
      <c r="S13" s="159">
        <f t="shared" si="7"/>
        <v>0.54185871411588549</v>
      </c>
      <c r="T13" s="148">
        <f t="shared" si="8"/>
        <v>1.4200200070576106</v>
      </c>
      <c r="V13" s="161">
        <f>+AVERAGE(Q13:R13,T13)</f>
        <v>1.1527137619613714</v>
      </c>
    </row>
    <row r="14" spans="1:22" ht="51" x14ac:dyDescent="0.25">
      <c r="A14" s="137" t="s">
        <v>84</v>
      </c>
      <c r="B14" s="13" t="s">
        <v>52</v>
      </c>
      <c r="C14" s="69" t="s">
        <v>48</v>
      </c>
      <c r="D14" s="14" t="s">
        <v>119</v>
      </c>
      <c r="E14" s="14">
        <v>1</v>
      </c>
      <c r="F14" s="49">
        <v>370903</v>
      </c>
      <c r="G14" s="48">
        <v>379903</v>
      </c>
      <c r="H14" s="48">
        <v>349639</v>
      </c>
      <c r="I14" s="149">
        <v>256000</v>
      </c>
      <c r="K14" s="65">
        <f t="shared" si="1"/>
        <v>339111.25</v>
      </c>
      <c r="M14" s="15">
        <f t="shared" si="2"/>
        <v>56841.873159230068</v>
      </c>
      <c r="N14" s="147">
        <f t="shared" si="3"/>
        <v>282269.37684076995</v>
      </c>
      <c r="O14" s="147">
        <f t="shared" si="4"/>
        <v>395953.12315923005</v>
      </c>
      <c r="Q14" s="148">
        <f t="shared" si="5"/>
        <v>1.0937502073434604</v>
      </c>
      <c r="R14" s="148">
        <f t="shared" si="6"/>
        <v>1.1202901702612342</v>
      </c>
      <c r="S14" s="148">
        <f t="shared" si="7"/>
        <v>1.0310451216230663</v>
      </c>
      <c r="T14" s="159">
        <f t="shared" si="8"/>
        <v>0.75491450077223921</v>
      </c>
      <c r="V14" s="161">
        <f t="shared" si="9"/>
        <v>1.0816951664092536</v>
      </c>
    </row>
    <row r="15" spans="1:22" ht="25.5" x14ac:dyDescent="0.25">
      <c r="A15" s="137" t="s">
        <v>85</v>
      </c>
      <c r="B15" s="13" t="s">
        <v>14</v>
      </c>
      <c r="C15" s="69" t="s">
        <v>35</v>
      </c>
      <c r="D15" s="14" t="s">
        <v>119</v>
      </c>
      <c r="E15" s="14">
        <v>1</v>
      </c>
      <c r="F15" s="49">
        <v>3485278</v>
      </c>
      <c r="G15" s="48">
        <v>3560672</v>
      </c>
      <c r="H15" s="48">
        <v>3327732</v>
      </c>
      <c r="I15" s="149">
        <v>550000</v>
      </c>
      <c r="K15" s="65">
        <f t="shared" si="1"/>
        <v>2730920.5</v>
      </c>
      <c r="M15" s="15">
        <f t="shared" si="2"/>
        <v>1457182.3248323</v>
      </c>
      <c r="N15" s="147">
        <f t="shared" si="3"/>
        <v>1273738.1751677</v>
      </c>
      <c r="O15" s="147">
        <f t="shared" si="4"/>
        <v>4188102.8248322997</v>
      </c>
      <c r="Q15" s="148">
        <f t="shared" si="5"/>
        <v>1.2762282900582422</v>
      </c>
      <c r="R15" s="148">
        <f t="shared" si="6"/>
        <v>1.303835831178535</v>
      </c>
      <c r="S15" s="148">
        <f t="shared" si="7"/>
        <v>1.2185385843344763</v>
      </c>
      <c r="T15" s="159">
        <f t="shared" si="8"/>
        <v>0.20139729442874665</v>
      </c>
      <c r="V15" s="161">
        <f t="shared" si="9"/>
        <v>1.2662009018570846</v>
      </c>
    </row>
    <row r="16" spans="1:22" ht="25.5" x14ac:dyDescent="0.25">
      <c r="A16" s="137" t="s">
        <v>86</v>
      </c>
      <c r="B16" s="13" t="s">
        <v>15</v>
      </c>
      <c r="C16" s="69" t="s">
        <v>36</v>
      </c>
      <c r="D16" s="14" t="s">
        <v>119</v>
      </c>
      <c r="E16" s="14">
        <v>1</v>
      </c>
      <c r="F16" s="49">
        <v>281513</v>
      </c>
      <c r="G16" s="48">
        <v>335000</v>
      </c>
      <c r="H16" s="45">
        <v>335000</v>
      </c>
      <c r="I16" s="149">
        <v>535000</v>
      </c>
      <c r="K16" s="65">
        <f t="shared" si="1"/>
        <v>371628.25</v>
      </c>
      <c r="M16" s="15">
        <f t="shared" si="2"/>
        <v>111794.96765172393</v>
      </c>
      <c r="N16" s="147">
        <f t="shared" si="3"/>
        <v>259833.28234827606</v>
      </c>
      <c r="O16" s="147">
        <f t="shared" si="4"/>
        <v>483423.21765172394</v>
      </c>
      <c r="Q16" s="148">
        <f t="shared" si="5"/>
        <v>0.75751237964282858</v>
      </c>
      <c r="R16" s="148">
        <f t="shared" si="6"/>
        <v>0.90143846707025099</v>
      </c>
      <c r="S16" s="148">
        <f t="shared" si="7"/>
        <v>0.90143846707025099</v>
      </c>
      <c r="T16" s="159">
        <f t="shared" si="8"/>
        <v>1.4396106862166695</v>
      </c>
      <c r="V16" s="161">
        <f t="shared" si="9"/>
        <v>0.85346310459444352</v>
      </c>
    </row>
    <row r="17" spans="1:22" ht="25.5" x14ac:dyDescent="0.25">
      <c r="A17" s="137" t="s">
        <v>87</v>
      </c>
      <c r="B17" s="13" t="s">
        <v>16</v>
      </c>
      <c r="C17" s="69" t="s">
        <v>37</v>
      </c>
      <c r="D17" s="14" t="s">
        <v>119</v>
      </c>
      <c r="E17" s="14">
        <v>1</v>
      </c>
      <c r="F17" s="22">
        <v>3617463.712757831</v>
      </c>
      <c r="G17" s="46">
        <v>3979210</v>
      </c>
      <c r="H17" s="45">
        <v>3316008</v>
      </c>
      <c r="I17" s="149">
        <v>225000</v>
      </c>
      <c r="K17" s="65">
        <f t="shared" si="1"/>
        <v>2784420.4281894579</v>
      </c>
      <c r="M17" s="15">
        <f t="shared" si="2"/>
        <v>1727686.4597498218</v>
      </c>
      <c r="N17" s="147">
        <f t="shared" si="3"/>
        <v>1056733.9684396361</v>
      </c>
      <c r="O17" s="147">
        <f t="shared" si="4"/>
        <v>4512106.8879392799</v>
      </c>
      <c r="Q17" s="148">
        <f t="shared" si="5"/>
        <v>1.2991801367834568</v>
      </c>
      <c r="R17" s="148">
        <f t="shared" si="6"/>
        <v>1.4290981202818722</v>
      </c>
      <c r="S17" s="148">
        <f t="shared" si="7"/>
        <v>1.1909149805211714</v>
      </c>
      <c r="T17" s="159">
        <f t="shared" si="8"/>
        <v>8.0806762413499475E-2</v>
      </c>
      <c r="V17" s="161">
        <f t="shared" si="9"/>
        <v>1.3063977458621669</v>
      </c>
    </row>
    <row r="18" spans="1:22" ht="25.5" x14ac:dyDescent="0.25">
      <c r="A18" s="137" t="s">
        <v>88</v>
      </c>
      <c r="B18" s="13" t="s">
        <v>17</v>
      </c>
      <c r="C18" s="69" t="s">
        <v>38</v>
      </c>
      <c r="D18" s="14" t="s">
        <v>119</v>
      </c>
      <c r="E18" s="14">
        <v>1</v>
      </c>
      <c r="F18" s="45">
        <v>1112710</v>
      </c>
      <c r="G18" s="154">
        <v>1695947.7158135979</v>
      </c>
      <c r="H18" s="45">
        <v>1039915</v>
      </c>
      <c r="I18" s="149">
        <v>423400</v>
      </c>
      <c r="K18" s="65">
        <f t="shared" si="1"/>
        <v>1067993.1789533994</v>
      </c>
      <c r="M18" s="15">
        <f t="shared" si="2"/>
        <v>520453.40647503664</v>
      </c>
      <c r="N18" s="147">
        <f t="shared" si="3"/>
        <v>547539.77247836278</v>
      </c>
      <c r="O18" s="147">
        <f t="shared" si="4"/>
        <v>1588446.5854284361</v>
      </c>
      <c r="Q18" s="148">
        <f t="shared" si="5"/>
        <v>1.0418699500407125</v>
      </c>
      <c r="R18" s="159">
        <f t="shared" si="6"/>
        <v>1.5879761680459183</v>
      </c>
      <c r="S18" s="148">
        <f t="shared" si="7"/>
        <v>0.97370940235693715</v>
      </c>
      <c r="T18" s="159">
        <f t="shared" si="8"/>
        <v>0.39644447955643219</v>
      </c>
      <c r="V18" s="161">
        <f>+AVERAGE(Q18,S18)</f>
        <v>1.0077896761988248</v>
      </c>
    </row>
    <row r="19" spans="1:22" ht="25.5" x14ac:dyDescent="0.25">
      <c r="A19" s="137" t="s">
        <v>89</v>
      </c>
      <c r="B19" s="13" t="s">
        <v>18</v>
      </c>
      <c r="C19" s="69" t="s">
        <v>39</v>
      </c>
      <c r="D19" s="14" t="s">
        <v>119</v>
      </c>
      <c r="E19" s="14">
        <v>1</v>
      </c>
      <c r="F19" s="132">
        <f>+'INDEXACION VALORES 2026'!H6</f>
        <v>925931</v>
      </c>
      <c r="G19" s="45">
        <f>+'INDEXACION VALORES 2026'!K6</f>
        <v>650779.19999999995</v>
      </c>
      <c r="H19" s="45">
        <v>895000</v>
      </c>
      <c r="I19" s="149">
        <v>249000</v>
      </c>
      <c r="K19" s="65">
        <f t="shared" si="1"/>
        <v>680177.55</v>
      </c>
      <c r="M19" s="15">
        <f t="shared" si="2"/>
        <v>312688.22908110329</v>
      </c>
      <c r="N19" s="147">
        <f t="shared" si="3"/>
        <v>367489.32091889676</v>
      </c>
      <c r="O19" s="147">
        <f t="shared" si="4"/>
        <v>992865.77908110339</v>
      </c>
      <c r="Q19" s="148">
        <f t="shared" si="5"/>
        <v>1.3613077938253033</v>
      </c>
      <c r="R19" s="148">
        <f t="shared" si="6"/>
        <v>0.95677841763521876</v>
      </c>
      <c r="S19" s="148">
        <f t="shared" si="7"/>
        <v>1.3158329027472311</v>
      </c>
      <c r="T19" s="159">
        <f t="shared" si="8"/>
        <v>0.3660808857922464</v>
      </c>
      <c r="V19" s="161">
        <f t="shared" si="9"/>
        <v>1.2113063714025845</v>
      </c>
    </row>
    <row r="20" spans="1:22" ht="25.5" x14ac:dyDescent="0.25">
      <c r="A20" s="137" t="s">
        <v>90</v>
      </c>
      <c r="B20" s="13" t="s">
        <v>19</v>
      </c>
      <c r="C20" s="69" t="s">
        <v>40</v>
      </c>
      <c r="D20" s="14" t="s">
        <v>119</v>
      </c>
      <c r="E20" s="14">
        <v>1</v>
      </c>
      <c r="F20" s="45">
        <v>215300</v>
      </c>
      <c r="G20" s="45">
        <v>288900</v>
      </c>
      <c r="H20" s="154">
        <f>+'INDEXACION VALORES 2026'!N6</f>
        <v>940645</v>
      </c>
      <c r="I20" s="136">
        <v>215000</v>
      </c>
      <c r="K20" s="65">
        <f t="shared" si="1"/>
        <v>414961.25</v>
      </c>
      <c r="M20" s="15">
        <f t="shared" si="2"/>
        <v>352176.0733964144</v>
      </c>
      <c r="N20" s="147">
        <f t="shared" si="3"/>
        <v>62785.176603585598</v>
      </c>
      <c r="O20" s="147">
        <f t="shared" si="4"/>
        <v>767137.3233964144</v>
      </c>
      <c r="Q20" s="148">
        <f t="shared" si="5"/>
        <v>0.51884362696516839</v>
      </c>
      <c r="R20" s="148">
        <f t="shared" si="6"/>
        <v>0.69620958583482195</v>
      </c>
      <c r="S20" s="159">
        <f t="shared" si="7"/>
        <v>2.2668261193063208</v>
      </c>
      <c r="T20" s="148">
        <f t="shared" si="8"/>
        <v>0.51812066789368882</v>
      </c>
      <c r="V20" s="161">
        <f>+AVERAGE(Q20:R20,T20)</f>
        <v>0.57772462689789306</v>
      </c>
    </row>
    <row r="21" spans="1:22" ht="25.5" x14ac:dyDescent="0.25">
      <c r="A21" s="137" t="s">
        <v>91</v>
      </c>
      <c r="B21" s="13" t="s">
        <v>20</v>
      </c>
      <c r="C21" s="69" t="s">
        <v>179</v>
      </c>
      <c r="D21" s="14" t="s">
        <v>119</v>
      </c>
      <c r="E21" s="14">
        <v>1</v>
      </c>
      <c r="F21" s="132">
        <f>+'INDEXACION VALORES 2026'!H7</f>
        <v>194832.27799999999</v>
      </c>
      <c r="G21" s="45">
        <f>+'INDEXACION VALORES 2026'!K7</f>
        <v>168054.9</v>
      </c>
      <c r="H21" s="45">
        <f>+'INDEXACION VALORES 2026'!N7</f>
        <v>187603.5</v>
      </c>
      <c r="I21" s="149">
        <v>90000</v>
      </c>
      <c r="K21" s="65">
        <f t="shared" si="1"/>
        <v>160122.66949999999</v>
      </c>
      <c r="M21" s="15">
        <f t="shared" si="2"/>
        <v>48097.338892792402</v>
      </c>
      <c r="N21" s="147">
        <f t="shared" si="3"/>
        <v>112025.33060720758</v>
      </c>
      <c r="O21" s="147">
        <f t="shared" si="4"/>
        <v>208220.0083927924</v>
      </c>
      <c r="Q21" s="148">
        <f t="shared" si="5"/>
        <v>1.216768859827184</v>
      </c>
      <c r="R21" s="148">
        <f t="shared" si="6"/>
        <v>1.0495384602615558</v>
      </c>
      <c r="S21" s="148">
        <f t="shared" si="7"/>
        <v>1.1716236094852266</v>
      </c>
      <c r="T21" s="159">
        <f t="shared" si="8"/>
        <v>0.5620690704260336</v>
      </c>
      <c r="V21" s="161">
        <f t="shared" si="9"/>
        <v>1.1459769765246555</v>
      </c>
    </row>
    <row r="22" spans="1:22" ht="25.5" x14ac:dyDescent="0.25">
      <c r="A22" s="137" t="s">
        <v>92</v>
      </c>
      <c r="B22" s="13" t="s">
        <v>21</v>
      </c>
      <c r="C22" s="69" t="s">
        <v>180</v>
      </c>
      <c r="D22" s="14" t="s">
        <v>119</v>
      </c>
      <c r="E22" s="14">
        <v>1</v>
      </c>
      <c r="F22" s="155">
        <f>+'INDEXACION VALORES 2026'!H8</f>
        <v>194899.54199999999</v>
      </c>
      <c r="G22" s="45">
        <f>+'INDEXACION VALORES 2026'!K8</f>
        <v>162086.27100000001</v>
      </c>
      <c r="H22" s="45">
        <f>+'INDEXACION VALORES 2026'!N8</f>
        <v>135053.5</v>
      </c>
      <c r="I22" s="149">
        <v>90000</v>
      </c>
      <c r="K22" s="65">
        <f t="shared" si="1"/>
        <v>145509.82824999999</v>
      </c>
      <c r="M22" s="15">
        <f t="shared" si="2"/>
        <v>44365.144394247283</v>
      </c>
      <c r="N22" s="147">
        <f t="shared" si="3"/>
        <v>101144.68385575271</v>
      </c>
      <c r="O22" s="147">
        <f t="shared" si="4"/>
        <v>189874.97264424729</v>
      </c>
      <c r="Q22" s="159">
        <f t="shared" si="5"/>
        <v>1.3394252769314228</v>
      </c>
      <c r="R22" s="148">
        <f t="shared" si="6"/>
        <v>1.1139197465171911</v>
      </c>
      <c r="S22" s="148">
        <f t="shared" si="7"/>
        <v>0.92814005503439256</v>
      </c>
      <c r="T22" s="159">
        <f t="shared" si="8"/>
        <v>0.61851492151699383</v>
      </c>
      <c r="V22" s="161">
        <f>+AVERAGE(R22:S22)</f>
        <v>1.0210299007757917</v>
      </c>
    </row>
    <row r="23" spans="1:22" ht="38.25" x14ac:dyDescent="0.25">
      <c r="A23" s="137" t="s">
        <v>93</v>
      </c>
      <c r="B23" s="13" t="s">
        <v>22</v>
      </c>
      <c r="C23" s="69" t="s">
        <v>181</v>
      </c>
      <c r="D23" s="14" t="s">
        <v>119</v>
      </c>
      <c r="E23" s="14">
        <v>1</v>
      </c>
      <c r="F23" s="25">
        <v>156581</v>
      </c>
      <c r="G23" s="25">
        <v>175307</v>
      </c>
      <c r="H23" s="154">
        <v>287598</v>
      </c>
      <c r="I23" s="136">
        <v>190000</v>
      </c>
      <c r="K23" s="65">
        <f t="shared" si="1"/>
        <v>202371.5</v>
      </c>
      <c r="M23" s="15">
        <f t="shared" si="2"/>
        <v>58440.475029440568</v>
      </c>
      <c r="N23" s="147">
        <f t="shared" si="3"/>
        <v>143931.02497055943</v>
      </c>
      <c r="O23" s="147">
        <f t="shared" si="4"/>
        <v>260811.97502944057</v>
      </c>
      <c r="Q23" s="148">
        <f t="shared" si="5"/>
        <v>0.77373049070644828</v>
      </c>
      <c r="R23" s="148">
        <f t="shared" si="6"/>
        <v>0.86626328312039991</v>
      </c>
      <c r="S23" s="159">
        <f t="shared" si="7"/>
        <v>1.4211388461319898</v>
      </c>
      <c r="T23" s="148">
        <f t="shared" si="8"/>
        <v>0.93886738004116188</v>
      </c>
      <c r="V23" s="161">
        <f>+AVERAGE(Q23:R23,T23)</f>
        <v>0.8596203846226701</v>
      </c>
    </row>
    <row r="24" spans="1:22" ht="99" customHeight="1" x14ac:dyDescent="0.25">
      <c r="A24" s="137" t="s">
        <v>94</v>
      </c>
      <c r="B24" s="13" t="s">
        <v>23</v>
      </c>
      <c r="C24" s="69" t="s">
        <v>182</v>
      </c>
      <c r="D24" s="14" t="s">
        <v>119</v>
      </c>
      <c r="E24" s="14">
        <v>1</v>
      </c>
      <c r="F24" s="71">
        <f>+'INDEXACION VALORES 2026'!M15</f>
        <v>1479285.6131231042</v>
      </c>
      <c r="G24" s="25">
        <f>+'INDEXACION VALORES 2026'!U15</f>
        <v>1282047.5313733569</v>
      </c>
      <c r="H24" s="45">
        <f>+'INDEXACION VALORES 2026'!AC15</f>
        <v>1344101.6663238539</v>
      </c>
      <c r="I24" s="149">
        <v>577700</v>
      </c>
      <c r="K24" s="65">
        <f t="shared" si="1"/>
        <v>1170783.7027050788</v>
      </c>
      <c r="M24" s="15">
        <f t="shared" si="2"/>
        <v>403873.10846717696</v>
      </c>
      <c r="N24" s="147">
        <f t="shared" si="3"/>
        <v>766910.59423790174</v>
      </c>
      <c r="O24" s="147">
        <f t="shared" si="4"/>
        <v>1574656.8111722558</v>
      </c>
      <c r="Q24" s="148">
        <f t="shared" si="5"/>
        <v>1.2635003457130778</v>
      </c>
      <c r="R24" s="148">
        <f t="shared" si="6"/>
        <v>1.0950336329513339</v>
      </c>
      <c r="S24" s="148">
        <f t="shared" si="7"/>
        <v>1.1480358525817591</v>
      </c>
      <c r="T24" s="159">
        <f t="shared" si="8"/>
        <v>0.49343016875382917</v>
      </c>
      <c r="V24" s="161">
        <f>+AVERAGE(Q24:S24)</f>
        <v>1.1688566104153904</v>
      </c>
    </row>
    <row r="25" spans="1:22" ht="127.5" x14ac:dyDescent="0.25">
      <c r="A25" s="137" t="s">
        <v>95</v>
      </c>
      <c r="B25" s="13" t="s">
        <v>53</v>
      </c>
      <c r="C25" s="69" t="s">
        <v>41</v>
      </c>
      <c r="D25" s="14" t="s">
        <v>119</v>
      </c>
      <c r="E25" s="14">
        <v>1</v>
      </c>
      <c r="F25" s="156">
        <v>410436</v>
      </c>
      <c r="G25" s="15">
        <v>474756</v>
      </c>
      <c r="H25" s="15">
        <v>443697</v>
      </c>
      <c r="I25" s="136">
        <v>460000</v>
      </c>
      <c r="K25" s="65">
        <f t="shared" si="1"/>
        <v>447222.25</v>
      </c>
      <c r="M25" s="15">
        <f t="shared" si="2"/>
        <v>27610.588915305663</v>
      </c>
      <c r="N25" s="147">
        <f t="shared" si="3"/>
        <v>419611.66108469432</v>
      </c>
      <c r="O25" s="147">
        <f t="shared" si="4"/>
        <v>474832.83891530568</v>
      </c>
      <c r="Q25" s="159">
        <f t="shared" si="5"/>
        <v>0.91774503616490455</v>
      </c>
      <c r="R25" s="148">
        <f t="shared" si="6"/>
        <v>1.0615661452443388</v>
      </c>
      <c r="S25" s="148">
        <f t="shared" si="7"/>
        <v>0.99211745390574824</v>
      </c>
      <c r="T25" s="148">
        <f t="shared" si="8"/>
        <v>1.0285713646850083</v>
      </c>
      <c r="V25" s="161">
        <f>+AVERAGE(R25:T25)</f>
        <v>1.0274183212783652</v>
      </c>
    </row>
    <row r="26" spans="1:22" ht="89.25" x14ac:dyDescent="0.25">
      <c r="A26" s="137" t="s">
        <v>96</v>
      </c>
      <c r="B26" s="13" t="s">
        <v>24</v>
      </c>
      <c r="C26" s="69" t="s">
        <v>69</v>
      </c>
      <c r="D26" s="14" t="s">
        <v>119</v>
      </c>
      <c r="E26" s="14">
        <v>1</v>
      </c>
      <c r="F26" s="39">
        <f>+'MATERIAL DIDÁCTICO'!E15</f>
        <v>2473280</v>
      </c>
      <c r="G26" s="39">
        <f>+'MATERIAL DIDÁCTICO'!H15</f>
        <v>2329800</v>
      </c>
      <c r="H26" s="67">
        <f>+'MATERIAL DIDÁCTICO'!K15</f>
        <v>2394600</v>
      </c>
      <c r="I26" s="149">
        <v>928000</v>
      </c>
      <c r="K26" s="65">
        <f t="shared" si="1"/>
        <v>2031420</v>
      </c>
      <c r="M26" s="15">
        <f t="shared" si="2"/>
        <v>737949.0255205076</v>
      </c>
      <c r="N26" s="147">
        <f t="shared" si="3"/>
        <v>1293470.9744794923</v>
      </c>
      <c r="O26" s="147">
        <f t="shared" si="4"/>
        <v>2769369.0255205077</v>
      </c>
      <c r="Q26" s="148">
        <f t="shared" si="5"/>
        <v>1.217512872768802</v>
      </c>
      <c r="R26" s="148">
        <f t="shared" si="6"/>
        <v>1.1468824762973684</v>
      </c>
      <c r="S26" s="148">
        <f t="shared" si="7"/>
        <v>1.1787813450689666</v>
      </c>
      <c r="T26" s="159">
        <f t="shared" si="8"/>
        <v>0.45682330586486303</v>
      </c>
      <c r="V26" s="161">
        <f t="shared" ref="V26:V30" si="10">+AVERAGE(Q26:S26)</f>
        <v>1.1810588980450458</v>
      </c>
    </row>
    <row r="27" spans="1:22" x14ac:dyDescent="0.25">
      <c r="A27" s="137" t="s">
        <v>97</v>
      </c>
      <c r="B27" s="13" t="s">
        <v>25</v>
      </c>
      <c r="C27" s="69" t="s">
        <v>70</v>
      </c>
      <c r="D27" s="14" t="s">
        <v>119</v>
      </c>
      <c r="E27" s="14">
        <v>1</v>
      </c>
      <c r="F27" s="39">
        <v>5820</v>
      </c>
      <c r="G27" s="39">
        <v>5325</v>
      </c>
      <c r="H27" s="39">
        <v>4895</v>
      </c>
      <c r="I27" s="149">
        <v>14900</v>
      </c>
      <c r="K27" s="65">
        <f t="shared" si="1"/>
        <v>7735</v>
      </c>
      <c r="M27" s="15">
        <f t="shared" si="2"/>
        <v>4791.5950719289012</v>
      </c>
      <c r="N27" s="147">
        <f t="shared" si="3"/>
        <v>2943.4049280710988</v>
      </c>
      <c r="O27" s="147">
        <f t="shared" si="4"/>
        <v>12526.595071928901</v>
      </c>
      <c r="Q27" s="148">
        <f t="shared" si="5"/>
        <v>0.75242404654169359</v>
      </c>
      <c r="R27" s="148">
        <f t="shared" si="6"/>
        <v>0.68842921784098254</v>
      </c>
      <c r="S27" s="148">
        <f t="shared" si="7"/>
        <v>0.63283775048480928</v>
      </c>
      <c r="T27" s="159">
        <f t="shared" si="8"/>
        <v>1.9263089851325146</v>
      </c>
      <c r="V27" s="161">
        <f t="shared" si="10"/>
        <v>0.69123033828916169</v>
      </c>
    </row>
    <row r="28" spans="1:22" ht="54.75" customHeight="1" x14ac:dyDescent="0.25">
      <c r="A28" s="137" t="s">
        <v>98</v>
      </c>
      <c r="B28" s="13" t="s">
        <v>26</v>
      </c>
      <c r="C28" s="69" t="s">
        <v>42</v>
      </c>
      <c r="D28" s="14" t="s">
        <v>119</v>
      </c>
      <c r="E28" s="14">
        <v>1</v>
      </c>
      <c r="F28" s="39">
        <v>16005.88</v>
      </c>
      <c r="G28" s="39">
        <v>18285</v>
      </c>
      <c r="H28" s="39">
        <v>15458</v>
      </c>
      <c r="I28" s="149">
        <v>20000</v>
      </c>
      <c r="K28" s="65">
        <f t="shared" si="1"/>
        <v>17437.22</v>
      </c>
      <c r="M28" s="15">
        <f t="shared" si="2"/>
        <v>2101.7943334842798</v>
      </c>
      <c r="N28" s="147">
        <f t="shared" si="3"/>
        <v>15335.425666515721</v>
      </c>
      <c r="O28" s="147">
        <f t="shared" si="4"/>
        <v>19539.01433348428</v>
      </c>
      <c r="Q28" s="148">
        <f t="shared" si="5"/>
        <v>0.91791466759036122</v>
      </c>
      <c r="R28" s="148">
        <f t="shared" si="6"/>
        <v>1.0486189885773076</v>
      </c>
      <c r="S28" s="148">
        <f t="shared" si="7"/>
        <v>0.88649452148909047</v>
      </c>
      <c r="T28" s="159">
        <f t="shared" si="8"/>
        <v>1.1469718223432404</v>
      </c>
      <c r="V28" s="161">
        <f t="shared" si="10"/>
        <v>0.95100939255225303</v>
      </c>
    </row>
    <row r="29" spans="1:22" ht="51" x14ac:dyDescent="0.25">
      <c r="A29" s="137" t="s">
        <v>99</v>
      </c>
      <c r="B29" s="13" t="s">
        <v>27</v>
      </c>
      <c r="C29" s="69" t="s">
        <v>43</v>
      </c>
      <c r="D29" s="14" t="s">
        <v>119</v>
      </c>
      <c r="E29" s="14">
        <v>1</v>
      </c>
      <c r="F29" s="141">
        <v>78775</v>
      </c>
      <c r="G29" s="39">
        <v>64217</v>
      </c>
      <c r="H29" s="39">
        <v>70260</v>
      </c>
      <c r="I29" s="152">
        <v>818000</v>
      </c>
      <c r="K29" s="65">
        <f t="shared" si="1"/>
        <v>257813</v>
      </c>
      <c r="M29" s="15">
        <f t="shared" si="2"/>
        <v>373505.74267695891</v>
      </c>
      <c r="N29" s="147">
        <f t="shared" si="3"/>
        <v>-115692.74267695891</v>
      </c>
      <c r="O29" s="147">
        <f t="shared" si="4"/>
        <v>631318.74267695891</v>
      </c>
      <c r="Q29" s="148">
        <f t="shared" si="5"/>
        <v>0.30555092256790772</v>
      </c>
      <c r="R29" s="148">
        <f t="shared" si="6"/>
        <v>0.24908363814082299</v>
      </c>
      <c r="S29" s="148">
        <f t="shared" si="7"/>
        <v>0.27252310783397271</v>
      </c>
      <c r="T29" s="159">
        <f t="shared" si="8"/>
        <v>3.1728423314572964</v>
      </c>
      <c r="V29" s="161">
        <f t="shared" si="10"/>
        <v>0.27571922284756784</v>
      </c>
    </row>
    <row r="30" spans="1:22" x14ac:dyDescent="0.25">
      <c r="A30" s="137" t="s">
        <v>100</v>
      </c>
      <c r="B30" s="13" t="s">
        <v>28</v>
      </c>
      <c r="C30" s="69" t="s">
        <v>44</v>
      </c>
      <c r="D30" s="14" t="s">
        <v>119</v>
      </c>
      <c r="E30" s="14">
        <v>1</v>
      </c>
      <c r="F30" s="22">
        <v>82905.225863596104</v>
      </c>
      <c r="G30" s="49">
        <v>120441</v>
      </c>
      <c r="H30" s="39">
        <v>108500</v>
      </c>
      <c r="I30" s="152">
        <v>49000</v>
      </c>
      <c r="K30" s="65">
        <f t="shared" si="1"/>
        <v>90211.556465899019</v>
      </c>
      <c r="M30" s="15">
        <f t="shared" si="2"/>
        <v>31623.099555512337</v>
      </c>
      <c r="N30" s="147">
        <f t="shared" si="3"/>
        <v>58588.456910386682</v>
      </c>
      <c r="O30" s="147">
        <f t="shared" si="4"/>
        <v>121834.65602141136</v>
      </c>
      <c r="Q30" s="148">
        <f t="shared" si="5"/>
        <v>0.91900892869457596</v>
      </c>
      <c r="R30" s="148">
        <f t="shared" si="6"/>
        <v>1.3350950223935893</v>
      </c>
      <c r="S30" s="148">
        <f t="shared" si="7"/>
        <v>1.2027283892503753</v>
      </c>
      <c r="T30" s="159">
        <f t="shared" si="8"/>
        <v>0.54316765966145975</v>
      </c>
      <c r="V30" s="161">
        <f t="shared" si="10"/>
        <v>1.1522774467795136</v>
      </c>
    </row>
    <row r="31" spans="1:22" ht="25.5" x14ac:dyDescent="0.25">
      <c r="A31" s="137" t="s">
        <v>101</v>
      </c>
      <c r="B31" s="13" t="s">
        <v>29</v>
      </c>
      <c r="C31" s="69" t="s">
        <v>45</v>
      </c>
      <c r="D31" s="14" t="s">
        <v>119</v>
      </c>
      <c r="E31" s="14">
        <v>1</v>
      </c>
      <c r="F31" s="22">
        <v>109760</v>
      </c>
      <c r="G31" s="22">
        <v>104958</v>
      </c>
      <c r="H31" s="40">
        <v>90000</v>
      </c>
      <c r="I31" s="136">
        <v>100000</v>
      </c>
      <c r="K31" s="65">
        <f t="shared" si="1"/>
        <v>101179.5</v>
      </c>
      <c r="M31" s="15">
        <f t="shared" si="2"/>
        <v>8451.3210604417745</v>
      </c>
      <c r="N31" s="147">
        <f t="shared" si="3"/>
        <v>92728.178939558231</v>
      </c>
      <c r="O31" s="147">
        <f t="shared" si="4"/>
        <v>109630.82106044177</v>
      </c>
      <c r="Q31" s="148">
        <f t="shared" si="5"/>
        <v>1.0848047282305211</v>
      </c>
      <c r="R31" s="148">
        <f t="shared" si="6"/>
        <v>1.0373445213704358</v>
      </c>
      <c r="S31" s="159">
        <f t="shared" si="7"/>
        <v>0.88950825018902047</v>
      </c>
      <c r="T31" s="148">
        <f t="shared" si="8"/>
        <v>0.98834250021002279</v>
      </c>
      <c r="V31" s="161">
        <f>+AVERAGE(Q31:R31,T31)</f>
        <v>1.0368305832703266</v>
      </c>
    </row>
    <row r="32" spans="1:22" ht="76.5" x14ac:dyDescent="0.25">
      <c r="A32" s="137" t="s">
        <v>102</v>
      </c>
      <c r="B32" s="13" t="s">
        <v>30</v>
      </c>
      <c r="C32" s="69" t="s">
        <v>71</v>
      </c>
      <c r="D32" s="14" t="s">
        <v>119</v>
      </c>
      <c r="E32" s="14">
        <v>1</v>
      </c>
      <c r="F32" s="157">
        <v>299256</v>
      </c>
      <c r="G32" s="49">
        <v>357731</v>
      </c>
      <c r="H32" s="39">
        <v>348275</v>
      </c>
      <c r="I32" s="136">
        <v>349500</v>
      </c>
      <c r="K32" s="65">
        <f t="shared" si="1"/>
        <v>338690.5</v>
      </c>
      <c r="M32" s="15">
        <f t="shared" si="2"/>
        <v>26622.849590780723</v>
      </c>
      <c r="N32" s="147">
        <f t="shared" si="3"/>
        <v>312067.65040921926</v>
      </c>
      <c r="O32" s="147">
        <f t="shared" si="4"/>
        <v>365313.34959078074</v>
      </c>
      <c r="Q32" s="159">
        <f t="shared" si="5"/>
        <v>0.88356774104971947</v>
      </c>
      <c r="R32" s="148">
        <f t="shared" si="6"/>
        <v>1.0562179925330057</v>
      </c>
      <c r="S32" s="148">
        <f t="shared" si="7"/>
        <v>1.0282986974833956</v>
      </c>
      <c r="T32" s="148">
        <f t="shared" si="8"/>
        <v>1.0319155689338793</v>
      </c>
      <c r="V32" s="161">
        <f>+AVERAGE(R32:T32)</f>
        <v>1.0388107529834267</v>
      </c>
    </row>
    <row r="33" spans="1:22" ht="76.5" x14ac:dyDescent="0.25">
      <c r="A33" s="137" t="s">
        <v>103</v>
      </c>
      <c r="B33" s="13" t="s">
        <v>31</v>
      </c>
      <c r="C33" s="69" t="s">
        <v>72</v>
      </c>
      <c r="D33" s="14" t="s">
        <v>119</v>
      </c>
      <c r="E33" s="14">
        <v>1</v>
      </c>
      <c r="F33" s="49">
        <f>+'INDEXACION VALORES 2026'!H9</f>
        <v>194435</v>
      </c>
      <c r="G33" s="48">
        <f>+'INDEXACION VALORES 2026'!K9</f>
        <v>210115.92</v>
      </c>
      <c r="H33" s="67">
        <f>+'INDEXACION VALORES 2026'!N9</f>
        <v>177513.9</v>
      </c>
      <c r="I33" s="149">
        <v>129990</v>
      </c>
      <c r="K33" s="65">
        <f t="shared" si="1"/>
        <v>178013.70500000002</v>
      </c>
      <c r="M33" s="15">
        <f t="shared" si="2"/>
        <v>34673.415293508282</v>
      </c>
      <c r="N33" s="147">
        <f t="shared" si="3"/>
        <v>143340.28970649175</v>
      </c>
      <c r="O33" s="147">
        <f t="shared" si="4"/>
        <v>212687.12029350828</v>
      </c>
      <c r="Q33" s="148">
        <f t="shared" si="5"/>
        <v>1.0922473637633685</v>
      </c>
      <c r="R33" s="148">
        <f t="shared" si="6"/>
        <v>1.1803356376409333</v>
      </c>
      <c r="S33" s="148">
        <f t="shared" si="7"/>
        <v>0.99719232291693483</v>
      </c>
      <c r="T33" s="159">
        <f t="shared" si="8"/>
        <v>0.73022467567876304</v>
      </c>
      <c r="V33" s="161">
        <f t="shared" ref="V33:V36" si="11">+AVERAGE(Q33:S33)</f>
        <v>1.0899251081070789</v>
      </c>
    </row>
    <row r="34" spans="1:22" ht="38.25" x14ac:dyDescent="0.25">
      <c r="A34" s="137" t="s">
        <v>104</v>
      </c>
      <c r="B34" s="13" t="s">
        <v>54</v>
      </c>
      <c r="C34" s="69" t="s">
        <v>183</v>
      </c>
      <c r="D34" s="14" t="s">
        <v>119</v>
      </c>
      <c r="E34" s="14">
        <v>1</v>
      </c>
      <c r="F34" s="15">
        <v>4807563.0252100844</v>
      </c>
      <c r="G34" s="15">
        <v>2487286</v>
      </c>
      <c r="H34" s="15">
        <v>2984743</v>
      </c>
      <c r="I34" s="149">
        <v>5800000</v>
      </c>
      <c r="K34" s="65">
        <f t="shared" si="1"/>
        <v>4019898.0063025211</v>
      </c>
      <c r="M34" s="15">
        <f t="shared" si="2"/>
        <v>1550228.4497144502</v>
      </c>
      <c r="N34" s="147">
        <f t="shared" si="3"/>
        <v>2469669.5565880709</v>
      </c>
      <c r="O34" s="147">
        <f t="shared" si="4"/>
        <v>5570126.4560169708</v>
      </c>
      <c r="Q34" s="148">
        <f t="shared" si="5"/>
        <v>1.195941543211454</v>
      </c>
      <c r="R34" s="148">
        <f t="shared" si="6"/>
        <v>0.61874355918989876</v>
      </c>
      <c r="S34" s="148">
        <f t="shared" si="7"/>
        <v>0.7424922212753724</v>
      </c>
      <c r="T34" s="159">
        <f t="shared" si="8"/>
        <v>1.4428226763232748</v>
      </c>
      <c r="V34" s="161">
        <f t="shared" si="11"/>
        <v>0.85239244122557489</v>
      </c>
    </row>
    <row r="35" spans="1:22" ht="38.25" x14ac:dyDescent="0.25">
      <c r="A35" s="137" t="s">
        <v>105</v>
      </c>
      <c r="B35" s="13" t="s">
        <v>55</v>
      </c>
      <c r="C35" s="69" t="s">
        <v>184</v>
      </c>
      <c r="D35" s="14" t="s">
        <v>119</v>
      </c>
      <c r="E35" s="14">
        <v>1</v>
      </c>
      <c r="F35" s="48">
        <v>1015258</v>
      </c>
      <c r="G35" s="48">
        <v>775723</v>
      </c>
      <c r="H35" s="48">
        <v>995858</v>
      </c>
      <c r="I35" s="149">
        <v>504000</v>
      </c>
      <c r="K35" s="65">
        <f t="shared" si="1"/>
        <v>822709.75</v>
      </c>
      <c r="M35" s="15">
        <f t="shared" si="2"/>
        <v>238634.17223632633</v>
      </c>
      <c r="N35" s="147">
        <f t="shared" si="3"/>
        <v>584075.57776367362</v>
      </c>
      <c r="O35" s="147">
        <f t="shared" si="4"/>
        <v>1061343.9222363264</v>
      </c>
      <c r="Q35" s="148">
        <f t="shared" si="5"/>
        <v>1.2340415316580362</v>
      </c>
      <c r="R35" s="148">
        <f t="shared" si="6"/>
        <v>0.9428878167543292</v>
      </c>
      <c r="S35" s="148">
        <f t="shared" si="7"/>
        <v>1.2104609189328315</v>
      </c>
      <c r="T35" s="159">
        <f t="shared" si="8"/>
        <v>0.61260973265480323</v>
      </c>
      <c r="V35" s="161">
        <f t="shared" si="11"/>
        <v>1.1291300891150657</v>
      </c>
    </row>
    <row r="36" spans="1:22" ht="114.75" x14ac:dyDescent="0.25">
      <c r="A36" s="137" t="s">
        <v>106</v>
      </c>
      <c r="B36" s="13" t="s">
        <v>56</v>
      </c>
      <c r="C36" s="69" t="s">
        <v>57</v>
      </c>
      <c r="D36" s="14" t="s">
        <v>119</v>
      </c>
      <c r="E36" s="14">
        <v>1</v>
      </c>
      <c r="F36" s="134">
        <f>+CAMINADORA!H3</f>
        <v>3100000</v>
      </c>
      <c r="G36" s="134">
        <f>+CAMINADORA!H4</f>
        <v>3559900</v>
      </c>
      <c r="H36" s="60">
        <f>+CAMINADORA!H5</f>
        <v>3500000</v>
      </c>
      <c r="I36" s="149">
        <v>1859900</v>
      </c>
      <c r="K36" s="65">
        <f t="shared" si="1"/>
        <v>3004950</v>
      </c>
      <c r="M36" s="15">
        <f t="shared" si="2"/>
        <v>790193.64926158031</v>
      </c>
      <c r="N36" s="147">
        <f t="shared" si="3"/>
        <v>2214756.3507384197</v>
      </c>
      <c r="O36" s="147">
        <f t="shared" si="4"/>
        <v>3795143.6492615803</v>
      </c>
      <c r="Q36" s="148">
        <f t="shared" si="5"/>
        <v>1.0316311419491173</v>
      </c>
      <c r="R36" s="148">
        <f t="shared" si="6"/>
        <v>1.1846786136208589</v>
      </c>
      <c r="S36" s="148">
        <f t="shared" si="7"/>
        <v>1.1647448376844873</v>
      </c>
      <c r="T36" s="159">
        <f t="shared" si="8"/>
        <v>0.61894540674553655</v>
      </c>
      <c r="V36" s="161">
        <f t="shared" si="11"/>
        <v>1.1270181977514879</v>
      </c>
    </row>
    <row r="37" spans="1:22" ht="114.75" x14ac:dyDescent="0.25">
      <c r="A37" s="137" t="s">
        <v>107</v>
      </c>
      <c r="B37" s="13" t="s">
        <v>58</v>
      </c>
      <c r="C37" s="69" t="s">
        <v>59</v>
      </c>
      <c r="D37" s="14" t="s">
        <v>119</v>
      </c>
      <c r="E37" s="14">
        <v>1</v>
      </c>
      <c r="F37" s="15">
        <v>2098999</v>
      </c>
      <c r="G37" s="48">
        <v>2130202</v>
      </c>
      <c r="H37" s="48">
        <v>2250458</v>
      </c>
      <c r="I37" s="149">
        <v>1859900</v>
      </c>
      <c r="K37" s="65">
        <f t="shared" si="1"/>
        <v>2084889.75</v>
      </c>
      <c r="M37" s="15">
        <f t="shared" si="2"/>
        <v>163590.4479166902</v>
      </c>
      <c r="N37" s="147">
        <f t="shared" si="3"/>
        <v>1921299.3020833097</v>
      </c>
      <c r="O37" s="147">
        <f t="shared" si="4"/>
        <v>2248480.1979166903</v>
      </c>
      <c r="Q37" s="148">
        <f t="shared" si="5"/>
        <v>1.006767384222595</v>
      </c>
      <c r="R37" s="186">
        <f t="shared" si="6"/>
        <v>1.0217336432298159</v>
      </c>
      <c r="S37" s="148">
        <f t="shared" si="7"/>
        <v>1.0794134318133608</v>
      </c>
      <c r="T37" s="159">
        <f t="shared" si="8"/>
        <v>0.8920855407342283</v>
      </c>
      <c r="V37" s="161">
        <f>+AVERAGE(Q37,R37,S37)</f>
        <v>1.0359714864219238</v>
      </c>
    </row>
    <row r="38" spans="1:22" ht="51" x14ac:dyDescent="0.25">
      <c r="A38" s="137" t="s">
        <v>108</v>
      </c>
      <c r="B38" s="13" t="s">
        <v>60</v>
      </c>
      <c r="C38" s="69" t="s">
        <v>73</v>
      </c>
      <c r="D38" s="14" t="s">
        <v>119</v>
      </c>
      <c r="E38" s="14">
        <v>1</v>
      </c>
      <c r="F38" s="134">
        <f>+'KIT DE MANCUERNAS'!G3</f>
        <v>329900</v>
      </c>
      <c r="G38" s="134">
        <f>+'KIT DE MANCUERNAS'!G4</f>
        <v>287092</v>
      </c>
      <c r="H38" s="158">
        <f>+'KIT DE MANCUERNAS'!G5</f>
        <v>108573</v>
      </c>
      <c r="I38" s="136">
        <v>231800</v>
      </c>
      <c r="K38" s="65">
        <f t="shared" si="1"/>
        <v>239341.25</v>
      </c>
      <c r="M38" s="15">
        <f t="shared" si="2"/>
        <v>95983.031463465799</v>
      </c>
      <c r="N38" s="147">
        <f t="shared" si="3"/>
        <v>143358.2185365342</v>
      </c>
      <c r="O38" s="147">
        <f t="shared" si="4"/>
        <v>335324.28146346577</v>
      </c>
      <c r="Q38" s="148">
        <f t="shared" si="5"/>
        <v>1.3783666626626208</v>
      </c>
      <c r="R38" s="148">
        <f t="shared" si="6"/>
        <v>1.1995090691637986</v>
      </c>
      <c r="S38" s="159">
        <f t="shared" si="7"/>
        <v>0.45363262705446722</v>
      </c>
      <c r="T38" s="148">
        <f t="shared" si="8"/>
        <v>0.96849164111911334</v>
      </c>
      <c r="V38" s="161">
        <f>+AVERAGE(Q38,R38,T38)</f>
        <v>1.182122457648511</v>
      </c>
    </row>
    <row r="39" spans="1:22" ht="38.25" x14ac:dyDescent="0.25">
      <c r="A39" s="137" t="s">
        <v>109</v>
      </c>
      <c r="B39" s="13" t="s">
        <v>61</v>
      </c>
      <c r="C39" s="69" t="s">
        <v>62</v>
      </c>
      <c r="D39" s="14" t="s">
        <v>119</v>
      </c>
      <c r="E39" s="14">
        <v>1</v>
      </c>
      <c r="F39" s="22">
        <v>94148</v>
      </c>
      <c r="G39" s="15">
        <v>117487</v>
      </c>
      <c r="H39" s="15">
        <v>100737</v>
      </c>
      <c r="I39" s="149">
        <v>232700</v>
      </c>
      <c r="K39" s="65">
        <f t="shared" si="1"/>
        <v>136268</v>
      </c>
      <c r="M39" s="15">
        <f t="shared" si="2"/>
        <v>65034.357447941824</v>
      </c>
      <c r="N39" s="147">
        <f t="shared" si="3"/>
        <v>71233.642552058183</v>
      </c>
      <c r="O39" s="147">
        <f t="shared" si="4"/>
        <v>201302.35744794182</v>
      </c>
      <c r="Q39" s="148">
        <f t="shared" si="5"/>
        <v>0.69090322012504768</v>
      </c>
      <c r="R39" s="148">
        <f t="shared" si="6"/>
        <v>0.8621760061056154</v>
      </c>
      <c r="S39" s="148">
        <f t="shared" si="7"/>
        <v>0.73925646520092758</v>
      </c>
      <c r="T39" s="159">
        <f t="shared" si="8"/>
        <v>1.7076643085684093</v>
      </c>
      <c r="V39" s="161">
        <f t="shared" ref="V39:V41" si="12">+AVERAGE(Q39:S39)</f>
        <v>0.76411189714386352</v>
      </c>
    </row>
    <row r="40" spans="1:22" ht="63.75" x14ac:dyDescent="0.25">
      <c r="A40" s="137" t="s">
        <v>110</v>
      </c>
      <c r="B40" s="13" t="s">
        <v>63</v>
      </c>
      <c r="C40" s="69" t="s">
        <v>74</v>
      </c>
      <c r="D40" s="14" t="s">
        <v>119</v>
      </c>
      <c r="E40" s="14">
        <v>1</v>
      </c>
      <c r="F40" s="22">
        <v>5462183</v>
      </c>
      <c r="G40" s="15">
        <v>5735292</v>
      </c>
      <c r="H40" s="15">
        <v>5805000</v>
      </c>
      <c r="I40" s="149">
        <v>2399900</v>
      </c>
      <c r="K40" s="65">
        <f t="shared" si="1"/>
        <v>4850593.75</v>
      </c>
      <c r="M40" s="15">
        <f t="shared" si="2"/>
        <v>1640479.9653959763</v>
      </c>
      <c r="N40" s="147">
        <f t="shared" si="3"/>
        <v>3210113.7846040237</v>
      </c>
      <c r="O40" s="147">
        <f t="shared" si="4"/>
        <v>6491073.7153959759</v>
      </c>
      <c r="Q40" s="148">
        <f t="shared" si="5"/>
        <v>1.1260854405710641</v>
      </c>
      <c r="R40" s="148">
        <f t="shared" si="6"/>
        <v>1.1823896816755681</v>
      </c>
      <c r="S40" s="148">
        <f t="shared" si="7"/>
        <v>1.196760705841424</v>
      </c>
      <c r="T40" s="159">
        <f t="shared" si="8"/>
        <v>0.49476417191194377</v>
      </c>
      <c r="V40" s="161">
        <f t="shared" si="12"/>
        <v>1.1684119426960187</v>
      </c>
    </row>
    <row r="41" spans="1:22" ht="25.5" x14ac:dyDescent="0.25">
      <c r="A41" s="137" t="s">
        <v>111</v>
      </c>
      <c r="B41" s="13" t="s">
        <v>64</v>
      </c>
      <c r="C41" s="69" t="s">
        <v>185</v>
      </c>
      <c r="D41" s="14" t="s">
        <v>119</v>
      </c>
      <c r="E41" s="14">
        <v>1</v>
      </c>
      <c r="F41" s="132">
        <f>+'INDEXACION VALORES 2026'!H10</f>
        <v>4606791.5460000001</v>
      </c>
      <c r="G41" s="132">
        <f>+'INDEXACION VALORES 2026'!K10</f>
        <v>4081453.4</v>
      </c>
      <c r="H41" s="132">
        <f>+'INDEXACION VALORES 2026'!N10</f>
        <v>4338904.2580000004</v>
      </c>
      <c r="I41" s="149">
        <v>3199900</v>
      </c>
      <c r="K41" s="65">
        <f t="shared" si="1"/>
        <v>4056762.301</v>
      </c>
      <c r="M41" s="15">
        <f t="shared" si="2"/>
        <v>610180.00281334971</v>
      </c>
      <c r="N41" s="147">
        <f t="shared" si="3"/>
        <v>3446582.2981866505</v>
      </c>
      <c r="O41" s="147">
        <f t="shared" si="4"/>
        <v>4666942.3038133495</v>
      </c>
      <c r="Q41" s="148">
        <f t="shared" si="5"/>
        <v>1.1355833061415546</v>
      </c>
      <c r="R41" s="148">
        <f t="shared" si="6"/>
        <v>1.006086405159581</v>
      </c>
      <c r="S41" s="148">
        <f t="shared" si="7"/>
        <v>1.0695485552432913</v>
      </c>
      <c r="T41" s="159">
        <f t="shared" si="8"/>
        <v>0.78878173345557323</v>
      </c>
      <c r="V41" s="161">
        <f t="shared" si="12"/>
        <v>1.0704060888481424</v>
      </c>
    </row>
    <row r="42" spans="1:22" ht="25.5" x14ac:dyDescent="0.25">
      <c r="A42" s="137" t="s">
        <v>112</v>
      </c>
      <c r="B42" s="13" t="s">
        <v>65</v>
      </c>
      <c r="C42" s="69" t="s">
        <v>66</v>
      </c>
      <c r="D42" s="14" t="s">
        <v>119</v>
      </c>
      <c r="E42" s="14">
        <v>1</v>
      </c>
      <c r="F42" s="22">
        <v>3218803.6669213101</v>
      </c>
      <c r="G42" s="48">
        <v>2958903</v>
      </c>
      <c r="H42" s="15">
        <v>3175895</v>
      </c>
      <c r="I42" s="149">
        <v>2899900</v>
      </c>
      <c r="K42" s="65">
        <f t="shared" si="1"/>
        <v>3063375.4167303275</v>
      </c>
      <c r="M42" s="15">
        <f t="shared" si="2"/>
        <v>157540.78340675356</v>
      </c>
      <c r="N42" s="147">
        <f t="shared" si="3"/>
        <v>2905834.633323574</v>
      </c>
      <c r="O42" s="147">
        <f t="shared" si="4"/>
        <v>3220916.2001370811</v>
      </c>
      <c r="Q42" s="148">
        <f t="shared" si="5"/>
        <v>1.050737578339934</v>
      </c>
      <c r="R42" s="186">
        <f t="shared" si="6"/>
        <v>0.96589630635547918</v>
      </c>
      <c r="S42" s="148">
        <f t="shared" si="7"/>
        <v>1.0367305889624752</v>
      </c>
      <c r="T42" s="159">
        <f t="shared" si="8"/>
        <v>0.9466355263421119</v>
      </c>
      <c r="V42" s="161">
        <f>+AVERAGE(Q42,R42:S42)</f>
        <v>1.0177881578859627</v>
      </c>
    </row>
    <row r="43" spans="1:22" ht="57" customHeight="1" x14ac:dyDescent="0.25">
      <c r="A43" s="137" t="s">
        <v>113</v>
      </c>
      <c r="B43" s="13" t="s">
        <v>67</v>
      </c>
      <c r="C43" s="69" t="s">
        <v>68</v>
      </c>
      <c r="D43" s="14" t="s">
        <v>119</v>
      </c>
      <c r="E43" s="14">
        <v>1</v>
      </c>
      <c r="F43" s="22">
        <f>+'INDEXACION VALORES 2026'!L20</f>
        <v>504650.29395235411</v>
      </c>
      <c r="G43" s="157">
        <f>+'INDEXACION VALORES 2026'!S20</f>
        <v>553229.36149938731</v>
      </c>
      <c r="H43" s="22">
        <f>+'INDEXACION VALORES 2026'!Z20</f>
        <v>472316.44122847414</v>
      </c>
      <c r="I43" s="136">
        <v>419000</v>
      </c>
      <c r="K43" s="65">
        <f t="shared" si="1"/>
        <v>487299.02417005389</v>
      </c>
      <c r="M43" s="15">
        <f t="shared" si="2"/>
        <v>56382.947887934999</v>
      </c>
      <c r="N43" s="147">
        <f t="shared" si="3"/>
        <v>430916.07628211891</v>
      </c>
      <c r="O43" s="147">
        <f t="shared" si="4"/>
        <v>543681.97205798887</v>
      </c>
      <c r="Q43" s="148">
        <f t="shared" si="5"/>
        <v>1.035607027557365</v>
      </c>
      <c r="R43" s="159">
        <f t="shared" si="6"/>
        <v>1.1352974950886123</v>
      </c>
      <c r="S43" s="148">
        <f t="shared" si="7"/>
        <v>0.96925382116843473</v>
      </c>
      <c r="T43" s="148">
        <f t="shared" si="8"/>
        <v>0.85984165618558794</v>
      </c>
      <c r="V43" s="161">
        <f>+AVERAGE(Q43,S43:T43)</f>
        <v>0.95490083497046252</v>
      </c>
    </row>
    <row r="44" spans="1:22" customFormat="1" ht="15" customHeight="1" thickBot="1" x14ac:dyDescent="0.3">
      <c r="B44" s="239" t="s">
        <v>117</v>
      </c>
      <c r="C44" s="240"/>
      <c r="D44" s="240"/>
      <c r="E44" s="240"/>
      <c r="F44" s="240"/>
      <c r="G44" s="112"/>
    </row>
    <row r="45" spans="1:22" customFormat="1" ht="139.5" customHeight="1" thickBot="1" x14ac:dyDescent="0.3">
      <c r="B45" s="205" t="s">
        <v>186</v>
      </c>
      <c r="C45" s="206"/>
      <c r="D45" s="206"/>
      <c r="E45" s="206"/>
      <c r="F45" s="206"/>
      <c r="G45" s="206"/>
    </row>
    <row r="46" spans="1:22" ht="15.75" thickBot="1" x14ac:dyDescent="0.3"/>
    <row r="47" spans="1:22" ht="15.75" thickBot="1" x14ac:dyDescent="0.3">
      <c r="A47" s="200" t="s">
        <v>75</v>
      </c>
      <c r="B47" s="201"/>
      <c r="C47" s="201"/>
      <c r="D47" s="201"/>
      <c r="E47" s="201"/>
      <c r="F47" s="201"/>
      <c r="G47" s="202"/>
    </row>
    <row r="48" spans="1:22" ht="26.25" thickBot="1" x14ac:dyDescent="0.3">
      <c r="A48" s="17" t="s">
        <v>114</v>
      </c>
      <c r="B48" s="18" t="s">
        <v>116</v>
      </c>
      <c r="C48" s="19" t="s">
        <v>115</v>
      </c>
      <c r="D48" s="20" t="s">
        <v>119</v>
      </c>
      <c r="E48" s="20">
        <v>1</v>
      </c>
      <c r="F48" s="27">
        <v>815.1260504201681</v>
      </c>
      <c r="G48" s="43"/>
      <c r="H48" s="43"/>
    </row>
    <row r="49" spans="1:8" x14ac:dyDescent="0.25">
      <c r="A49" s="21"/>
      <c r="B49" s="21"/>
      <c r="C49" s="21"/>
      <c r="D49" s="21"/>
      <c r="E49" s="21"/>
      <c r="F49" s="21"/>
      <c r="G49" s="21"/>
      <c r="H49" s="21"/>
    </row>
    <row r="50" spans="1:8" x14ac:dyDescent="0.25">
      <c r="A50" s="21"/>
      <c r="B50" s="21"/>
      <c r="C50" s="21"/>
      <c r="D50" s="21"/>
      <c r="E50" s="21"/>
      <c r="F50" s="21"/>
      <c r="G50" s="21"/>
      <c r="H50" s="21"/>
    </row>
    <row r="51" spans="1:8" x14ac:dyDescent="0.25">
      <c r="A51" s="21"/>
      <c r="B51" s="21"/>
      <c r="C51" s="21"/>
      <c r="D51" s="21"/>
      <c r="E51" s="21"/>
      <c r="F51" s="21"/>
      <c r="G51" s="21"/>
      <c r="H51" s="21"/>
    </row>
    <row r="52" spans="1:8" ht="18.75" x14ac:dyDescent="0.25">
      <c r="A52" s="199"/>
      <c r="B52" s="199"/>
      <c r="C52" s="199"/>
      <c r="D52" s="199"/>
      <c r="E52" s="199"/>
      <c r="F52" s="199"/>
      <c r="G52" s="199"/>
    </row>
  </sheetData>
  <mergeCells count="9">
    <mergeCell ref="A47:G47"/>
    <mergeCell ref="A52:G52"/>
    <mergeCell ref="M4:O4"/>
    <mergeCell ref="A1:I1"/>
    <mergeCell ref="A2:I2"/>
    <mergeCell ref="A3:I3"/>
    <mergeCell ref="A4:I4"/>
    <mergeCell ref="B44:F44"/>
    <mergeCell ref="B45:G45"/>
  </mergeCells>
  <conditionalFormatting sqref="F23:F25">
    <cfRule type="cellIs" dxfId="5" priority="2" stopIfTrue="1" operator="greaterThan">
      <formula>#REF!</formula>
    </cfRule>
  </conditionalFormatting>
  <conditionalFormatting sqref="G23:G24">
    <cfRule type="cellIs" dxfId="4" priority="1" stopIfTrue="1" operator="greaterThan">
      <formula>#REF!</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6664E-2E54-4642-BBBF-4FFBBE599804}">
  <dimension ref="A1:X52"/>
  <sheetViews>
    <sheetView showGridLines="0" topLeftCell="K7" zoomScale="95" zoomScaleNormal="95" workbookViewId="0">
      <selection activeCell="X9" sqref="X9"/>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9.7109375" style="2" customWidth="1"/>
    <col min="7" max="7" width="32" style="2" customWidth="1"/>
    <col min="8" max="8" width="28.140625" style="2" customWidth="1"/>
    <col min="9" max="9" width="25.28515625" style="2" customWidth="1"/>
    <col min="10" max="10" width="18.28515625" style="2" customWidth="1"/>
    <col min="11" max="11" width="14.42578125" style="2" customWidth="1"/>
    <col min="12" max="12" width="11.42578125" style="2" customWidth="1"/>
    <col min="13" max="13" width="15.140625" style="2" customWidth="1"/>
    <col min="14" max="14" width="16.140625" style="2" customWidth="1"/>
    <col min="15" max="15" width="15.5703125" style="2" customWidth="1"/>
    <col min="16" max="16" width="11.42578125" style="2" customWidth="1"/>
    <col min="17" max="17" width="13" style="2" customWidth="1"/>
    <col min="18" max="18" width="13.7109375" style="2" customWidth="1"/>
    <col min="19" max="19" width="12.42578125" style="2" customWidth="1"/>
    <col min="20" max="20" width="18.140625" style="2" customWidth="1"/>
    <col min="21" max="21" width="11.42578125" style="2" customWidth="1"/>
    <col min="22" max="22" width="14.42578125" style="2" customWidth="1"/>
    <col min="23" max="23" width="11.42578125" style="2"/>
    <col min="24" max="24" width="28.7109375" style="2" customWidth="1"/>
    <col min="25" max="16384" width="11.42578125" style="2"/>
  </cols>
  <sheetData>
    <row r="1" spans="1:24" ht="15.6" customHeight="1" x14ac:dyDescent="0.25">
      <c r="A1" s="237" t="s">
        <v>0</v>
      </c>
      <c r="B1" s="238"/>
      <c r="C1" s="238"/>
      <c r="D1" s="238"/>
      <c r="E1" s="238"/>
      <c r="F1" s="238"/>
      <c r="G1" s="238"/>
      <c r="H1" s="238"/>
      <c r="I1" s="238"/>
      <c r="Q1" s="242" t="s">
        <v>387</v>
      </c>
      <c r="R1" s="242"/>
      <c r="S1" s="242"/>
      <c r="T1" s="242"/>
    </row>
    <row r="2" spans="1:24" ht="16.149999999999999" customHeight="1" x14ac:dyDescent="0.25">
      <c r="A2" s="237" t="s">
        <v>1</v>
      </c>
      <c r="B2" s="238"/>
      <c r="C2" s="238"/>
      <c r="D2" s="238"/>
      <c r="E2" s="238"/>
      <c r="F2" s="238"/>
      <c r="G2" s="238"/>
      <c r="H2" s="238"/>
      <c r="I2" s="238"/>
      <c r="Q2" s="242"/>
      <c r="R2" s="242"/>
      <c r="S2" s="242"/>
      <c r="T2" s="242"/>
    </row>
    <row r="3" spans="1:24" ht="16.149999999999999" customHeight="1" thickBot="1" x14ac:dyDescent="0.3">
      <c r="A3" s="237" t="s">
        <v>118</v>
      </c>
      <c r="B3" s="238"/>
      <c r="C3" s="238"/>
      <c r="D3" s="238"/>
      <c r="E3" s="238"/>
      <c r="F3" s="238"/>
      <c r="G3" s="238"/>
      <c r="H3" s="238"/>
      <c r="I3" s="238"/>
      <c r="Q3" s="243"/>
      <c r="R3" s="243"/>
      <c r="S3" s="243"/>
      <c r="T3" s="243"/>
    </row>
    <row r="4" spans="1:24" ht="69.599999999999994" customHeight="1" thickBot="1" x14ac:dyDescent="0.3">
      <c r="A4" s="239" t="s">
        <v>2</v>
      </c>
      <c r="B4" s="240"/>
      <c r="C4" s="240"/>
      <c r="D4" s="240"/>
      <c r="E4" s="240"/>
      <c r="F4" s="240"/>
      <c r="G4" s="240"/>
      <c r="H4" s="240"/>
      <c r="I4" s="240"/>
      <c r="K4" s="144" t="s">
        <v>371</v>
      </c>
      <c r="M4" s="241" t="s">
        <v>373</v>
      </c>
      <c r="N4" s="241"/>
      <c r="O4" s="241"/>
      <c r="Q4" s="143" t="s">
        <v>376</v>
      </c>
      <c r="R4" s="143" t="s">
        <v>376</v>
      </c>
      <c r="S4" s="143" t="s">
        <v>376</v>
      </c>
      <c r="T4" s="142" t="s">
        <v>377</v>
      </c>
      <c r="V4" s="144" t="s">
        <v>371</v>
      </c>
      <c r="X4" s="162" t="s">
        <v>379</v>
      </c>
    </row>
    <row r="5" spans="1:24" ht="63.75" x14ac:dyDescent="0.25">
      <c r="A5" s="3" t="s">
        <v>3</v>
      </c>
      <c r="B5" s="3" t="s">
        <v>4</v>
      </c>
      <c r="C5" s="3" t="s">
        <v>5</v>
      </c>
      <c r="D5" s="3" t="s">
        <v>6</v>
      </c>
      <c r="E5" s="3" t="s">
        <v>7</v>
      </c>
      <c r="F5" s="143" t="s">
        <v>8</v>
      </c>
      <c r="G5" s="143" t="s">
        <v>8</v>
      </c>
      <c r="H5" s="143" t="s">
        <v>8</v>
      </c>
      <c r="I5" s="142" t="s">
        <v>370</v>
      </c>
      <c r="K5" s="145" t="s">
        <v>372</v>
      </c>
      <c r="M5" s="146" t="s">
        <v>373</v>
      </c>
      <c r="N5" s="146" t="s">
        <v>374</v>
      </c>
      <c r="O5" s="146" t="s">
        <v>375</v>
      </c>
      <c r="Q5" s="143" t="s">
        <v>378</v>
      </c>
      <c r="R5" s="143" t="s">
        <v>378</v>
      </c>
      <c r="S5" s="143" t="s">
        <v>378</v>
      </c>
      <c r="T5" s="142" t="s">
        <v>378</v>
      </c>
      <c r="V5" s="160" t="s">
        <v>378</v>
      </c>
      <c r="X5" s="163" t="s">
        <v>380</v>
      </c>
    </row>
    <row r="6" spans="1:24" ht="51" x14ac:dyDescent="0.25">
      <c r="A6" s="137" t="s">
        <v>76</v>
      </c>
      <c r="B6" s="13" t="s">
        <v>9</v>
      </c>
      <c r="C6" s="69" t="s">
        <v>176</v>
      </c>
      <c r="D6" s="14" t="s">
        <v>119</v>
      </c>
      <c r="E6" s="14">
        <v>1</v>
      </c>
      <c r="F6" s="138">
        <v>2221848.7394957985</v>
      </c>
      <c r="G6" s="15">
        <v>3327871</v>
      </c>
      <c r="H6" s="71">
        <v>3157200</v>
      </c>
      <c r="I6" s="149">
        <v>1849900</v>
      </c>
      <c r="K6" s="65">
        <f>+AVERAGE(F6:I6)</f>
        <v>2639204.9348739497</v>
      </c>
      <c r="M6" s="15">
        <f>+STDEV(F6:I6)</f>
        <v>716418.94419118459</v>
      </c>
      <c r="N6" s="147">
        <f>+K6-M6</f>
        <v>1922785.9906827651</v>
      </c>
      <c r="O6" s="147">
        <f>+K6+M6</f>
        <v>3355623.8790651346</v>
      </c>
      <c r="Q6" s="148">
        <f>+F6/$K6</f>
        <v>0.84186290732360858</v>
      </c>
      <c r="R6" s="148">
        <f t="shared" ref="R6:T21" si="0">+G6/$K6</f>
        <v>1.2609369420411991</v>
      </c>
      <c r="S6" s="148">
        <f t="shared" si="0"/>
        <v>1.1962693606249983</v>
      </c>
      <c r="T6" s="159">
        <f t="shared" si="0"/>
        <v>0.70093079001019387</v>
      </c>
      <c r="V6" s="161">
        <f>+AVERAGE(Q6:S6)</f>
        <v>1.0996897366632687</v>
      </c>
      <c r="X6" s="15">
        <f>+HARMEAN(F6:H6)</f>
        <v>2810819.4587798379</v>
      </c>
    </row>
    <row r="7" spans="1:24" ht="114.75" x14ac:dyDescent="0.25">
      <c r="A7" s="137" t="s">
        <v>77</v>
      </c>
      <c r="B7" s="13" t="s">
        <v>10</v>
      </c>
      <c r="C7" s="69" t="s">
        <v>177</v>
      </c>
      <c r="D7" s="14" t="s">
        <v>119</v>
      </c>
      <c r="E7" s="14">
        <v>1</v>
      </c>
      <c r="F7" s="48">
        <f>+'KIT ASEO'!E10</f>
        <v>838465.33333333337</v>
      </c>
      <c r="G7" s="150">
        <f>+'KIT ASEO'!H10</f>
        <v>1029175.3333333334</v>
      </c>
      <c r="H7" s="151">
        <f>+'KIT ASEO'!K10</f>
        <v>625395.33333333337</v>
      </c>
      <c r="I7" s="139">
        <v>798198</v>
      </c>
      <c r="K7" s="65">
        <f t="shared" ref="K7:K43" si="1">+AVERAGE(F7:I7)</f>
        <v>822808.5</v>
      </c>
      <c r="M7" s="15">
        <f t="shared" ref="M7:M43" si="2">+STDEV(F7:I7)</f>
        <v>165740.80307683942</v>
      </c>
      <c r="N7" s="147">
        <f t="shared" ref="N7:N43" si="3">+K7-M7</f>
        <v>657067.69692316058</v>
      </c>
      <c r="O7" s="147">
        <f t="shared" ref="O7:O43" si="4">+K7+M7</f>
        <v>988549.30307683942</v>
      </c>
      <c r="Q7" s="159">
        <f t="shared" ref="Q7:T43" si="5">+F7/$K7</f>
        <v>1.0190285264837851</v>
      </c>
      <c r="R7" s="159">
        <f t="shared" si="0"/>
        <v>1.2508078530220985</v>
      </c>
      <c r="S7" s="148">
        <f t="shared" si="0"/>
        <v>0.76007398238269708</v>
      </c>
      <c r="T7" s="148">
        <f t="shared" si="0"/>
        <v>0.97008963811141957</v>
      </c>
      <c r="V7" s="161">
        <f>+AVERAGE(S7:T7)</f>
        <v>0.86508181024705832</v>
      </c>
      <c r="X7" s="15">
        <f>+HARMEAN(F7,I7)</f>
        <v>817836.31184910762</v>
      </c>
    </row>
    <row r="8" spans="1:24" ht="38.25" x14ac:dyDescent="0.25">
      <c r="A8" s="137" t="s">
        <v>78</v>
      </c>
      <c r="B8" s="13" t="s">
        <v>11</v>
      </c>
      <c r="C8" s="69" t="s">
        <v>178</v>
      </c>
      <c r="D8" s="14" t="s">
        <v>119</v>
      </c>
      <c r="E8" s="14">
        <v>1</v>
      </c>
      <c r="F8" s="15">
        <v>471428.57142857148</v>
      </c>
      <c r="G8" s="140">
        <v>476485.71428571432</v>
      </c>
      <c r="H8" s="23">
        <v>532048.76130554464</v>
      </c>
      <c r="I8" s="152">
        <v>595000</v>
      </c>
      <c r="K8" s="65">
        <f t="shared" si="1"/>
        <v>518740.76175495761</v>
      </c>
      <c r="M8" s="15">
        <f t="shared" si="2"/>
        <v>57782.657893929703</v>
      </c>
      <c r="N8" s="147">
        <f t="shared" si="3"/>
        <v>460958.10386102792</v>
      </c>
      <c r="O8" s="147">
        <f t="shared" si="4"/>
        <v>576523.41964888736</v>
      </c>
      <c r="Q8" s="148">
        <f t="shared" si="5"/>
        <v>0.90879415342969438</v>
      </c>
      <c r="R8" s="148">
        <f t="shared" si="0"/>
        <v>0.91854303616648558</v>
      </c>
      <c r="S8" s="148">
        <f t="shared" si="0"/>
        <v>1.0256544319084635</v>
      </c>
      <c r="T8" s="159">
        <f t="shared" si="0"/>
        <v>1.1470083784953566</v>
      </c>
      <c r="V8" s="161">
        <f>+AVERAGE(Q8:S8)</f>
        <v>0.95099720716821456</v>
      </c>
      <c r="X8" s="15">
        <f>+HARMEAN(F8:H8)</f>
        <v>491848.60092126433</v>
      </c>
    </row>
    <row r="9" spans="1:24" ht="51" x14ac:dyDescent="0.25">
      <c r="A9" s="137" t="s">
        <v>79</v>
      </c>
      <c r="B9" s="13" t="s">
        <v>49</v>
      </c>
      <c r="C9" s="69" t="s">
        <v>462</v>
      </c>
      <c r="D9" s="14" t="s">
        <v>119</v>
      </c>
      <c r="E9" s="14">
        <v>1</v>
      </c>
      <c r="F9" s="48">
        <v>5890000</v>
      </c>
      <c r="G9" s="140">
        <f>+'VALORES OTROS PROCESOS'!I9</f>
        <v>6350000</v>
      </c>
      <c r="H9" s="154">
        <f>+'VALORES OTROS PROCESOS'!L9</f>
        <v>5125000</v>
      </c>
      <c r="I9" s="136">
        <v>6300000</v>
      </c>
      <c r="K9" s="65">
        <f>+AVERAGE(F9:G9,I9)</f>
        <v>6180000</v>
      </c>
      <c r="M9" s="15">
        <f t="shared" si="2"/>
        <v>566324.03857391281</v>
      </c>
      <c r="N9" s="147">
        <f t="shared" si="3"/>
        <v>5613675.9614260867</v>
      </c>
      <c r="O9" s="147">
        <f t="shared" si="4"/>
        <v>6746324.0385739133</v>
      </c>
      <c r="Q9" s="186">
        <f t="shared" si="5"/>
        <v>0.95307443365695788</v>
      </c>
      <c r="R9" s="148">
        <f t="shared" si="0"/>
        <v>1.0275080906148868</v>
      </c>
      <c r="S9" s="159">
        <f t="shared" si="0"/>
        <v>0.82928802588996764</v>
      </c>
      <c r="T9" s="186">
        <f t="shared" si="0"/>
        <v>1.0194174757281553</v>
      </c>
      <c r="V9" s="161">
        <f>+AVERAGE(Q9:R9,T9)</f>
        <v>1</v>
      </c>
      <c r="X9" s="15">
        <f>+HARMEAN(F9:G9,I9)</f>
        <v>6172969.5625406625</v>
      </c>
    </row>
    <row r="10" spans="1:24" ht="63.75" x14ac:dyDescent="0.25">
      <c r="A10" s="137" t="s">
        <v>80</v>
      </c>
      <c r="B10" s="13" t="s">
        <v>12</v>
      </c>
      <c r="C10" s="69" t="s">
        <v>33</v>
      </c>
      <c r="D10" s="14" t="s">
        <v>119</v>
      </c>
      <c r="E10" s="14">
        <v>1</v>
      </c>
      <c r="F10" s="15">
        <v>305271.19938884646</v>
      </c>
      <c r="G10" s="15">
        <v>355919</v>
      </c>
      <c r="H10" s="36">
        <v>380000</v>
      </c>
      <c r="I10" s="152">
        <v>179900</v>
      </c>
      <c r="K10" s="65">
        <f t="shared" si="1"/>
        <v>305272.54984721163</v>
      </c>
      <c r="M10" s="15">
        <f t="shared" si="2"/>
        <v>89195.536092399532</v>
      </c>
      <c r="N10" s="147">
        <f t="shared" si="3"/>
        <v>216077.0137548121</v>
      </c>
      <c r="O10" s="147">
        <f t="shared" si="4"/>
        <v>394468.08593961119</v>
      </c>
      <c r="Q10" s="148">
        <f t="shared" si="5"/>
        <v>0.99999557622077107</v>
      </c>
      <c r="R10" s="148">
        <f t="shared" si="0"/>
        <v>1.1659056806061889</v>
      </c>
      <c r="S10" s="148">
        <f t="shared" si="0"/>
        <v>1.2447892880974374</v>
      </c>
      <c r="T10" s="159">
        <f t="shared" si="0"/>
        <v>0.58930945507560251</v>
      </c>
      <c r="V10" s="161">
        <f t="shared" ref="V10:V21" si="6">+AVERAGE(Q10:S10)</f>
        <v>1.1368968483081325</v>
      </c>
      <c r="X10" s="15">
        <f t="shared" ref="X10:X17" si="7">+HARMEAN(F10:H10)</f>
        <v>344155.78002225835</v>
      </c>
    </row>
    <row r="11" spans="1:24" ht="25.5" x14ac:dyDescent="0.25">
      <c r="A11" s="137" t="s">
        <v>81</v>
      </c>
      <c r="B11" s="13" t="s">
        <v>13</v>
      </c>
      <c r="C11" s="69" t="s">
        <v>34</v>
      </c>
      <c r="D11" s="14" t="s">
        <v>119</v>
      </c>
      <c r="E11" s="14">
        <v>1</v>
      </c>
      <c r="F11" s="22">
        <v>63997.374466688547</v>
      </c>
      <c r="G11" s="15">
        <v>62163</v>
      </c>
      <c r="H11" s="36">
        <v>58048</v>
      </c>
      <c r="I11" s="152">
        <v>169900</v>
      </c>
      <c r="K11" s="65">
        <f t="shared" si="1"/>
        <v>88527.093616672137</v>
      </c>
      <c r="M11" s="15">
        <f t="shared" si="2"/>
        <v>54305.609270649722</v>
      </c>
      <c r="N11" s="147">
        <f t="shared" si="3"/>
        <v>34221.484346022415</v>
      </c>
      <c r="O11" s="147">
        <f t="shared" si="4"/>
        <v>142832.70288732185</v>
      </c>
      <c r="Q11" s="148">
        <f t="shared" si="5"/>
        <v>0.72291286037019564</v>
      </c>
      <c r="R11" s="148">
        <f t="shared" si="0"/>
        <v>0.70219180886215116</v>
      </c>
      <c r="S11" s="148">
        <f t="shared" si="0"/>
        <v>0.65570886412866414</v>
      </c>
      <c r="T11" s="159">
        <f t="shared" si="0"/>
        <v>1.9191864666389891</v>
      </c>
      <c r="V11" s="161">
        <f t="shared" si="6"/>
        <v>0.69360451112033694</v>
      </c>
      <c r="X11" s="15">
        <f t="shared" si="7"/>
        <v>61300.17285637583</v>
      </c>
    </row>
    <row r="12" spans="1:24" ht="63.75" x14ac:dyDescent="0.25">
      <c r="A12" s="137" t="s">
        <v>82</v>
      </c>
      <c r="B12" s="13" t="s">
        <v>46</v>
      </c>
      <c r="C12" s="69" t="s">
        <v>50</v>
      </c>
      <c r="D12" s="14" t="s">
        <v>119</v>
      </c>
      <c r="E12" s="14">
        <v>1</v>
      </c>
      <c r="F12" s="23">
        <v>1784745.7627118647</v>
      </c>
      <c r="G12" s="15">
        <v>1706155</v>
      </c>
      <c r="H12" s="48">
        <v>1594538</v>
      </c>
      <c r="I12" s="149">
        <v>1342301</v>
      </c>
      <c r="K12" s="65">
        <f t="shared" si="1"/>
        <v>1606934.9406779662</v>
      </c>
      <c r="M12" s="15">
        <f t="shared" si="2"/>
        <v>192912.86055380906</v>
      </c>
      <c r="N12" s="147">
        <f t="shared" si="3"/>
        <v>1414022.0801241572</v>
      </c>
      <c r="O12" s="147">
        <f t="shared" si="4"/>
        <v>1799847.8012317752</v>
      </c>
      <c r="Q12" s="148">
        <f t="shared" si="5"/>
        <v>1.1106521599181109</v>
      </c>
      <c r="R12" s="148">
        <f t="shared" si="0"/>
        <v>1.0617449137549855</v>
      </c>
      <c r="S12" s="148">
        <f t="shared" si="0"/>
        <v>0.99228534997643658</v>
      </c>
      <c r="T12" s="159">
        <f t="shared" si="0"/>
        <v>0.83531757635046688</v>
      </c>
      <c r="V12" s="161">
        <f t="shared" si="6"/>
        <v>1.0548941412165109</v>
      </c>
      <c r="X12" s="15">
        <f t="shared" si="7"/>
        <v>1691515.0076736023</v>
      </c>
    </row>
    <row r="13" spans="1:24" ht="38.25" x14ac:dyDescent="0.25">
      <c r="A13" s="137" t="s">
        <v>83</v>
      </c>
      <c r="B13" s="13" t="s">
        <v>51</v>
      </c>
      <c r="C13" s="69" t="s">
        <v>47</v>
      </c>
      <c r="D13" s="14" t="s">
        <v>119</v>
      </c>
      <c r="E13" s="14">
        <v>1</v>
      </c>
      <c r="F13" s="15">
        <v>903093.96485867072</v>
      </c>
      <c r="G13" s="15">
        <v>519265</v>
      </c>
      <c r="H13" s="153">
        <v>378151</v>
      </c>
      <c r="I13" s="136">
        <v>991000</v>
      </c>
      <c r="K13" s="65">
        <f t="shared" si="1"/>
        <v>697877.49121466768</v>
      </c>
      <c r="M13" s="15">
        <f t="shared" si="2"/>
        <v>295613.51875595923</v>
      </c>
      <c r="N13" s="147">
        <f t="shared" si="3"/>
        <v>402263.97245870845</v>
      </c>
      <c r="O13" s="147">
        <f t="shared" si="4"/>
        <v>993491.00997062691</v>
      </c>
      <c r="Q13" s="148">
        <f t="shared" si="5"/>
        <v>1.2940580205371293</v>
      </c>
      <c r="R13" s="148">
        <f t="shared" si="0"/>
        <v>0.74406325828937458</v>
      </c>
      <c r="S13" s="159">
        <f t="shared" si="0"/>
        <v>0.54185871411588549</v>
      </c>
      <c r="T13" s="148">
        <f t="shared" si="0"/>
        <v>1.4200200070576106</v>
      </c>
      <c r="V13" s="161">
        <f>+AVERAGE(Q13:R13,T13)</f>
        <v>1.1527137619613714</v>
      </c>
      <c r="X13" s="15">
        <f>+HARMEAN(F13:G13,I13)</f>
        <v>742172.82476932893</v>
      </c>
    </row>
    <row r="14" spans="1:24" ht="51" x14ac:dyDescent="0.25">
      <c r="A14" s="137" t="s">
        <v>84</v>
      </c>
      <c r="B14" s="13" t="s">
        <v>52</v>
      </c>
      <c r="C14" s="69" t="s">
        <v>48</v>
      </c>
      <c r="D14" s="14" t="s">
        <v>119</v>
      </c>
      <c r="E14" s="14">
        <v>1</v>
      </c>
      <c r="F14" s="49">
        <v>370903</v>
      </c>
      <c r="G14" s="48">
        <v>379903</v>
      </c>
      <c r="H14" s="48">
        <v>349639</v>
      </c>
      <c r="I14" s="149">
        <v>256000</v>
      </c>
      <c r="K14" s="65">
        <f t="shared" si="1"/>
        <v>339111.25</v>
      </c>
      <c r="M14" s="15">
        <f t="shared" si="2"/>
        <v>56841.873159230068</v>
      </c>
      <c r="N14" s="147">
        <f t="shared" si="3"/>
        <v>282269.37684076995</v>
      </c>
      <c r="O14" s="147">
        <f t="shared" si="4"/>
        <v>395953.12315923005</v>
      </c>
      <c r="Q14" s="148">
        <f t="shared" si="5"/>
        <v>1.0937502073434604</v>
      </c>
      <c r="R14" s="148">
        <f t="shared" si="0"/>
        <v>1.1202901702612342</v>
      </c>
      <c r="S14" s="148">
        <f t="shared" si="0"/>
        <v>1.0310451216230663</v>
      </c>
      <c r="T14" s="159">
        <f t="shared" si="0"/>
        <v>0.75491450077223921</v>
      </c>
      <c r="V14" s="161">
        <f t="shared" si="6"/>
        <v>1.0816951664092536</v>
      </c>
      <c r="X14" s="15">
        <f t="shared" si="7"/>
        <v>366368.96951231069</v>
      </c>
    </row>
    <row r="15" spans="1:24" ht="25.5" x14ac:dyDescent="0.25">
      <c r="A15" s="137" t="s">
        <v>85</v>
      </c>
      <c r="B15" s="13" t="s">
        <v>14</v>
      </c>
      <c r="C15" s="69" t="s">
        <v>35</v>
      </c>
      <c r="D15" s="14" t="s">
        <v>119</v>
      </c>
      <c r="E15" s="14">
        <v>1</v>
      </c>
      <c r="F15" s="49">
        <v>3485278</v>
      </c>
      <c r="G15" s="48">
        <v>3560672</v>
      </c>
      <c r="H15" s="48">
        <v>3327732</v>
      </c>
      <c r="I15" s="149">
        <v>550000</v>
      </c>
      <c r="K15" s="65">
        <f t="shared" si="1"/>
        <v>2730920.5</v>
      </c>
      <c r="M15" s="15">
        <f t="shared" si="2"/>
        <v>1457182.3248323</v>
      </c>
      <c r="N15" s="147">
        <f t="shared" si="3"/>
        <v>1273738.1751677</v>
      </c>
      <c r="O15" s="147">
        <f t="shared" si="4"/>
        <v>4188102.8248322997</v>
      </c>
      <c r="Q15" s="148">
        <f t="shared" si="5"/>
        <v>1.2762282900582422</v>
      </c>
      <c r="R15" s="148">
        <f t="shared" si="0"/>
        <v>1.303835831178535</v>
      </c>
      <c r="S15" s="148">
        <f t="shared" si="0"/>
        <v>1.2185385843344763</v>
      </c>
      <c r="T15" s="159">
        <f t="shared" si="0"/>
        <v>0.20139729442874665</v>
      </c>
      <c r="V15" s="161">
        <f t="shared" si="6"/>
        <v>1.2662009018570846</v>
      </c>
      <c r="X15" s="15">
        <f t="shared" si="7"/>
        <v>3455138.5239910306</v>
      </c>
    </row>
    <row r="16" spans="1:24" ht="25.5" x14ac:dyDescent="0.25">
      <c r="A16" s="137" t="s">
        <v>86</v>
      </c>
      <c r="B16" s="13" t="s">
        <v>15</v>
      </c>
      <c r="C16" s="69" t="s">
        <v>36</v>
      </c>
      <c r="D16" s="14" t="s">
        <v>119</v>
      </c>
      <c r="E16" s="14">
        <v>1</v>
      </c>
      <c r="F16" s="49">
        <v>281513</v>
      </c>
      <c r="G16" s="48">
        <v>335000</v>
      </c>
      <c r="H16" s="45">
        <v>335000</v>
      </c>
      <c r="I16" s="149">
        <v>535000</v>
      </c>
      <c r="K16" s="65">
        <f t="shared" si="1"/>
        <v>371628.25</v>
      </c>
      <c r="M16" s="15">
        <f t="shared" si="2"/>
        <v>111794.96765172393</v>
      </c>
      <c r="N16" s="147">
        <f t="shared" si="3"/>
        <v>259833.28234827606</v>
      </c>
      <c r="O16" s="147">
        <f t="shared" si="4"/>
        <v>483423.21765172394</v>
      </c>
      <c r="Q16" s="148">
        <f t="shared" si="5"/>
        <v>0.75751237964282858</v>
      </c>
      <c r="R16" s="148">
        <f t="shared" si="0"/>
        <v>0.90143846707025099</v>
      </c>
      <c r="S16" s="148">
        <f t="shared" si="0"/>
        <v>0.90143846707025099</v>
      </c>
      <c r="T16" s="159">
        <f t="shared" si="0"/>
        <v>1.4396106862166695</v>
      </c>
      <c r="V16" s="161">
        <f t="shared" si="6"/>
        <v>0.85346310459444352</v>
      </c>
      <c r="X16" s="15">
        <f t="shared" si="7"/>
        <v>315047.18682978</v>
      </c>
    </row>
    <row r="17" spans="1:24" ht="25.5" x14ac:dyDescent="0.25">
      <c r="A17" s="137" t="s">
        <v>87</v>
      </c>
      <c r="B17" s="13" t="s">
        <v>16</v>
      </c>
      <c r="C17" s="69" t="s">
        <v>37</v>
      </c>
      <c r="D17" s="14" t="s">
        <v>119</v>
      </c>
      <c r="E17" s="14">
        <v>1</v>
      </c>
      <c r="F17" s="22">
        <v>3617463.712757831</v>
      </c>
      <c r="G17" s="46">
        <v>3979210</v>
      </c>
      <c r="H17" s="45">
        <v>3316008</v>
      </c>
      <c r="I17" s="149">
        <v>225000</v>
      </c>
      <c r="K17" s="65">
        <f t="shared" si="1"/>
        <v>2784420.4281894579</v>
      </c>
      <c r="M17" s="15">
        <f t="shared" si="2"/>
        <v>1727686.4597498218</v>
      </c>
      <c r="N17" s="147">
        <f t="shared" si="3"/>
        <v>1056733.9684396361</v>
      </c>
      <c r="O17" s="147">
        <f t="shared" si="4"/>
        <v>4512106.8879392799</v>
      </c>
      <c r="Q17" s="148">
        <f t="shared" si="5"/>
        <v>1.2991801367834568</v>
      </c>
      <c r="R17" s="148">
        <f t="shared" si="0"/>
        <v>1.4290981202818722</v>
      </c>
      <c r="S17" s="148">
        <f t="shared" si="0"/>
        <v>1.1909149805211714</v>
      </c>
      <c r="T17" s="159">
        <f t="shared" si="0"/>
        <v>8.0806762413499475E-2</v>
      </c>
      <c r="V17" s="161">
        <f t="shared" si="6"/>
        <v>1.3063977458621669</v>
      </c>
      <c r="X17" s="15">
        <f t="shared" si="7"/>
        <v>3617463.5295969523</v>
      </c>
    </row>
    <row r="18" spans="1:24" ht="25.5" x14ac:dyDescent="0.25">
      <c r="A18" s="137" t="s">
        <v>88</v>
      </c>
      <c r="B18" s="13" t="s">
        <v>17</v>
      </c>
      <c r="C18" s="69" t="s">
        <v>38</v>
      </c>
      <c r="D18" s="14" t="s">
        <v>119</v>
      </c>
      <c r="E18" s="14">
        <v>1</v>
      </c>
      <c r="F18" s="45">
        <v>1112710</v>
      </c>
      <c r="G18" s="154">
        <v>1695947.7158135979</v>
      </c>
      <c r="H18" s="45">
        <v>1039915</v>
      </c>
      <c r="I18" s="149">
        <v>423400</v>
      </c>
      <c r="K18" s="65">
        <f t="shared" si="1"/>
        <v>1067993.1789533994</v>
      </c>
      <c r="M18" s="15">
        <f t="shared" si="2"/>
        <v>520453.40647503664</v>
      </c>
      <c r="N18" s="147">
        <f t="shared" si="3"/>
        <v>547539.77247836278</v>
      </c>
      <c r="O18" s="147">
        <f t="shared" si="4"/>
        <v>1588446.5854284361</v>
      </c>
      <c r="Q18" s="148">
        <f t="shared" si="5"/>
        <v>1.0418699500407125</v>
      </c>
      <c r="R18" s="159">
        <f t="shared" si="0"/>
        <v>1.5879761680459183</v>
      </c>
      <c r="S18" s="148">
        <f t="shared" si="0"/>
        <v>0.97370940235693715</v>
      </c>
      <c r="T18" s="159">
        <f t="shared" si="0"/>
        <v>0.39644447955643219</v>
      </c>
      <c r="V18" s="161">
        <f>+AVERAGE(Q18,S18)</f>
        <v>1.0077896761988248</v>
      </c>
      <c r="X18" s="15">
        <f>+HARMEAN(F18,H18)</f>
        <v>1075081.6511468557</v>
      </c>
    </row>
    <row r="19" spans="1:24" ht="25.5" x14ac:dyDescent="0.25">
      <c r="A19" s="137" t="s">
        <v>89</v>
      </c>
      <c r="B19" s="13" t="s">
        <v>18</v>
      </c>
      <c r="C19" s="69" t="s">
        <v>39</v>
      </c>
      <c r="D19" s="14" t="s">
        <v>119</v>
      </c>
      <c r="E19" s="14">
        <v>1</v>
      </c>
      <c r="F19" s="132">
        <f>+'INDEXACION VALORES 2026'!H6</f>
        <v>925931</v>
      </c>
      <c r="G19" s="45">
        <f>+'INDEXACION VALORES 2026'!K6</f>
        <v>650779.19999999995</v>
      </c>
      <c r="H19" s="45">
        <v>895000</v>
      </c>
      <c r="I19" s="149">
        <v>249000</v>
      </c>
      <c r="K19" s="65">
        <f t="shared" si="1"/>
        <v>680177.55</v>
      </c>
      <c r="M19" s="15">
        <f t="shared" si="2"/>
        <v>312688.22908110329</v>
      </c>
      <c r="N19" s="147">
        <f t="shared" si="3"/>
        <v>367489.32091889676</v>
      </c>
      <c r="O19" s="147">
        <f t="shared" si="4"/>
        <v>992865.77908110339</v>
      </c>
      <c r="Q19" s="148">
        <f t="shared" si="5"/>
        <v>1.3613077938253033</v>
      </c>
      <c r="R19" s="148">
        <f t="shared" si="0"/>
        <v>0.95677841763521876</v>
      </c>
      <c r="S19" s="148">
        <f t="shared" si="0"/>
        <v>1.3158329027472311</v>
      </c>
      <c r="T19" s="159">
        <f t="shared" si="0"/>
        <v>0.3660808857922464</v>
      </c>
      <c r="V19" s="161">
        <f t="shared" si="6"/>
        <v>1.2113063714025845</v>
      </c>
      <c r="X19" s="15">
        <f>+HARMEAN(F19:H19)</f>
        <v>803442.59001943166</v>
      </c>
    </row>
    <row r="20" spans="1:24" ht="25.5" x14ac:dyDescent="0.25">
      <c r="A20" s="137" t="s">
        <v>90</v>
      </c>
      <c r="B20" s="13" t="s">
        <v>19</v>
      </c>
      <c r="C20" s="69" t="s">
        <v>40</v>
      </c>
      <c r="D20" s="14" t="s">
        <v>119</v>
      </c>
      <c r="E20" s="14">
        <v>1</v>
      </c>
      <c r="F20" s="45">
        <v>215300</v>
      </c>
      <c r="G20" s="45">
        <v>288900</v>
      </c>
      <c r="H20" s="154">
        <f>+'INDEXACION VALORES 2026'!N6</f>
        <v>940645</v>
      </c>
      <c r="I20" s="136">
        <v>215000</v>
      </c>
      <c r="K20" s="65">
        <f t="shared" si="1"/>
        <v>414961.25</v>
      </c>
      <c r="M20" s="15">
        <f t="shared" si="2"/>
        <v>352176.0733964144</v>
      </c>
      <c r="N20" s="147">
        <f t="shared" si="3"/>
        <v>62785.176603585598</v>
      </c>
      <c r="O20" s="147">
        <f t="shared" si="4"/>
        <v>767137.3233964144</v>
      </c>
      <c r="Q20" s="148">
        <f t="shared" si="5"/>
        <v>0.51884362696516839</v>
      </c>
      <c r="R20" s="148">
        <f t="shared" si="0"/>
        <v>0.69620958583482195</v>
      </c>
      <c r="S20" s="159">
        <f t="shared" si="0"/>
        <v>2.2668261193063208</v>
      </c>
      <c r="T20" s="148">
        <f t="shared" si="0"/>
        <v>0.51812066789368882</v>
      </c>
      <c r="V20" s="161">
        <f>+AVERAGE(Q20:R20,T20)</f>
        <v>0.57772462689789306</v>
      </c>
      <c r="X20" s="15">
        <f>+HARMEAN(F20:G20,I20)</f>
        <v>235160.39971590208</v>
      </c>
    </row>
    <row r="21" spans="1:24" ht="25.5" x14ac:dyDescent="0.25">
      <c r="A21" s="137" t="s">
        <v>91</v>
      </c>
      <c r="B21" s="13" t="s">
        <v>20</v>
      </c>
      <c r="C21" s="69" t="s">
        <v>179</v>
      </c>
      <c r="D21" s="14" t="s">
        <v>119</v>
      </c>
      <c r="E21" s="14">
        <v>1</v>
      </c>
      <c r="F21" s="132">
        <f>+'INDEXACION VALORES 2026'!H7</f>
        <v>194832.27799999999</v>
      </c>
      <c r="G21" s="45">
        <f>+'INDEXACION VALORES 2026'!K7</f>
        <v>168054.9</v>
      </c>
      <c r="H21" s="45">
        <f>+'INDEXACION VALORES 2026'!N7</f>
        <v>187603.5</v>
      </c>
      <c r="I21" s="149">
        <v>90000</v>
      </c>
      <c r="K21" s="65">
        <f t="shared" si="1"/>
        <v>160122.66949999999</v>
      </c>
      <c r="M21" s="15">
        <f t="shared" si="2"/>
        <v>48097.338892792402</v>
      </c>
      <c r="N21" s="147">
        <f t="shared" si="3"/>
        <v>112025.33060720758</v>
      </c>
      <c r="O21" s="147">
        <f t="shared" si="4"/>
        <v>208220.0083927924</v>
      </c>
      <c r="Q21" s="148">
        <f t="shared" si="5"/>
        <v>1.216768859827184</v>
      </c>
      <c r="R21" s="148">
        <f t="shared" si="0"/>
        <v>1.0495384602615558</v>
      </c>
      <c r="S21" s="148">
        <f t="shared" si="0"/>
        <v>1.1716236094852266</v>
      </c>
      <c r="T21" s="159">
        <f t="shared" si="0"/>
        <v>0.5620690704260336</v>
      </c>
      <c r="V21" s="161">
        <f t="shared" si="6"/>
        <v>1.1459769765246555</v>
      </c>
      <c r="X21" s="15">
        <f>+GEOMEAN(F21:H21)</f>
        <v>183140.47722954641</v>
      </c>
    </row>
    <row r="22" spans="1:24" ht="25.5" x14ac:dyDescent="0.25">
      <c r="A22" s="137" t="s">
        <v>92</v>
      </c>
      <c r="B22" s="13" t="s">
        <v>21</v>
      </c>
      <c r="C22" s="69" t="s">
        <v>180</v>
      </c>
      <c r="D22" s="14" t="s">
        <v>119</v>
      </c>
      <c r="E22" s="14">
        <v>1</v>
      </c>
      <c r="F22" s="155">
        <f>+'INDEXACION VALORES 2026'!H8</f>
        <v>194899.54199999999</v>
      </c>
      <c r="G22" s="45">
        <f>+'INDEXACION VALORES 2026'!K8</f>
        <v>162086.27100000001</v>
      </c>
      <c r="H22" s="45">
        <f>+'INDEXACION VALORES 2026'!N8</f>
        <v>135053.5</v>
      </c>
      <c r="I22" s="149">
        <v>90000</v>
      </c>
      <c r="K22" s="65">
        <f t="shared" si="1"/>
        <v>145509.82824999999</v>
      </c>
      <c r="M22" s="15">
        <f t="shared" si="2"/>
        <v>44365.144394247283</v>
      </c>
      <c r="N22" s="147">
        <f t="shared" si="3"/>
        <v>101144.68385575271</v>
      </c>
      <c r="O22" s="147">
        <f t="shared" si="4"/>
        <v>189874.97264424729</v>
      </c>
      <c r="Q22" s="159">
        <f t="shared" si="5"/>
        <v>1.3394252769314228</v>
      </c>
      <c r="R22" s="148">
        <f t="shared" si="5"/>
        <v>1.1139197465171911</v>
      </c>
      <c r="S22" s="148">
        <f t="shared" si="5"/>
        <v>0.92814005503439256</v>
      </c>
      <c r="T22" s="159">
        <f t="shared" si="5"/>
        <v>0.61851492151699383</v>
      </c>
      <c r="V22" s="161">
        <f>+AVERAGE(R22:S22)</f>
        <v>1.0210299007757917</v>
      </c>
      <c r="X22" s="15">
        <f>+HARMEAN(G22:H22)</f>
        <v>147340.21047958941</v>
      </c>
    </row>
    <row r="23" spans="1:24" ht="38.25" x14ac:dyDescent="0.25">
      <c r="A23" s="137" t="s">
        <v>93</v>
      </c>
      <c r="B23" s="13" t="s">
        <v>22</v>
      </c>
      <c r="C23" s="69" t="s">
        <v>181</v>
      </c>
      <c r="D23" s="14" t="s">
        <v>119</v>
      </c>
      <c r="E23" s="14">
        <v>1</v>
      </c>
      <c r="F23" s="25">
        <v>156581</v>
      </c>
      <c r="G23" s="25">
        <v>175307</v>
      </c>
      <c r="H23" s="154">
        <v>287598</v>
      </c>
      <c r="I23" s="136">
        <v>190000</v>
      </c>
      <c r="K23" s="65">
        <f t="shared" si="1"/>
        <v>202371.5</v>
      </c>
      <c r="M23" s="15">
        <f t="shared" si="2"/>
        <v>58440.475029440568</v>
      </c>
      <c r="N23" s="147">
        <f t="shared" si="3"/>
        <v>143931.02497055943</v>
      </c>
      <c r="O23" s="147">
        <f t="shared" si="4"/>
        <v>260811.97502944057</v>
      </c>
      <c r="Q23" s="148">
        <f t="shared" si="5"/>
        <v>0.77373049070644828</v>
      </c>
      <c r="R23" s="148">
        <f t="shared" si="5"/>
        <v>0.86626328312039991</v>
      </c>
      <c r="S23" s="159">
        <f t="shared" si="5"/>
        <v>1.4211388461319898</v>
      </c>
      <c r="T23" s="148">
        <f t="shared" si="5"/>
        <v>0.93886738004116188</v>
      </c>
      <c r="V23" s="161">
        <f>+AVERAGE(Q23:R23,T23)</f>
        <v>0.8596203846226701</v>
      </c>
      <c r="X23" s="15">
        <f>+HARMEAN(F23:G23,I23)</f>
        <v>172871.72858081365</v>
      </c>
    </row>
    <row r="24" spans="1:24" ht="99" customHeight="1" x14ac:dyDescent="0.25">
      <c r="A24" s="137" t="s">
        <v>94</v>
      </c>
      <c r="B24" s="13" t="s">
        <v>23</v>
      </c>
      <c r="C24" s="69" t="s">
        <v>182</v>
      </c>
      <c r="D24" s="14" t="s">
        <v>119</v>
      </c>
      <c r="E24" s="14">
        <v>1</v>
      </c>
      <c r="F24" s="71">
        <f>+'INDEXACION VALORES 2026'!M15</f>
        <v>1479285.6131231042</v>
      </c>
      <c r="G24" s="25">
        <f>+'INDEXACION VALORES 2026'!U15</f>
        <v>1282047.5313733569</v>
      </c>
      <c r="H24" s="45">
        <f>+'INDEXACION VALORES 2026'!AC15</f>
        <v>1344101.6663238539</v>
      </c>
      <c r="I24" s="149">
        <v>577700</v>
      </c>
      <c r="K24" s="65">
        <f t="shared" si="1"/>
        <v>1170783.7027050788</v>
      </c>
      <c r="M24" s="15">
        <f t="shared" si="2"/>
        <v>403873.10846717696</v>
      </c>
      <c r="N24" s="147">
        <f t="shared" si="3"/>
        <v>766910.59423790174</v>
      </c>
      <c r="O24" s="147">
        <f t="shared" si="4"/>
        <v>1574656.8111722558</v>
      </c>
      <c r="Q24" s="148">
        <f t="shared" si="5"/>
        <v>1.2635003457130778</v>
      </c>
      <c r="R24" s="148">
        <f t="shared" si="5"/>
        <v>1.0950336329513339</v>
      </c>
      <c r="S24" s="148">
        <f t="shared" si="5"/>
        <v>1.1480358525817591</v>
      </c>
      <c r="T24" s="159">
        <f t="shared" si="5"/>
        <v>0.49343016875382917</v>
      </c>
      <c r="V24" s="161">
        <f>+AVERAGE(Q24:S24)</f>
        <v>1.1688566104153904</v>
      </c>
      <c r="X24" s="15">
        <f>+HARMEAN(F24:H24)</f>
        <v>1363639.091092485</v>
      </c>
    </row>
    <row r="25" spans="1:24" ht="127.5" x14ac:dyDescent="0.25">
      <c r="A25" s="137" t="s">
        <v>95</v>
      </c>
      <c r="B25" s="13" t="s">
        <v>53</v>
      </c>
      <c r="C25" s="69" t="s">
        <v>41</v>
      </c>
      <c r="D25" s="14" t="s">
        <v>119</v>
      </c>
      <c r="E25" s="14">
        <v>1</v>
      </c>
      <c r="F25" s="156">
        <v>410436</v>
      </c>
      <c r="G25" s="15">
        <v>474756</v>
      </c>
      <c r="H25" s="15">
        <v>443697</v>
      </c>
      <c r="I25" s="136">
        <v>460000</v>
      </c>
      <c r="K25" s="65">
        <f t="shared" si="1"/>
        <v>447222.25</v>
      </c>
      <c r="M25" s="15">
        <f t="shared" si="2"/>
        <v>27610.588915305663</v>
      </c>
      <c r="N25" s="147">
        <f t="shared" si="3"/>
        <v>419611.66108469432</v>
      </c>
      <c r="O25" s="147">
        <f t="shared" si="4"/>
        <v>474832.83891530568</v>
      </c>
      <c r="Q25" s="159">
        <f t="shared" si="5"/>
        <v>0.91774503616490455</v>
      </c>
      <c r="R25" s="148">
        <f t="shared" si="5"/>
        <v>1.0615661452443388</v>
      </c>
      <c r="S25" s="148">
        <f t="shared" si="5"/>
        <v>0.99211745390574824</v>
      </c>
      <c r="T25" s="148">
        <f t="shared" si="5"/>
        <v>1.0285713646850083</v>
      </c>
      <c r="V25" s="161">
        <f>+AVERAGE(R25:T25)</f>
        <v>1.0274183212783652</v>
      </c>
      <c r="X25" s="15">
        <f>+HARMEAN(G25:I25)</f>
        <v>459133.41409212578</v>
      </c>
    </row>
    <row r="26" spans="1:24" ht="89.25" x14ac:dyDescent="0.25">
      <c r="A26" s="137" t="s">
        <v>96</v>
      </c>
      <c r="B26" s="13" t="s">
        <v>24</v>
      </c>
      <c r="C26" s="69" t="s">
        <v>69</v>
      </c>
      <c r="D26" s="14" t="s">
        <v>119</v>
      </c>
      <c r="E26" s="14">
        <v>1</v>
      </c>
      <c r="F26" s="39">
        <f>+'MATERIAL DIDÁCTICO'!E15</f>
        <v>2473280</v>
      </c>
      <c r="G26" s="39">
        <f>+'MATERIAL DIDÁCTICO'!H15</f>
        <v>2329800</v>
      </c>
      <c r="H26" s="67">
        <f>+'MATERIAL DIDÁCTICO'!K15</f>
        <v>2394600</v>
      </c>
      <c r="I26" s="149">
        <v>928000</v>
      </c>
      <c r="K26" s="65">
        <f t="shared" si="1"/>
        <v>2031420</v>
      </c>
      <c r="M26" s="15">
        <f t="shared" si="2"/>
        <v>737949.0255205076</v>
      </c>
      <c r="N26" s="147">
        <f t="shared" si="3"/>
        <v>1293470.9744794923</v>
      </c>
      <c r="O26" s="147">
        <f t="shared" si="4"/>
        <v>2769369.0255205077</v>
      </c>
      <c r="Q26" s="148">
        <f t="shared" si="5"/>
        <v>1.217512872768802</v>
      </c>
      <c r="R26" s="148">
        <f t="shared" si="5"/>
        <v>1.1468824762973684</v>
      </c>
      <c r="S26" s="148">
        <f t="shared" si="5"/>
        <v>1.1787813450689666</v>
      </c>
      <c r="T26" s="159">
        <f t="shared" si="5"/>
        <v>0.45682330586486303</v>
      </c>
      <c r="V26" s="161">
        <f t="shared" ref="V26:V30" si="8">+AVERAGE(Q26:S26)</f>
        <v>1.1810588980450458</v>
      </c>
      <c r="X26" s="48">
        <f>+HARMEAN(F26:H26)</f>
        <v>2397795.8306392361</v>
      </c>
    </row>
    <row r="27" spans="1:24" x14ac:dyDescent="0.25">
      <c r="A27" s="137" t="s">
        <v>97</v>
      </c>
      <c r="B27" s="13" t="s">
        <v>25</v>
      </c>
      <c r="C27" s="69" t="s">
        <v>70</v>
      </c>
      <c r="D27" s="14" t="s">
        <v>119</v>
      </c>
      <c r="E27" s="14">
        <v>1</v>
      </c>
      <c r="F27" s="39">
        <v>5820</v>
      </c>
      <c r="G27" s="39">
        <v>5325</v>
      </c>
      <c r="H27" s="39">
        <v>4895</v>
      </c>
      <c r="I27" s="149">
        <v>14900</v>
      </c>
      <c r="K27" s="65">
        <f t="shared" si="1"/>
        <v>7735</v>
      </c>
      <c r="M27" s="15">
        <f t="shared" si="2"/>
        <v>4791.5950719289012</v>
      </c>
      <c r="N27" s="147">
        <f t="shared" si="3"/>
        <v>2943.4049280710988</v>
      </c>
      <c r="O27" s="147">
        <f t="shared" si="4"/>
        <v>12526.595071928901</v>
      </c>
      <c r="Q27" s="148">
        <f t="shared" si="5"/>
        <v>0.75242404654169359</v>
      </c>
      <c r="R27" s="148">
        <f t="shared" si="5"/>
        <v>0.68842921784098254</v>
      </c>
      <c r="S27" s="148">
        <f t="shared" si="5"/>
        <v>0.63283775048480928</v>
      </c>
      <c r="T27" s="159">
        <f t="shared" si="5"/>
        <v>1.9263089851325146</v>
      </c>
      <c r="V27" s="161">
        <f t="shared" si="8"/>
        <v>0.69123033828916169</v>
      </c>
      <c r="X27" s="15">
        <f>+HARMEAN(F27:H27)</f>
        <v>5320.0466940261276</v>
      </c>
    </row>
    <row r="28" spans="1:24" ht="54.75" customHeight="1" x14ac:dyDescent="0.25">
      <c r="A28" s="137" t="s">
        <v>98</v>
      </c>
      <c r="B28" s="13" t="s">
        <v>26</v>
      </c>
      <c r="C28" s="69" t="s">
        <v>42</v>
      </c>
      <c r="D28" s="14" t="s">
        <v>119</v>
      </c>
      <c r="E28" s="14">
        <v>1</v>
      </c>
      <c r="F28" s="39">
        <v>16005.88</v>
      </c>
      <c r="G28" s="39">
        <v>18285</v>
      </c>
      <c r="H28" s="39">
        <v>15458</v>
      </c>
      <c r="I28" s="149">
        <v>20000</v>
      </c>
      <c r="K28" s="65">
        <f t="shared" si="1"/>
        <v>17437.22</v>
      </c>
      <c r="M28" s="15">
        <f t="shared" si="2"/>
        <v>2101.7943334842798</v>
      </c>
      <c r="N28" s="147">
        <f t="shared" si="3"/>
        <v>15335.425666515721</v>
      </c>
      <c r="O28" s="147">
        <f t="shared" si="4"/>
        <v>19539.01433348428</v>
      </c>
      <c r="Q28" s="148">
        <f t="shared" si="5"/>
        <v>0.91791466759036122</v>
      </c>
      <c r="R28" s="148">
        <f t="shared" si="5"/>
        <v>1.0486189885773076</v>
      </c>
      <c r="S28" s="148">
        <f t="shared" si="5"/>
        <v>0.88649452148909047</v>
      </c>
      <c r="T28" s="159">
        <f t="shared" si="5"/>
        <v>1.1469718223432404</v>
      </c>
      <c r="V28" s="161">
        <f t="shared" si="8"/>
        <v>0.95100939255225303</v>
      </c>
      <c r="X28" s="15">
        <f t="shared" ref="X28:X30" si="9">+HARMEAN(F28:H28)</f>
        <v>16496.378408903591</v>
      </c>
    </row>
    <row r="29" spans="1:24" ht="51" x14ac:dyDescent="0.25">
      <c r="A29" s="137" t="s">
        <v>99</v>
      </c>
      <c r="B29" s="13" t="s">
        <v>27</v>
      </c>
      <c r="C29" s="69" t="s">
        <v>43</v>
      </c>
      <c r="D29" s="14" t="s">
        <v>119</v>
      </c>
      <c r="E29" s="14">
        <v>1</v>
      </c>
      <c r="F29" s="141">
        <v>78775</v>
      </c>
      <c r="G29" s="39">
        <v>64217</v>
      </c>
      <c r="H29" s="39">
        <v>70260</v>
      </c>
      <c r="I29" s="152">
        <v>818000</v>
      </c>
      <c r="K29" s="65">
        <f t="shared" si="1"/>
        <v>257813</v>
      </c>
      <c r="M29" s="15">
        <f t="shared" si="2"/>
        <v>373505.74267695891</v>
      </c>
      <c r="N29" s="147">
        <f t="shared" si="3"/>
        <v>-115692.74267695891</v>
      </c>
      <c r="O29" s="147">
        <f t="shared" si="4"/>
        <v>631318.74267695891</v>
      </c>
      <c r="Q29" s="148">
        <f t="shared" si="5"/>
        <v>0.30555092256790772</v>
      </c>
      <c r="R29" s="148">
        <f t="shared" si="5"/>
        <v>0.24908363814082299</v>
      </c>
      <c r="S29" s="148">
        <f t="shared" si="5"/>
        <v>0.27252310783397271</v>
      </c>
      <c r="T29" s="159">
        <f t="shared" si="5"/>
        <v>3.1728423314572964</v>
      </c>
      <c r="V29" s="161">
        <f t="shared" si="8"/>
        <v>0.27571922284756784</v>
      </c>
      <c r="X29" s="15">
        <f t="shared" si="9"/>
        <v>70589.1776019276</v>
      </c>
    </row>
    <row r="30" spans="1:24" x14ac:dyDescent="0.25">
      <c r="A30" s="137" t="s">
        <v>100</v>
      </c>
      <c r="B30" s="13" t="s">
        <v>28</v>
      </c>
      <c r="C30" s="69" t="s">
        <v>44</v>
      </c>
      <c r="D30" s="14" t="s">
        <v>119</v>
      </c>
      <c r="E30" s="14">
        <v>1</v>
      </c>
      <c r="F30" s="22">
        <v>82905.225863596104</v>
      </c>
      <c r="G30" s="49">
        <v>120441</v>
      </c>
      <c r="H30" s="39">
        <v>108500</v>
      </c>
      <c r="I30" s="152">
        <v>49000</v>
      </c>
      <c r="K30" s="65">
        <f t="shared" si="1"/>
        <v>90211.556465899019</v>
      </c>
      <c r="M30" s="15">
        <f t="shared" si="2"/>
        <v>31623.099555512337</v>
      </c>
      <c r="N30" s="147">
        <f t="shared" si="3"/>
        <v>58588.456910386682</v>
      </c>
      <c r="O30" s="147">
        <f t="shared" si="4"/>
        <v>121834.65602141136</v>
      </c>
      <c r="Q30" s="148">
        <f t="shared" si="5"/>
        <v>0.91900892869457596</v>
      </c>
      <c r="R30" s="148">
        <f t="shared" si="5"/>
        <v>1.3350950223935893</v>
      </c>
      <c r="S30" s="148">
        <f t="shared" si="5"/>
        <v>1.2027283892503753</v>
      </c>
      <c r="T30" s="159">
        <f t="shared" si="5"/>
        <v>0.54316765966145975</v>
      </c>
      <c r="V30" s="161">
        <f t="shared" si="8"/>
        <v>1.1522774467795136</v>
      </c>
      <c r="X30" s="15">
        <f t="shared" si="9"/>
        <v>101415.16018782525</v>
      </c>
    </row>
    <row r="31" spans="1:24" ht="25.5" x14ac:dyDescent="0.25">
      <c r="A31" s="137" t="s">
        <v>101</v>
      </c>
      <c r="B31" s="13" t="s">
        <v>29</v>
      </c>
      <c r="C31" s="69" t="s">
        <v>45</v>
      </c>
      <c r="D31" s="14" t="s">
        <v>119</v>
      </c>
      <c r="E31" s="14">
        <v>1</v>
      </c>
      <c r="F31" s="22">
        <v>109760</v>
      </c>
      <c r="G31" s="22">
        <v>104958</v>
      </c>
      <c r="H31" s="40">
        <v>90000</v>
      </c>
      <c r="I31" s="136">
        <v>100000</v>
      </c>
      <c r="K31" s="65">
        <f t="shared" si="1"/>
        <v>101179.5</v>
      </c>
      <c r="M31" s="15">
        <f t="shared" si="2"/>
        <v>8451.3210604417745</v>
      </c>
      <c r="N31" s="147">
        <f t="shared" si="3"/>
        <v>92728.178939558231</v>
      </c>
      <c r="O31" s="147">
        <f t="shared" si="4"/>
        <v>109630.82106044177</v>
      </c>
      <c r="Q31" s="148">
        <f t="shared" si="5"/>
        <v>1.0848047282305211</v>
      </c>
      <c r="R31" s="148">
        <f t="shared" si="5"/>
        <v>1.0373445213704358</v>
      </c>
      <c r="S31" s="159">
        <f t="shared" si="5"/>
        <v>0.88950825018902047</v>
      </c>
      <c r="T31" s="148">
        <f t="shared" si="5"/>
        <v>0.98834250021002279</v>
      </c>
      <c r="V31" s="161">
        <f>+AVERAGE(Q31:R31,T31)</f>
        <v>1.0368305832703266</v>
      </c>
      <c r="X31" s="15">
        <f>+HARMEAN(F31:G31,I31)</f>
        <v>104754.42722975017</v>
      </c>
    </row>
    <row r="32" spans="1:24" ht="76.5" x14ac:dyDescent="0.25">
      <c r="A32" s="137" t="s">
        <v>102</v>
      </c>
      <c r="B32" s="13" t="s">
        <v>30</v>
      </c>
      <c r="C32" s="69" t="s">
        <v>71</v>
      </c>
      <c r="D32" s="14" t="s">
        <v>119</v>
      </c>
      <c r="E32" s="14">
        <v>1</v>
      </c>
      <c r="F32" s="157">
        <v>299256</v>
      </c>
      <c r="G32" s="49">
        <v>357731</v>
      </c>
      <c r="H32" s="39">
        <v>348275</v>
      </c>
      <c r="I32" s="136">
        <v>349500</v>
      </c>
      <c r="K32" s="65">
        <f t="shared" si="1"/>
        <v>338690.5</v>
      </c>
      <c r="M32" s="15">
        <f t="shared" si="2"/>
        <v>26622.849590780723</v>
      </c>
      <c r="N32" s="147">
        <f t="shared" si="3"/>
        <v>312067.65040921926</v>
      </c>
      <c r="O32" s="147">
        <f t="shared" si="4"/>
        <v>365313.34959078074</v>
      </c>
      <c r="Q32" s="159">
        <f t="shared" si="5"/>
        <v>0.88356774104971947</v>
      </c>
      <c r="R32" s="148">
        <f t="shared" si="5"/>
        <v>1.0562179925330057</v>
      </c>
      <c r="S32" s="148">
        <f t="shared" si="5"/>
        <v>1.0282986974833956</v>
      </c>
      <c r="T32" s="148">
        <f t="shared" si="5"/>
        <v>1.0319155689338793</v>
      </c>
      <c r="V32" s="161">
        <f>+AVERAGE(R32:T32)</f>
        <v>1.0388107529834267</v>
      </c>
      <c r="X32" s="15">
        <f>+HARMEAN(G32:I32)</f>
        <v>351785.61841130938</v>
      </c>
    </row>
    <row r="33" spans="1:24" ht="76.5" x14ac:dyDescent="0.25">
      <c r="A33" s="137" t="s">
        <v>103</v>
      </c>
      <c r="B33" s="13" t="s">
        <v>31</v>
      </c>
      <c r="C33" s="69" t="s">
        <v>72</v>
      </c>
      <c r="D33" s="14" t="s">
        <v>119</v>
      </c>
      <c r="E33" s="14">
        <v>1</v>
      </c>
      <c r="F33" s="49">
        <f>+'INDEXACION VALORES 2026'!H9</f>
        <v>194435</v>
      </c>
      <c r="G33" s="48">
        <f>+'INDEXACION VALORES 2026'!K9</f>
        <v>210115.92</v>
      </c>
      <c r="H33" s="67">
        <f>+'INDEXACION VALORES 2026'!N9</f>
        <v>177513.9</v>
      </c>
      <c r="I33" s="149">
        <v>129990</v>
      </c>
      <c r="K33" s="65">
        <f t="shared" si="1"/>
        <v>178013.70500000002</v>
      </c>
      <c r="M33" s="15">
        <f t="shared" si="2"/>
        <v>34673.415293508282</v>
      </c>
      <c r="N33" s="147">
        <f t="shared" si="3"/>
        <v>143340.28970649175</v>
      </c>
      <c r="O33" s="147">
        <f t="shared" si="4"/>
        <v>212687.12029350828</v>
      </c>
      <c r="Q33" s="148">
        <f t="shared" si="5"/>
        <v>1.0922473637633685</v>
      </c>
      <c r="R33" s="148">
        <f t="shared" si="5"/>
        <v>1.1803356376409333</v>
      </c>
      <c r="S33" s="148">
        <f t="shared" si="5"/>
        <v>0.99719232291693483</v>
      </c>
      <c r="T33" s="159">
        <f t="shared" si="5"/>
        <v>0.73022467567876304</v>
      </c>
      <c r="V33" s="161">
        <f t="shared" ref="V33:V36" si="10">+AVERAGE(Q33:S33)</f>
        <v>1.0899251081070789</v>
      </c>
      <c r="X33" s="15">
        <f t="shared" ref="X33:X36" si="11">+HARMEAN(F33:H33)</f>
        <v>193103.05083890317</v>
      </c>
    </row>
    <row r="34" spans="1:24" ht="38.25" x14ac:dyDescent="0.25">
      <c r="A34" s="137" t="s">
        <v>104</v>
      </c>
      <c r="B34" s="13" t="s">
        <v>54</v>
      </c>
      <c r="C34" s="69" t="s">
        <v>183</v>
      </c>
      <c r="D34" s="14" t="s">
        <v>119</v>
      </c>
      <c r="E34" s="14">
        <v>1</v>
      </c>
      <c r="F34" s="15">
        <v>4807563.0252100844</v>
      </c>
      <c r="G34" s="15">
        <v>2487286</v>
      </c>
      <c r="H34" s="15">
        <v>2984743</v>
      </c>
      <c r="I34" s="149">
        <v>5800000</v>
      </c>
      <c r="K34" s="65">
        <f t="shared" si="1"/>
        <v>4019898.0063025211</v>
      </c>
      <c r="M34" s="15">
        <f t="shared" si="2"/>
        <v>1550228.4497144502</v>
      </c>
      <c r="N34" s="147">
        <f t="shared" si="3"/>
        <v>2469669.5565880709</v>
      </c>
      <c r="O34" s="147">
        <f t="shared" si="4"/>
        <v>5570126.4560169708</v>
      </c>
      <c r="Q34" s="148">
        <f t="shared" si="5"/>
        <v>1.195941543211454</v>
      </c>
      <c r="R34" s="148">
        <f t="shared" si="5"/>
        <v>0.61874355918989876</v>
      </c>
      <c r="S34" s="148">
        <f t="shared" si="5"/>
        <v>0.7424922212753724</v>
      </c>
      <c r="T34" s="159">
        <f t="shared" si="5"/>
        <v>1.4428226763232748</v>
      </c>
      <c r="V34" s="161">
        <f t="shared" si="10"/>
        <v>0.85239244122557489</v>
      </c>
      <c r="X34" s="15">
        <f t="shared" si="11"/>
        <v>3174309.4162843744</v>
      </c>
    </row>
    <row r="35" spans="1:24" ht="38.25" x14ac:dyDescent="0.25">
      <c r="A35" s="137" t="s">
        <v>105</v>
      </c>
      <c r="B35" s="13" t="s">
        <v>55</v>
      </c>
      <c r="C35" s="69" t="s">
        <v>184</v>
      </c>
      <c r="D35" s="14" t="s">
        <v>119</v>
      </c>
      <c r="E35" s="14">
        <v>1</v>
      </c>
      <c r="F35" s="48">
        <v>1015258</v>
      </c>
      <c r="G35" s="48">
        <v>775723</v>
      </c>
      <c r="H35" s="48">
        <v>995858</v>
      </c>
      <c r="I35" s="149">
        <v>504000</v>
      </c>
      <c r="K35" s="65">
        <f t="shared" si="1"/>
        <v>822709.75</v>
      </c>
      <c r="M35" s="15">
        <f t="shared" si="2"/>
        <v>238634.17223632633</v>
      </c>
      <c r="N35" s="147">
        <f t="shared" si="3"/>
        <v>584075.57776367362</v>
      </c>
      <c r="O35" s="147">
        <f t="shared" si="4"/>
        <v>1061343.9222363264</v>
      </c>
      <c r="Q35" s="148">
        <f t="shared" si="5"/>
        <v>1.2340415316580362</v>
      </c>
      <c r="R35" s="148">
        <f t="shared" si="5"/>
        <v>0.9428878167543292</v>
      </c>
      <c r="S35" s="148">
        <f t="shared" si="5"/>
        <v>1.2104609189328315</v>
      </c>
      <c r="T35" s="159">
        <f t="shared" si="5"/>
        <v>0.61260973265480323</v>
      </c>
      <c r="V35" s="161">
        <f t="shared" si="10"/>
        <v>1.1291300891150657</v>
      </c>
      <c r="X35" s="15">
        <f t="shared" si="11"/>
        <v>915122.2603389424</v>
      </c>
    </row>
    <row r="36" spans="1:24" ht="114.75" x14ac:dyDescent="0.25">
      <c r="A36" s="137" t="s">
        <v>106</v>
      </c>
      <c r="B36" s="13" t="s">
        <v>56</v>
      </c>
      <c r="C36" s="69" t="s">
        <v>57</v>
      </c>
      <c r="D36" s="14" t="s">
        <v>119</v>
      </c>
      <c r="E36" s="14">
        <v>1</v>
      </c>
      <c r="F36" s="134">
        <f>+CAMINADORA!H3</f>
        <v>3100000</v>
      </c>
      <c r="G36" s="134">
        <f>+CAMINADORA!H4</f>
        <v>3559900</v>
      </c>
      <c r="H36" s="60">
        <f>+CAMINADORA!H5</f>
        <v>3500000</v>
      </c>
      <c r="I36" s="149">
        <v>1859900</v>
      </c>
      <c r="K36" s="65">
        <f t="shared" si="1"/>
        <v>3004950</v>
      </c>
      <c r="M36" s="15">
        <f t="shared" si="2"/>
        <v>790193.64926158031</v>
      </c>
      <c r="N36" s="147">
        <f t="shared" si="3"/>
        <v>2214756.3507384197</v>
      </c>
      <c r="O36" s="147">
        <f t="shared" si="4"/>
        <v>3795143.6492615803</v>
      </c>
      <c r="Q36" s="148">
        <f t="shared" si="5"/>
        <v>1.0316311419491173</v>
      </c>
      <c r="R36" s="148">
        <f t="shared" si="5"/>
        <v>1.1846786136208589</v>
      </c>
      <c r="S36" s="148">
        <f t="shared" si="5"/>
        <v>1.1647448376844873</v>
      </c>
      <c r="T36" s="159">
        <f t="shared" si="5"/>
        <v>0.61894540674553655</v>
      </c>
      <c r="V36" s="161">
        <f t="shared" si="10"/>
        <v>1.1270181977514879</v>
      </c>
      <c r="X36" s="15">
        <f t="shared" si="11"/>
        <v>3373812.7210270744</v>
      </c>
    </row>
    <row r="37" spans="1:24" ht="114.75" x14ac:dyDescent="0.25">
      <c r="A37" s="137" t="s">
        <v>107</v>
      </c>
      <c r="B37" s="13" t="s">
        <v>58</v>
      </c>
      <c r="C37" s="69" t="s">
        <v>59</v>
      </c>
      <c r="D37" s="14" t="s">
        <v>119</v>
      </c>
      <c r="E37" s="14">
        <v>1</v>
      </c>
      <c r="F37" s="15">
        <v>2098999</v>
      </c>
      <c r="G37" s="48">
        <v>2130202</v>
      </c>
      <c r="H37" s="48">
        <v>2250458</v>
      </c>
      <c r="I37" s="149">
        <v>1859900</v>
      </c>
      <c r="K37" s="65">
        <f t="shared" si="1"/>
        <v>2084889.75</v>
      </c>
      <c r="M37" s="15">
        <f t="shared" si="2"/>
        <v>163590.4479166902</v>
      </c>
      <c r="N37" s="147">
        <f t="shared" si="3"/>
        <v>1921299.3020833097</v>
      </c>
      <c r="O37" s="147">
        <f t="shared" si="4"/>
        <v>2248480.1979166903</v>
      </c>
      <c r="Q37" s="148">
        <f t="shared" si="5"/>
        <v>1.006767384222595</v>
      </c>
      <c r="R37" s="186">
        <f t="shared" si="5"/>
        <v>1.0217336432298159</v>
      </c>
      <c r="S37" s="148">
        <f t="shared" si="5"/>
        <v>1.0794134318133608</v>
      </c>
      <c r="T37" s="159">
        <f t="shared" si="5"/>
        <v>0.8920855407342283</v>
      </c>
      <c r="V37" s="161">
        <f>+AVERAGE(Q37,S37,T37)</f>
        <v>0.99275545225672801</v>
      </c>
      <c r="X37" s="15">
        <f>+HARMEAN(F37:H37)</f>
        <v>2157946.4123772238</v>
      </c>
    </row>
    <row r="38" spans="1:24" ht="51" x14ac:dyDescent="0.25">
      <c r="A38" s="137" t="s">
        <v>108</v>
      </c>
      <c r="B38" s="13" t="s">
        <v>60</v>
      </c>
      <c r="C38" s="69" t="s">
        <v>73</v>
      </c>
      <c r="D38" s="14" t="s">
        <v>119</v>
      </c>
      <c r="E38" s="14">
        <v>1</v>
      </c>
      <c r="F38" s="134">
        <f>+'KIT DE MANCUERNAS'!G3</f>
        <v>329900</v>
      </c>
      <c r="G38" s="134">
        <f>+'KIT DE MANCUERNAS'!G4</f>
        <v>287092</v>
      </c>
      <c r="H38" s="158">
        <f>+'KIT DE MANCUERNAS'!G5</f>
        <v>108573</v>
      </c>
      <c r="I38" s="136">
        <v>231800</v>
      </c>
      <c r="K38" s="65">
        <f t="shared" si="1"/>
        <v>239341.25</v>
      </c>
      <c r="M38" s="15">
        <f t="shared" si="2"/>
        <v>95983.031463465799</v>
      </c>
      <c r="N38" s="147">
        <f t="shared" si="3"/>
        <v>143358.2185365342</v>
      </c>
      <c r="O38" s="147">
        <f t="shared" si="4"/>
        <v>335324.28146346577</v>
      </c>
      <c r="Q38" s="148">
        <f t="shared" si="5"/>
        <v>1.3783666626626208</v>
      </c>
      <c r="R38" s="148">
        <f t="shared" si="5"/>
        <v>1.1995090691637986</v>
      </c>
      <c r="S38" s="159">
        <f t="shared" si="5"/>
        <v>0.45363262705446722</v>
      </c>
      <c r="T38" s="148">
        <f t="shared" si="5"/>
        <v>0.96849164111911334</v>
      </c>
      <c r="V38" s="161">
        <f>+AVERAGE(Q38,R38,T38)</f>
        <v>1.182122457648511</v>
      </c>
      <c r="X38" s="48">
        <f>+HARMEAN(F38:G38,I38)</f>
        <v>277046.95303456788</v>
      </c>
    </row>
    <row r="39" spans="1:24" ht="38.25" x14ac:dyDescent="0.25">
      <c r="A39" s="137" t="s">
        <v>109</v>
      </c>
      <c r="B39" s="13" t="s">
        <v>61</v>
      </c>
      <c r="C39" s="69" t="s">
        <v>62</v>
      </c>
      <c r="D39" s="14" t="s">
        <v>119</v>
      </c>
      <c r="E39" s="14">
        <v>1</v>
      </c>
      <c r="F39" s="22">
        <v>94148</v>
      </c>
      <c r="G39" s="15">
        <v>117487</v>
      </c>
      <c r="H39" s="15">
        <v>100737</v>
      </c>
      <c r="I39" s="149">
        <v>232700</v>
      </c>
      <c r="K39" s="65">
        <f t="shared" si="1"/>
        <v>136268</v>
      </c>
      <c r="M39" s="15">
        <f t="shared" si="2"/>
        <v>65034.357447941824</v>
      </c>
      <c r="N39" s="147">
        <f t="shared" si="3"/>
        <v>71233.642552058183</v>
      </c>
      <c r="O39" s="147">
        <f t="shared" si="4"/>
        <v>201302.35744794182</v>
      </c>
      <c r="Q39" s="148">
        <f t="shared" si="5"/>
        <v>0.69090322012504768</v>
      </c>
      <c r="R39" s="148">
        <f t="shared" si="5"/>
        <v>0.8621760061056154</v>
      </c>
      <c r="S39" s="148">
        <f t="shared" si="5"/>
        <v>0.73925646520092758</v>
      </c>
      <c r="T39" s="159">
        <f t="shared" si="5"/>
        <v>1.7076643085684093</v>
      </c>
      <c r="V39" s="161">
        <f t="shared" ref="V39:V41" si="12">+AVERAGE(Q39:S39)</f>
        <v>0.76411189714386352</v>
      </c>
      <c r="X39" s="15">
        <f t="shared" ref="X39:X41" si="13">+HARMEAN(F39:H39)</f>
        <v>103234.70908634488</v>
      </c>
    </row>
    <row r="40" spans="1:24" ht="63.75" x14ac:dyDescent="0.25">
      <c r="A40" s="137" t="s">
        <v>110</v>
      </c>
      <c r="B40" s="13" t="s">
        <v>63</v>
      </c>
      <c r="C40" s="69" t="s">
        <v>74</v>
      </c>
      <c r="D40" s="14" t="s">
        <v>119</v>
      </c>
      <c r="E40" s="14">
        <v>1</v>
      </c>
      <c r="F40" s="22">
        <v>5462183</v>
      </c>
      <c r="G40" s="15">
        <v>5735292</v>
      </c>
      <c r="H40" s="15">
        <v>5805000</v>
      </c>
      <c r="I40" s="149">
        <v>2399900</v>
      </c>
      <c r="K40" s="65">
        <f t="shared" si="1"/>
        <v>4850593.75</v>
      </c>
      <c r="M40" s="15">
        <f t="shared" si="2"/>
        <v>1640479.9653959763</v>
      </c>
      <c r="N40" s="147">
        <f t="shared" si="3"/>
        <v>3210113.7846040237</v>
      </c>
      <c r="O40" s="147">
        <f t="shared" si="4"/>
        <v>6491073.7153959759</v>
      </c>
      <c r="Q40" s="148">
        <f t="shared" si="5"/>
        <v>1.1260854405710641</v>
      </c>
      <c r="R40" s="148">
        <f t="shared" si="5"/>
        <v>1.1823896816755681</v>
      </c>
      <c r="S40" s="148">
        <f t="shared" si="5"/>
        <v>1.196760705841424</v>
      </c>
      <c r="T40" s="159">
        <f t="shared" si="5"/>
        <v>0.49476417191194377</v>
      </c>
      <c r="V40" s="161">
        <f t="shared" si="12"/>
        <v>1.1684119426960187</v>
      </c>
      <c r="X40" s="15">
        <f t="shared" si="13"/>
        <v>5663569.1198407067</v>
      </c>
    </row>
    <row r="41" spans="1:24" ht="25.5" x14ac:dyDescent="0.25">
      <c r="A41" s="137" t="s">
        <v>111</v>
      </c>
      <c r="B41" s="13" t="s">
        <v>64</v>
      </c>
      <c r="C41" s="69" t="s">
        <v>185</v>
      </c>
      <c r="D41" s="14" t="s">
        <v>119</v>
      </c>
      <c r="E41" s="14">
        <v>1</v>
      </c>
      <c r="F41" s="132">
        <f>+'INDEXACION VALORES 2026'!H10</f>
        <v>4606791.5460000001</v>
      </c>
      <c r="G41" s="132">
        <f>+'INDEXACION VALORES 2026'!K10</f>
        <v>4081453.4</v>
      </c>
      <c r="H41" s="132">
        <f>+'INDEXACION VALORES 2026'!N10</f>
        <v>4338904.2580000004</v>
      </c>
      <c r="I41" s="149">
        <v>3199900</v>
      </c>
      <c r="K41" s="65">
        <f t="shared" si="1"/>
        <v>4056762.301</v>
      </c>
      <c r="M41" s="15">
        <f t="shared" si="2"/>
        <v>610180.00281334971</v>
      </c>
      <c r="N41" s="147">
        <f t="shared" si="3"/>
        <v>3446582.2981866505</v>
      </c>
      <c r="O41" s="147">
        <f t="shared" si="4"/>
        <v>4666942.3038133495</v>
      </c>
      <c r="Q41" s="148">
        <f t="shared" si="5"/>
        <v>1.1355833061415546</v>
      </c>
      <c r="R41" s="148">
        <f t="shared" si="5"/>
        <v>1.006086405159581</v>
      </c>
      <c r="S41" s="148">
        <f t="shared" si="5"/>
        <v>1.0695485552432913</v>
      </c>
      <c r="T41" s="159">
        <f t="shared" si="5"/>
        <v>0.78878173345557323</v>
      </c>
      <c r="V41" s="161">
        <f t="shared" si="12"/>
        <v>1.0704060888481424</v>
      </c>
      <c r="X41" s="15">
        <f t="shared" si="13"/>
        <v>4331788.9795121262</v>
      </c>
    </row>
    <row r="42" spans="1:24" ht="25.5" x14ac:dyDescent="0.25">
      <c r="A42" s="137" t="s">
        <v>112</v>
      </c>
      <c r="B42" s="13" t="s">
        <v>65</v>
      </c>
      <c r="C42" s="69" t="s">
        <v>66</v>
      </c>
      <c r="D42" s="14" t="s">
        <v>119</v>
      </c>
      <c r="E42" s="14">
        <v>1</v>
      </c>
      <c r="F42" s="22">
        <v>3218803.6669213101</v>
      </c>
      <c r="G42" s="48">
        <v>2958903</v>
      </c>
      <c r="H42" s="15">
        <v>3175895</v>
      </c>
      <c r="I42" s="149">
        <v>2899900</v>
      </c>
      <c r="K42" s="65">
        <f t="shared" si="1"/>
        <v>3063375.4167303275</v>
      </c>
      <c r="M42" s="15">
        <f t="shared" si="2"/>
        <v>157540.78340675356</v>
      </c>
      <c r="N42" s="147">
        <f t="shared" si="3"/>
        <v>2905834.633323574</v>
      </c>
      <c r="O42" s="147">
        <f t="shared" si="4"/>
        <v>3220916.2001370811</v>
      </c>
      <c r="Q42" s="148">
        <f t="shared" si="5"/>
        <v>1.050737578339934</v>
      </c>
      <c r="R42" s="186">
        <f t="shared" si="5"/>
        <v>0.96589630635547918</v>
      </c>
      <c r="S42" s="148">
        <f t="shared" si="5"/>
        <v>1.0367305889624752</v>
      </c>
      <c r="T42" s="159">
        <f t="shared" si="5"/>
        <v>0.9466355263421119</v>
      </c>
      <c r="V42" s="161">
        <f>+AVERAGE(Q42,R42:S42)</f>
        <v>1.0177881578859627</v>
      </c>
      <c r="X42" s="15">
        <f>+HARMEAN(F42,G42,H42)</f>
        <v>3113617.8062990969</v>
      </c>
    </row>
    <row r="43" spans="1:24" ht="57" customHeight="1" x14ac:dyDescent="0.25">
      <c r="A43" s="137" t="s">
        <v>113</v>
      </c>
      <c r="B43" s="13" t="s">
        <v>67</v>
      </c>
      <c r="C43" s="69" t="s">
        <v>68</v>
      </c>
      <c r="D43" s="14" t="s">
        <v>119</v>
      </c>
      <c r="E43" s="14">
        <v>1</v>
      </c>
      <c r="F43" s="22">
        <f>+'INDEXACION VALORES 2026'!L20</f>
        <v>504650.29395235411</v>
      </c>
      <c r="G43" s="157">
        <f>+'INDEXACION VALORES 2026'!S20</f>
        <v>553229.36149938731</v>
      </c>
      <c r="H43" s="22">
        <f>+'INDEXACION VALORES 2026'!Z20</f>
        <v>472316.44122847414</v>
      </c>
      <c r="I43" s="136">
        <v>419000</v>
      </c>
      <c r="K43" s="65">
        <f t="shared" si="1"/>
        <v>487299.02417005389</v>
      </c>
      <c r="M43" s="15">
        <f t="shared" si="2"/>
        <v>56382.947887934999</v>
      </c>
      <c r="N43" s="147">
        <f t="shared" si="3"/>
        <v>430916.07628211891</v>
      </c>
      <c r="O43" s="147">
        <f t="shared" si="4"/>
        <v>543681.97205798887</v>
      </c>
      <c r="Q43" s="148">
        <f t="shared" si="5"/>
        <v>1.035607027557365</v>
      </c>
      <c r="R43" s="159">
        <f t="shared" si="5"/>
        <v>1.1352974950886123</v>
      </c>
      <c r="S43" s="148">
        <f t="shared" si="5"/>
        <v>0.96925382116843473</v>
      </c>
      <c r="T43" s="148">
        <f t="shared" si="5"/>
        <v>0.85984165618558794</v>
      </c>
      <c r="V43" s="161">
        <f>+AVERAGE(Q43,S43:T43)</f>
        <v>0.95490083497046252</v>
      </c>
      <c r="X43" s="15">
        <f t="shared" ref="X43" si="14">+HARMEAN(F43,H43,I43)</f>
        <v>462575.36325681896</v>
      </c>
    </row>
    <row r="44" spans="1:24" customFormat="1" ht="15" customHeight="1" thickBot="1" x14ac:dyDescent="0.3">
      <c r="B44" s="239" t="s">
        <v>117</v>
      </c>
      <c r="C44" s="240"/>
      <c r="D44" s="240"/>
      <c r="E44" s="240"/>
      <c r="F44" s="240"/>
      <c r="G44" s="112"/>
    </row>
    <row r="45" spans="1:24" customFormat="1" ht="139.5" customHeight="1" thickBot="1" x14ac:dyDescent="0.3">
      <c r="B45" s="205" t="s">
        <v>186</v>
      </c>
      <c r="C45" s="206"/>
      <c r="D45" s="206"/>
      <c r="E45" s="206"/>
      <c r="F45" s="206"/>
      <c r="G45" s="206"/>
    </row>
    <row r="46" spans="1:24" ht="15.75" thickBot="1" x14ac:dyDescent="0.3"/>
    <row r="47" spans="1:24" ht="15.75" thickBot="1" x14ac:dyDescent="0.3">
      <c r="A47" s="200" t="s">
        <v>75</v>
      </c>
      <c r="B47" s="201"/>
      <c r="C47" s="201"/>
      <c r="D47" s="201"/>
      <c r="E47" s="201"/>
      <c r="F47" s="201"/>
      <c r="G47" s="202"/>
    </row>
    <row r="48" spans="1:24" ht="26.25" thickBot="1" x14ac:dyDescent="0.3">
      <c r="A48" s="17" t="s">
        <v>114</v>
      </c>
      <c r="B48" s="18" t="s">
        <v>116</v>
      </c>
      <c r="C48" s="19" t="s">
        <v>115</v>
      </c>
      <c r="D48" s="20" t="s">
        <v>119</v>
      </c>
      <c r="E48" s="20">
        <v>1</v>
      </c>
      <c r="F48" s="27">
        <v>815.1260504201681</v>
      </c>
      <c r="G48" s="43"/>
      <c r="H48" s="43"/>
    </row>
    <row r="49" spans="1:8" x14ac:dyDescent="0.25">
      <c r="A49" s="21"/>
      <c r="B49" s="21"/>
      <c r="C49" s="21"/>
      <c r="D49" s="21"/>
      <c r="E49" s="21"/>
      <c r="F49" s="21"/>
      <c r="G49" s="21"/>
      <c r="H49" s="21"/>
    </row>
    <row r="50" spans="1:8" x14ac:dyDescent="0.25">
      <c r="A50" s="21"/>
      <c r="B50" s="21"/>
      <c r="C50" s="21"/>
      <c r="D50" s="21"/>
      <c r="E50" s="21"/>
      <c r="F50" s="21"/>
      <c r="G50" s="21"/>
      <c r="H50" s="21"/>
    </row>
    <row r="51" spans="1:8" x14ac:dyDescent="0.25">
      <c r="A51" s="21"/>
      <c r="B51" s="21"/>
      <c r="C51" s="21"/>
      <c r="D51" s="21"/>
      <c r="E51" s="21"/>
      <c r="F51" s="21"/>
      <c r="G51" s="21"/>
      <c r="H51" s="21"/>
    </row>
    <row r="52" spans="1:8" ht="18.75" x14ac:dyDescent="0.25">
      <c r="A52" s="199"/>
      <c r="B52" s="199"/>
      <c r="C52" s="199"/>
      <c r="D52" s="199"/>
      <c r="E52" s="199"/>
      <c r="F52" s="199"/>
      <c r="G52" s="199"/>
    </row>
  </sheetData>
  <mergeCells count="10">
    <mergeCell ref="A52:G52"/>
    <mergeCell ref="A1:I1"/>
    <mergeCell ref="A2:I2"/>
    <mergeCell ref="A3:I3"/>
    <mergeCell ref="A4:I4"/>
    <mergeCell ref="M4:O4"/>
    <mergeCell ref="B44:F44"/>
    <mergeCell ref="Q1:T3"/>
    <mergeCell ref="B45:G45"/>
    <mergeCell ref="A47:G47"/>
  </mergeCells>
  <conditionalFormatting sqref="F23:F25">
    <cfRule type="cellIs" dxfId="3" priority="2" stopIfTrue="1" operator="greaterThan">
      <formula>#REF!</formula>
    </cfRule>
  </conditionalFormatting>
  <conditionalFormatting sqref="G23:G24">
    <cfRule type="cellIs" dxfId="2" priority="1" stopIfTrue="1" operator="greaterThan">
      <formula>#REF!</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81DF1-9539-481E-88A6-32FA06980390}">
  <dimension ref="A1:AB52"/>
  <sheetViews>
    <sheetView showGridLines="0" topLeftCell="T5" zoomScale="95" zoomScaleNormal="95" workbookViewId="0">
      <selection activeCell="AE9" sqref="AE9"/>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9.7109375" style="2" customWidth="1"/>
    <col min="7" max="7" width="32" style="2" customWidth="1"/>
    <col min="8" max="8" width="28.140625" style="2" customWidth="1"/>
    <col min="9" max="9" width="25.28515625" style="2" customWidth="1"/>
    <col min="10" max="10" width="18.28515625" style="2" customWidth="1"/>
    <col min="11" max="11" width="14.42578125" style="2" customWidth="1"/>
    <col min="12" max="12" width="11.42578125" style="2" customWidth="1"/>
    <col min="13" max="13" width="15.140625" style="2" customWidth="1"/>
    <col min="14" max="14" width="16.140625" style="2" customWidth="1"/>
    <col min="15" max="15" width="15.5703125" style="2" customWidth="1"/>
    <col min="16" max="16" width="11.42578125" style="2" customWidth="1"/>
    <col min="17" max="17" width="13" style="2" customWidth="1"/>
    <col min="18" max="18" width="13.7109375" style="2" customWidth="1"/>
    <col min="19" max="19" width="12.42578125" style="2" customWidth="1"/>
    <col min="20" max="20" width="18.140625" style="2" customWidth="1"/>
    <col min="21" max="21" width="11.42578125" style="2" customWidth="1"/>
    <col min="22" max="22" width="14.42578125" style="2" customWidth="1"/>
    <col min="23" max="23" width="11.42578125" style="2"/>
    <col min="24" max="24" width="28.7109375" style="2" customWidth="1"/>
    <col min="25" max="25" width="20.85546875" style="2" customWidth="1"/>
    <col min="26" max="26" width="19.7109375" style="2" customWidth="1"/>
    <col min="27" max="27" width="21" style="2" customWidth="1"/>
    <col min="28" max="28" width="25.140625" style="2" customWidth="1"/>
    <col min="29" max="16384" width="11.42578125" style="2"/>
  </cols>
  <sheetData>
    <row r="1" spans="1:28" ht="15.6" customHeight="1" x14ac:dyDescent="0.25">
      <c r="A1" s="237" t="s">
        <v>0</v>
      </c>
      <c r="B1" s="238"/>
      <c r="C1" s="238"/>
      <c r="D1" s="238"/>
      <c r="E1" s="238"/>
      <c r="F1" s="238"/>
      <c r="G1" s="238"/>
      <c r="H1" s="238"/>
      <c r="I1" s="238"/>
    </row>
    <row r="2" spans="1:28" ht="16.149999999999999" customHeight="1" x14ac:dyDescent="0.25">
      <c r="A2" s="237" t="s">
        <v>1</v>
      </c>
      <c r="B2" s="238"/>
      <c r="C2" s="238"/>
      <c r="D2" s="238"/>
      <c r="E2" s="238"/>
      <c r="F2" s="238"/>
      <c r="G2" s="238"/>
      <c r="H2" s="238"/>
      <c r="I2" s="238"/>
    </row>
    <row r="3" spans="1:28" ht="16.149999999999999" customHeight="1" thickBot="1" x14ac:dyDescent="0.3">
      <c r="A3" s="237" t="s">
        <v>118</v>
      </c>
      <c r="B3" s="238"/>
      <c r="C3" s="238"/>
      <c r="D3" s="238"/>
      <c r="E3" s="238"/>
      <c r="F3" s="238"/>
      <c r="G3" s="238"/>
      <c r="H3" s="238"/>
      <c r="I3" s="238"/>
    </row>
    <row r="4" spans="1:28" ht="69.599999999999994" customHeight="1" thickBot="1" x14ac:dyDescent="0.3">
      <c r="A4" s="239" t="s">
        <v>2</v>
      </c>
      <c r="B4" s="240"/>
      <c r="C4" s="240"/>
      <c r="D4" s="240"/>
      <c r="E4" s="240"/>
      <c r="F4" s="240"/>
      <c r="G4" s="240"/>
      <c r="H4" s="240"/>
      <c r="I4" s="240"/>
      <c r="K4" s="144" t="s">
        <v>371</v>
      </c>
      <c r="M4" s="241" t="s">
        <v>373</v>
      </c>
      <c r="N4" s="241"/>
      <c r="O4" s="241"/>
      <c r="Q4" s="143" t="s">
        <v>376</v>
      </c>
      <c r="R4" s="143" t="s">
        <v>376</v>
      </c>
      <c r="S4" s="143" t="s">
        <v>376</v>
      </c>
      <c r="T4" s="142" t="s">
        <v>377</v>
      </c>
      <c r="V4" s="144" t="s">
        <v>371</v>
      </c>
      <c r="X4" s="166" t="s">
        <v>379</v>
      </c>
      <c r="Y4" s="167" t="s">
        <v>381</v>
      </c>
      <c r="Z4" s="165" t="s">
        <v>382</v>
      </c>
      <c r="AA4" s="165" t="s">
        <v>383</v>
      </c>
      <c r="AB4" s="165" t="s">
        <v>384</v>
      </c>
    </row>
    <row r="5" spans="1:28" ht="63.75" x14ac:dyDescent="0.25">
      <c r="A5" s="3" t="s">
        <v>3</v>
      </c>
      <c r="B5" s="3" t="s">
        <v>4</v>
      </c>
      <c r="C5" s="3" t="s">
        <v>5</v>
      </c>
      <c r="D5" s="3" t="s">
        <v>6</v>
      </c>
      <c r="E5" s="3" t="s">
        <v>7</v>
      </c>
      <c r="F5" s="143"/>
      <c r="G5" s="143" t="s">
        <v>8</v>
      </c>
      <c r="H5" s="143" t="s">
        <v>8</v>
      </c>
      <c r="I5" s="142" t="s">
        <v>370</v>
      </c>
      <c r="K5" s="145" t="s">
        <v>372</v>
      </c>
      <c r="M5" s="146" t="s">
        <v>373</v>
      </c>
      <c r="N5" s="146" t="s">
        <v>374</v>
      </c>
      <c r="O5" s="146" t="s">
        <v>375</v>
      </c>
      <c r="Q5" s="143" t="s">
        <v>378</v>
      </c>
      <c r="R5" s="143" t="s">
        <v>378</v>
      </c>
      <c r="S5" s="143" t="s">
        <v>378</v>
      </c>
      <c r="T5" s="142" t="s">
        <v>378</v>
      </c>
      <c r="V5" s="160" t="s">
        <v>378</v>
      </c>
      <c r="X5" s="163" t="s">
        <v>380</v>
      </c>
      <c r="Y5" s="163" t="s">
        <v>380</v>
      </c>
      <c r="Z5" s="164" t="s">
        <v>380</v>
      </c>
      <c r="AA5" s="164" t="s">
        <v>380</v>
      </c>
      <c r="AB5" s="164" t="s">
        <v>380</v>
      </c>
    </row>
    <row r="6" spans="1:28" ht="51" x14ac:dyDescent="0.25">
      <c r="A6" s="137" t="s">
        <v>76</v>
      </c>
      <c r="B6" s="13" t="s">
        <v>9</v>
      </c>
      <c r="C6" s="69" t="s">
        <v>176</v>
      </c>
      <c r="D6" s="14" t="s">
        <v>119</v>
      </c>
      <c r="E6" s="14">
        <v>1</v>
      </c>
      <c r="F6" s="138">
        <v>2221848.7394957985</v>
      </c>
      <c r="G6" s="15">
        <v>3327871</v>
      </c>
      <c r="H6" s="71">
        <v>3157200</v>
      </c>
      <c r="I6" s="149">
        <v>1849900</v>
      </c>
      <c r="K6" s="65">
        <f>+AVERAGE(F6:I6)</f>
        <v>2639204.9348739497</v>
      </c>
      <c r="M6" s="15">
        <f>+STDEV(F6:I6)</f>
        <v>716418.94419118459</v>
      </c>
      <c r="N6" s="147">
        <f>+K6-M6</f>
        <v>1922785.9906827651</v>
      </c>
      <c r="O6" s="147">
        <f>+K6+M6</f>
        <v>3355623.8790651346</v>
      </c>
      <c r="Q6" s="148">
        <f>+F6/$K6</f>
        <v>0.84186290732360858</v>
      </c>
      <c r="R6" s="148">
        <f t="shared" ref="R6:T21" si="0">+G6/$K6</f>
        <v>1.2609369420411991</v>
      </c>
      <c r="S6" s="148">
        <f t="shared" si="0"/>
        <v>1.1962693606249983</v>
      </c>
      <c r="T6" s="159">
        <f t="shared" si="0"/>
        <v>0.70093079001019387</v>
      </c>
      <c r="V6" s="161">
        <f>+AVERAGE(Q6:S6)</f>
        <v>1.0996897366632687</v>
      </c>
      <c r="X6" s="15">
        <f>+HARMEAN(F6:H6)</f>
        <v>2810819.4587798379</v>
      </c>
      <c r="Y6" s="15">
        <f>+X6+815</f>
        <v>2811634.4587798379</v>
      </c>
      <c r="Z6" s="15">
        <f>+((Y6*10%)+Y6)</f>
        <v>3092797.9046578216</v>
      </c>
      <c r="AA6" s="15"/>
      <c r="AB6" s="147">
        <f>+Y6+Z6+AA6</f>
        <v>5904432.36343766</v>
      </c>
    </row>
    <row r="7" spans="1:28" ht="114.75" x14ac:dyDescent="0.25">
      <c r="A7" s="137" t="s">
        <v>77</v>
      </c>
      <c r="B7" s="13" t="s">
        <v>10</v>
      </c>
      <c r="C7" s="69" t="s">
        <v>177</v>
      </c>
      <c r="D7" s="14" t="s">
        <v>119</v>
      </c>
      <c r="E7" s="14">
        <v>1</v>
      </c>
      <c r="F7" s="48">
        <f>+'KIT ASEO'!E10</f>
        <v>838465.33333333337</v>
      </c>
      <c r="G7" s="150">
        <f>+'KIT ASEO'!H10</f>
        <v>1029175.3333333334</v>
      </c>
      <c r="H7" s="151">
        <f>+'KIT ASEO'!K10</f>
        <v>625395.33333333337</v>
      </c>
      <c r="I7" s="139">
        <v>798198</v>
      </c>
      <c r="K7" s="65">
        <f t="shared" ref="K7:K43" si="1">+AVERAGE(F7:I7)</f>
        <v>822808.5</v>
      </c>
      <c r="M7" s="15">
        <f t="shared" ref="M7:M43" si="2">+STDEV(F7:I7)</f>
        <v>165740.80307683942</v>
      </c>
      <c r="N7" s="147">
        <f t="shared" ref="N7:N43" si="3">+K7-M7</f>
        <v>657067.69692316058</v>
      </c>
      <c r="O7" s="147">
        <f t="shared" ref="O7:O43" si="4">+K7+M7</f>
        <v>988549.30307683942</v>
      </c>
      <c r="Q7" s="159">
        <f t="shared" ref="Q7:T43" si="5">+F7/$K7</f>
        <v>1.0190285264837851</v>
      </c>
      <c r="R7" s="159">
        <f t="shared" si="0"/>
        <v>1.2508078530220985</v>
      </c>
      <c r="S7" s="148">
        <f t="shared" si="0"/>
        <v>0.76007398238269708</v>
      </c>
      <c r="T7" s="148">
        <f t="shared" si="0"/>
        <v>0.97008963811141957</v>
      </c>
      <c r="V7" s="161">
        <f>+AVERAGE(S7:T7)</f>
        <v>0.86508181024705832</v>
      </c>
      <c r="X7" s="15">
        <f>+HARMEAN(F7,I7)</f>
        <v>817836.31184910762</v>
      </c>
      <c r="Y7" s="15">
        <f t="shared" ref="Y7:Y43" si="6">+X7+815</f>
        <v>818651.31184910762</v>
      </c>
      <c r="Z7" s="15">
        <f t="shared" ref="Z7:Z8" si="7">+((Y7*10%)+Y7)</f>
        <v>900516.44303401839</v>
      </c>
      <c r="AA7" s="15"/>
      <c r="AB7" s="147">
        <f t="shared" ref="AB7:AB43" si="8">+Y7+Z7+AA7</f>
        <v>1719167.7548831259</v>
      </c>
    </row>
    <row r="8" spans="1:28" ht="38.25" x14ac:dyDescent="0.25">
      <c r="A8" s="137" t="s">
        <v>78</v>
      </c>
      <c r="B8" s="13" t="s">
        <v>11</v>
      </c>
      <c r="C8" s="69" t="s">
        <v>178</v>
      </c>
      <c r="D8" s="14" t="s">
        <v>119</v>
      </c>
      <c r="E8" s="14">
        <v>1</v>
      </c>
      <c r="F8" s="15">
        <v>471428.57142857148</v>
      </c>
      <c r="G8" s="140">
        <v>476485.71428571432</v>
      </c>
      <c r="H8" s="23">
        <v>532048.76130554464</v>
      </c>
      <c r="I8" s="152">
        <v>595000</v>
      </c>
      <c r="K8" s="65">
        <f t="shared" si="1"/>
        <v>518740.76175495761</v>
      </c>
      <c r="M8" s="15">
        <f t="shared" si="2"/>
        <v>57782.657893929703</v>
      </c>
      <c r="N8" s="147">
        <f t="shared" si="3"/>
        <v>460958.10386102792</v>
      </c>
      <c r="O8" s="147">
        <f t="shared" si="4"/>
        <v>576523.41964888736</v>
      </c>
      <c r="Q8" s="148">
        <f t="shared" si="5"/>
        <v>0.90879415342969438</v>
      </c>
      <c r="R8" s="148">
        <f t="shared" si="0"/>
        <v>0.91854303616648558</v>
      </c>
      <c r="S8" s="148">
        <f t="shared" si="0"/>
        <v>1.0256544319084635</v>
      </c>
      <c r="T8" s="159">
        <f t="shared" si="0"/>
        <v>1.1470083784953566</v>
      </c>
      <c r="V8" s="161">
        <f>+AVERAGE(Q8:S8)</f>
        <v>0.95099720716821456</v>
      </c>
      <c r="X8" s="15">
        <f>+HARMEAN(F8:H8)</f>
        <v>491848.60092126433</v>
      </c>
      <c r="Y8" s="15">
        <f t="shared" si="6"/>
        <v>492663.60092126433</v>
      </c>
      <c r="Z8" s="15">
        <f t="shared" si="7"/>
        <v>541929.9610133908</v>
      </c>
      <c r="AA8" s="15"/>
      <c r="AB8" s="147">
        <f t="shared" si="8"/>
        <v>1034593.5619346551</v>
      </c>
    </row>
    <row r="9" spans="1:28" ht="51" x14ac:dyDescent="0.25">
      <c r="A9" s="137" t="s">
        <v>79</v>
      </c>
      <c r="B9" s="13" t="s">
        <v>49</v>
      </c>
      <c r="C9" s="69" t="s">
        <v>462</v>
      </c>
      <c r="D9" s="14" t="s">
        <v>119</v>
      </c>
      <c r="E9" s="14">
        <v>1</v>
      </c>
      <c r="F9" s="15">
        <v>5890000</v>
      </c>
      <c r="G9" s="140">
        <f>+'VALORES OTROS PROCESOS'!I9</f>
        <v>6350000</v>
      </c>
      <c r="H9" s="154">
        <f>+'VALORES OTROS PROCESOS'!L9</f>
        <v>5125000</v>
      </c>
      <c r="I9" s="136">
        <v>6300000</v>
      </c>
      <c r="K9" s="65">
        <f>+AVERAGE(F9:G9,I9)</f>
        <v>6180000</v>
      </c>
      <c r="M9" s="15">
        <f t="shared" si="2"/>
        <v>566324.03857391281</v>
      </c>
      <c r="N9" s="147">
        <f t="shared" si="3"/>
        <v>5613675.9614260867</v>
      </c>
      <c r="O9" s="147">
        <f t="shared" si="4"/>
        <v>6746324.0385739133</v>
      </c>
      <c r="Q9" s="148">
        <f t="shared" si="5"/>
        <v>0.95307443365695788</v>
      </c>
      <c r="R9" s="148">
        <f t="shared" si="0"/>
        <v>1.0275080906148868</v>
      </c>
      <c r="S9" s="159">
        <f t="shared" si="0"/>
        <v>0.82928802588996764</v>
      </c>
      <c r="T9" s="186">
        <f t="shared" si="0"/>
        <v>1.0194174757281553</v>
      </c>
      <c r="V9" s="161">
        <f>+AVERAGE(Q9:R9,T9)</f>
        <v>1</v>
      </c>
      <c r="X9" s="15">
        <f>+HARMEAN(F9:G9,I9)</f>
        <v>6172969.5625406625</v>
      </c>
      <c r="Y9" s="15">
        <f t="shared" si="6"/>
        <v>6173784.5625406625</v>
      </c>
      <c r="Z9" s="15"/>
      <c r="AA9" s="15"/>
      <c r="AB9" s="147">
        <f t="shared" si="8"/>
        <v>6173784.5625406625</v>
      </c>
    </row>
    <row r="10" spans="1:28" ht="63.75" x14ac:dyDescent="0.25">
      <c r="A10" s="137" t="s">
        <v>80</v>
      </c>
      <c r="B10" s="13" t="s">
        <v>12</v>
      </c>
      <c r="C10" s="69" t="s">
        <v>33</v>
      </c>
      <c r="D10" s="14" t="s">
        <v>119</v>
      </c>
      <c r="E10" s="14">
        <v>1</v>
      </c>
      <c r="F10" s="15">
        <v>305271.19938884646</v>
      </c>
      <c r="G10" s="15">
        <v>355919</v>
      </c>
      <c r="H10" s="36">
        <v>380000</v>
      </c>
      <c r="I10" s="152">
        <v>179900</v>
      </c>
      <c r="K10" s="65">
        <f t="shared" si="1"/>
        <v>305272.54984721163</v>
      </c>
      <c r="M10" s="15">
        <f t="shared" si="2"/>
        <v>89195.536092399532</v>
      </c>
      <c r="N10" s="147">
        <f t="shared" si="3"/>
        <v>216077.0137548121</v>
      </c>
      <c r="O10" s="147">
        <f t="shared" si="4"/>
        <v>394468.08593961119</v>
      </c>
      <c r="Q10" s="148">
        <f t="shared" si="5"/>
        <v>0.99999557622077107</v>
      </c>
      <c r="R10" s="148">
        <f t="shared" si="0"/>
        <v>1.1659056806061889</v>
      </c>
      <c r="S10" s="148">
        <f t="shared" si="0"/>
        <v>1.2447892880974374</v>
      </c>
      <c r="T10" s="159">
        <f t="shared" si="0"/>
        <v>0.58930945507560251</v>
      </c>
      <c r="V10" s="161">
        <f t="shared" ref="V10:V21" si="9">+AVERAGE(Q10:S10)</f>
        <v>1.1368968483081325</v>
      </c>
      <c r="X10" s="15">
        <f t="shared" ref="X10:X17" si="10">+HARMEAN(F10:H10)</f>
        <v>344155.78002225835</v>
      </c>
      <c r="Y10" s="15">
        <f t="shared" si="6"/>
        <v>344970.78002225835</v>
      </c>
      <c r="Z10" s="15"/>
      <c r="AA10" s="15"/>
      <c r="AB10" s="147">
        <f t="shared" si="8"/>
        <v>344970.78002225835</v>
      </c>
    </row>
    <row r="11" spans="1:28" ht="25.5" x14ac:dyDescent="0.25">
      <c r="A11" s="137" t="s">
        <v>81</v>
      </c>
      <c r="B11" s="13" t="s">
        <v>13</v>
      </c>
      <c r="C11" s="69" t="s">
        <v>34</v>
      </c>
      <c r="D11" s="14" t="s">
        <v>119</v>
      </c>
      <c r="E11" s="14">
        <v>1</v>
      </c>
      <c r="F11" s="22">
        <v>63997.374466688547</v>
      </c>
      <c r="G11" s="15">
        <v>62163</v>
      </c>
      <c r="H11" s="36">
        <v>58048</v>
      </c>
      <c r="I11" s="152">
        <v>169900</v>
      </c>
      <c r="K11" s="65">
        <f t="shared" si="1"/>
        <v>88527.093616672137</v>
      </c>
      <c r="M11" s="15">
        <f t="shared" si="2"/>
        <v>54305.609270649722</v>
      </c>
      <c r="N11" s="147">
        <f t="shared" si="3"/>
        <v>34221.484346022415</v>
      </c>
      <c r="O11" s="147">
        <f t="shared" si="4"/>
        <v>142832.70288732185</v>
      </c>
      <c r="Q11" s="148">
        <f t="shared" si="5"/>
        <v>0.72291286037019564</v>
      </c>
      <c r="R11" s="148">
        <f t="shared" si="0"/>
        <v>0.70219180886215116</v>
      </c>
      <c r="S11" s="148">
        <f t="shared" si="0"/>
        <v>0.65570886412866414</v>
      </c>
      <c r="T11" s="159">
        <f t="shared" si="0"/>
        <v>1.9191864666389891</v>
      </c>
      <c r="V11" s="161">
        <f t="shared" si="9"/>
        <v>0.69360451112033694</v>
      </c>
      <c r="X11" s="15">
        <f t="shared" si="10"/>
        <v>61300.17285637583</v>
      </c>
      <c r="Y11" s="15">
        <f t="shared" si="6"/>
        <v>62115.17285637583</v>
      </c>
      <c r="Z11" s="15"/>
      <c r="AA11" s="15"/>
      <c r="AB11" s="147">
        <f t="shared" si="8"/>
        <v>62115.17285637583</v>
      </c>
    </row>
    <row r="12" spans="1:28" ht="63.75" x14ac:dyDescent="0.25">
      <c r="A12" s="137" t="s">
        <v>82</v>
      </c>
      <c r="B12" s="13" t="s">
        <v>46</v>
      </c>
      <c r="C12" s="69" t="s">
        <v>50</v>
      </c>
      <c r="D12" s="14" t="s">
        <v>119</v>
      </c>
      <c r="E12" s="14">
        <v>1</v>
      </c>
      <c r="F12" s="23">
        <v>1784745.7627118647</v>
      </c>
      <c r="G12" s="15">
        <v>1706155</v>
      </c>
      <c r="H12" s="48">
        <v>1594538</v>
      </c>
      <c r="I12" s="149">
        <v>1342301</v>
      </c>
      <c r="K12" s="65">
        <f t="shared" si="1"/>
        <v>1606934.9406779662</v>
      </c>
      <c r="M12" s="15">
        <f t="shared" si="2"/>
        <v>192912.86055380906</v>
      </c>
      <c r="N12" s="147">
        <f t="shared" si="3"/>
        <v>1414022.0801241572</v>
      </c>
      <c r="O12" s="147">
        <f t="shared" si="4"/>
        <v>1799847.8012317752</v>
      </c>
      <c r="Q12" s="148">
        <f t="shared" si="5"/>
        <v>1.1106521599181109</v>
      </c>
      <c r="R12" s="148">
        <f t="shared" si="0"/>
        <v>1.0617449137549855</v>
      </c>
      <c r="S12" s="148">
        <f t="shared" si="0"/>
        <v>0.99228534997643658</v>
      </c>
      <c r="T12" s="159">
        <f t="shared" si="0"/>
        <v>0.83531757635046688</v>
      </c>
      <c r="V12" s="161">
        <f t="shared" si="9"/>
        <v>1.0548941412165109</v>
      </c>
      <c r="X12" s="15">
        <f t="shared" si="10"/>
        <v>1691515.0076736023</v>
      </c>
      <c r="Y12" s="15">
        <f t="shared" si="6"/>
        <v>1692330.0076736023</v>
      </c>
      <c r="Z12" s="15"/>
      <c r="AA12" s="15"/>
      <c r="AB12" s="147">
        <f t="shared" si="8"/>
        <v>1692330.0076736023</v>
      </c>
    </row>
    <row r="13" spans="1:28" ht="38.25" x14ac:dyDescent="0.25">
      <c r="A13" s="137" t="s">
        <v>83</v>
      </c>
      <c r="B13" s="13" t="s">
        <v>51</v>
      </c>
      <c r="C13" s="69" t="s">
        <v>47</v>
      </c>
      <c r="D13" s="14" t="s">
        <v>119</v>
      </c>
      <c r="E13" s="14">
        <v>1</v>
      </c>
      <c r="F13" s="15">
        <v>903093.96485867072</v>
      </c>
      <c r="G13" s="15">
        <v>519265</v>
      </c>
      <c r="H13" s="153">
        <v>378151</v>
      </c>
      <c r="I13" s="136">
        <v>991000</v>
      </c>
      <c r="K13" s="65">
        <f t="shared" si="1"/>
        <v>697877.49121466768</v>
      </c>
      <c r="M13" s="15">
        <f t="shared" si="2"/>
        <v>295613.51875595923</v>
      </c>
      <c r="N13" s="147">
        <f t="shared" si="3"/>
        <v>402263.97245870845</v>
      </c>
      <c r="O13" s="147">
        <f t="shared" si="4"/>
        <v>993491.00997062691</v>
      </c>
      <c r="Q13" s="148">
        <f t="shared" si="5"/>
        <v>1.2940580205371293</v>
      </c>
      <c r="R13" s="148">
        <f t="shared" si="0"/>
        <v>0.74406325828937458</v>
      </c>
      <c r="S13" s="159">
        <f t="shared" si="0"/>
        <v>0.54185871411588549</v>
      </c>
      <c r="T13" s="148">
        <f t="shared" si="0"/>
        <v>1.4200200070576106</v>
      </c>
      <c r="V13" s="161">
        <f>+AVERAGE(Q13:R13,T13)</f>
        <v>1.1527137619613714</v>
      </c>
      <c r="X13" s="15">
        <f>+HARMEAN(F13:G13,I13)</f>
        <v>742172.82476932893</v>
      </c>
      <c r="Y13" s="15">
        <f t="shared" si="6"/>
        <v>742987.82476932893</v>
      </c>
      <c r="Z13" s="15"/>
      <c r="AA13" s="15"/>
      <c r="AB13" s="147">
        <f t="shared" si="8"/>
        <v>742987.82476932893</v>
      </c>
    </row>
    <row r="14" spans="1:28" ht="51" x14ac:dyDescent="0.25">
      <c r="A14" s="137" t="s">
        <v>84</v>
      </c>
      <c r="B14" s="13" t="s">
        <v>52</v>
      </c>
      <c r="C14" s="69" t="s">
        <v>48</v>
      </c>
      <c r="D14" s="14" t="s">
        <v>119</v>
      </c>
      <c r="E14" s="14">
        <v>1</v>
      </c>
      <c r="F14" s="49">
        <v>370903</v>
      </c>
      <c r="G14" s="48">
        <v>379903</v>
      </c>
      <c r="H14" s="48">
        <v>349639</v>
      </c>
      <c r="I14" s="149">
        <v>256000</v>
      </c>
      <c r="K14" s="65">
        <f t="shared" si="1"/>
        <v>339111.25</v>
      </c>
      <c r="M14" s="15">
        <f t="shared" si="2"/>
        <v>56841.873159230068</v>
      </c>
      <c r="N14" s="147">
        <f t="shared" si="3"/>
        <v>282269.37684076995</v>
      </c>
      <c r="O14" s="147">
        <f t="shared" si="4"/>
        <v>395953.12315923005</v>
      </c>
      <c r="Q14" s="148">
        <f t="shared" si="5"/>
        <v>1.0937502073434604</v>
      </c>
      <c r="R14" s="148">
        <f t="shared" si="0"/>
        <v>1.1202901702612342</v>
      </c>
      <c r="S14" s="148">
        <f t="shared" si="0"/>
        <v>1.0310451216230663</v>
      </c>
      <c r="T14" s="159">
        <f t="shared" si="0"/>
        <v>0.75491450077223921</v>
      </c>
      <c r="V14" s="161">
        <f t="shared" si="9"/>
        <v>1.0816951664092536</v>
      </c>
      <c r="X14" s="15">
        <f t="shared" si="10"/>
        <v>366368.96951231069</v>
      </c>
      <c r="Y14" s="15">
        <f t="shared" si="6"/>
        <v>367183.96951231069</v>
      </c>
      <c r="Z14" s="15"/>
      <c r="AA14" s="15"/>
      <c r="AB14" s="147">
        <f t="shared" si="8"/>
        <v>367183.96951231069</v>
      </c>
    </row>
    <row r="15" spans="1:28" ht="25.5" x14ac:dyDescent="0.25">
      <c r="A15" s="137" t="s">
        <v>85</v>
      </c>
      <c r="B15" s="13" t="s">
        <v>14</v>
      </c>
      <c r="C15" s="69" t="s">
        <v>35</v>
      </c>
      <c r="D15" s="14" t="s">
        <v>119</v>
      </c>
      <c r="E15" s="14">
        <v>1</v>
      </c>
      <c r="F15" s="49">
        <v>3485278</v>
      </c>
      <c r="G15" s="48">
        <v>3560672</v>
      </c>
      <c r="H15" s="48">
        <v>3327732</v>
      </c>
      <c r="I15" s="149">
        <v>550000</v>
      </c>
      <c r="K15" s="65">
        <f t="shared" si="1"/>
        <v>2730920.5</v>
      </c>
      <c r="M15" s="15">
        <f t="shared" si="2"/>
        <v>1457182.3248323</v>
      </c>
      <c r="N15" s="147">
        <f t="shared" si="3"/>
        <v>1273738.1751677</v>
      </c>
      <c r="O15" s="147">
        <f t="shared" si="4"/>
        <v>4188102.8248322997</v>
      </c>
      <c r="Q15" s="148">
        <f t="shared" si="5"/>
        <v>1.2762282900582422</v>
      </c>
      <c r="R15" s="148">
        <f t="shared" si="0"/>
        <v>1.303835831178535</v>
      </c>
      <c r="S15" s="148">
        <f t="shared" si="0"/>
        <v>1.2185385843344763</v>
      </c>
      <c r="T15" s="159">
        <f t="shared" si="0"/>
        <v>0.20139729442874665</v>
      </c>
      <c r="V15" s="161">
        <f t="shared" si="9"/>
        <v>1.2662009018570846</v>
      </c>
      <c r="X15" s="15">
        <f t="shared" si="10"/>
        <v>3455138.5239910306</v>
      </c>
      <c r="Y15" s="15">
        <f t="shared" si="6"/>
        <v>3455953.5239910306</v>
      </c>
      <c r="Z15" s="15"/>
      <c r="AA15" s="15"/>
      <c r="AB15" s="147">
        <f t="shared" si="8"/>
        <v>3455953.5239910306</v>
      </c>
    </row>
    <row r="16" spans="1:28" ht="25.5" x14ac:dyDescent="0.25">
      <c r="A16" s="137" t="s">
        <v>86</v>
      </c>
      <c r="B16" s="13" t="s">
        <v>15</v>
      </c>
      <c r="C16" s="69" t="s">
        <v>36</v>
      </c>
      <c r="D16" s="14" t="s">
        <v>119</v>
      </c>
      <c r="E16" s="14">
        <v>1</v>
      </c>
      <c r="F16" s="49">
        <v>281513</v>
      </c>
      <c r="G16" s="48">
        <v>335000</v>
      </c>
      <c r="H16" s="45">
        <v>335000</v>
      </c>
      <c r="I16" s="149">
        <v>535000</v>
      </c>
      <c r="K16" s="65">
        <f t="shared" si="1"/>
        <v>371628.25</v>
      </c>
      <c r="M16" s="15">
        <f t="shared" si="2"/>
        <v>111794.96765172393</v>
      </c>
      <c r="N16" s="147">
        <f t="shared" si="3"/>
        <v>259833.28234827606</v>
      </c>
      <c r="O16" s="147">
        <f t="shared" si="4"/>
        <v>483423.21765172394</v>
      </c>
      <c r="Q16" s="148">
        <f t="shared" si="5"/>
        <v>0.75751237964282858</v>
      </c>
      <c r="R16" s="148">
        <f t="shared" si="0"/>
        <v>0.90143846707025099</v>
      </c>
      <c r="S16" s="148">
        <f t="shared" si="0"/>
        <v>0.90143846707025099</v>
      </c>
      <c r="T16" s="159">
        <f t="shared" si="0"/>
        <v>1.4396106862166695</v>
      </c>
      <c r="V16" s="161">
        <f t="shared" si="9"/>
        <v>0.85346310459444352</v>
      </c>
      <c r="X16" s="15">
        <f t="shared" si="10"/>
        <v>315047.18682978</v>
      </c>
      <c r="Y16" s="15">
        <f t="shared" si="6"/>
        <v>315862.18682978</v>
      </c>
      <c r="Z16" s="15"/>
      <c r="AA16" s="15"/>
      <c r="AB16" s="147">
        <f t="shared" si="8"/>
        <v>315862.18682978</v>
      </c>
    </row>
    <row r="17" spans="1:28" ht="25.5" x14ac:dyDescent="0.25">
      <c r="A17" s="137" t="s">
        <v>87</v>
      </c>
      <c r="B17" s="13" t="s">
        <v>16</v>
      </c>
      <c r="C17" s="69" t="s">
        <v>37</v>
      </c>
      <c r="D17" s="14" t="s">
        <v>119</v>
      </c>
      <c r="E17" s="14">
        <v>1</v>
      </c>
      <c r="F17" s="22">
        <v>3617463.712757831</v>
      </c>
      <c r="G17" s="46">
        <v>3979210</v>
      </c>
      <c r="H17" s="45">
        <v>3316008</v>
      </c>
      <c r="I17" s="149">
        <v>225000</v>
      </c>
      <c r="K17" s="65">
        <f t="shared" si="1"/>
        <v>2784420.4281894579</v>
      </c>
      <c r="M17" s="15">
        <f t="shared" si="2"/>
        <v>1727686.4597498218</v>
      </c>
      <c r="N17" s="147">
        <f t="shared" si="3"/>
        <v>1056733.9684396361</v>
      </c>
      <c r="O17" s="147">
        <f t="shared" si="4"/>
        <v>4512106.8879392799</v>
      </c>
      <c r="Q17" s="148">
        <f t="shared" si="5"/>
        <v>1.2991801367834568</v>
      </c>
      <c r="R17" s="148">
        <f t="shared" si="0"/>
        <v>1.4290981202818722</v>
      </c>
      <c r="S17" s="148">
        <f t="shared" si="0"/>
        <v>1.1909149805211714</v>
      </c>
      <c r="T17" s="159">
        <f t="shared" si="0"/>
        <v>8.0806762413499475E-2</v>
      </c>
      <c r="V17" s="161">
        <f t="shared" si="9"/>
        <v>1.3063977458621669</v>
      </c>
      <c r="X17" s="15">
        <f t="shared" si="10"/>
        <v>3617463.5295969523</v>
      </c>
      <c r="Y17" s="15">
        <f t="shared" si="6"/>
        <v>3618278.5295969523</v>
      </c>
      <c r="Z17" s="15"/>
      <c r="AA17" s="15"/>
      <c r="AB17" s="147">
        <f t="shared" si="8"/>
        <v>3618278.5295969523</v>
      </c>
    </row>
    <row r="18" spans="1:28" ht="25.5" x14ac:dyDescent="0.25">
      <c r="A18" s="137" t="s">
        <v>88</v>
      </c>
      <c r="B18" s="13" t="s">
        <v>17</v>
      </c>
      <c r="C18" s="69" t="s">
        <v>38</v>
      </c>
      <c r="D18" s="14" t="s">
        <v>119</v>
      </c>
      <c r="E18" s="14">
        <v>1</v>
      </c>
      <c r="F18" s="45">
        <v>1112710</v>
      </c>
      <c r="G18" s="154">
        <v>1695947.7158135979</v>
      </c>
      <c r="H18" s="45">
        <v>1039915</v>
      </c>
      <c r="I18" s="149">
        <v>423400</v>
      </c>
      <c r="K18" s="65">
        <f t="shared" si="1"/>
        <v>1067993.1789533994</v>
      </c>
      <c r="M18" s="15">
        <f t="shared" si="2"/>
        <v>520453.40647503664</v>
      </c>
      <c r="N18" s="147">
        <f t="shared" si="3"/>
        <v>547539.77247836278</v>
      </c>
      <c r="O18" s="147">
        <f t="shared" si="4"/>
        <v>1588446.5854284361</v>
      </c>
      <c r="Q18" s="148">
        <f t="shared" si="5"/>
        <v>1.0418699500407125</v>
      </c>
      <c r="R18" s="159">
        <f t="shared" si="0"/>
        <v>1.5879761680459183</v>
      </c>
      <c r="S18" s="148">
        <f t="shared" si="0"/>
        <v>0.97370940235693715</v>
      </c>
      <c r="T18" s="159">
        <f t="shared" si="0"/>
        <v>0.39644447955643219</v>
      </c>
      <c r="V18" s="161">
        <f>+AVERAGE(Q18,S18)</f>
        <v>1.0077896761988248</v>
      </c>
      <c r="X18" s="15">
        <f>+HARMEAN(F18,H18)</f>
        <v>1075081.6511468557</v>
      </c>
      <c r="Y18" s="15">
        <f t="shared" si="6"/>
        <v>1075896.6511468557</v>
      </c>
      <c r="Z18" s="15"/>
      <c r="AA18" s="15"/>
      <c r="AB18" s="147">
        <f t="shared" si="8"/>
        <v>1075896.6511468557</v>
      </c>
    </row>
    <row r="19" spans="1:28" ht="25.5" x14ac:dyDescent="0.25">
      <c r="A19" s="137" t="s">
        <v>89</v>
      </c>
      <c r="B19" s="13" t="s">
        <v>18</v>
      </c>
      <c r="C19" s="69" t="s">
        <v>39</v>
      </c>
      <c r="D19" s="14" t="s">
        <v>119</v>
      </c>
      <c r="E19" s="14">
        <v>1</v>
      </c>
      <c r="F19" s="132">
        <f>+'INDEXACION VALORES 2026'!H6</f>
        <v>925931</v>
      </c>
      <c r="G19" s="45">
        <f>+'INDEXACION VALORES 2026'!K6</f>
        <v>650779.19999999995</v>
      </c>
      <c r="H19" s="45">
        <v>895000</v>
      </c>
      <c r="I19" s="149">
        <v>249000</v>
      </c>
      <c r="K19" s="65">
        <f t="shared" si="1"/>
        <v>680177.55</v>
      </c>
      <c r="M19" s="15">
        <f t="shared" si="2"/>
        <v>312688.22908110329</v>
      </c>
      <c r="N19" s="147">
        <f t="shared" si="3"/>
        <v>367489.32091889676</v>
      </c>
      <c r="O19" s="147">
        <f t="shared" si="4"/>
        <v>992865.77908110339</v>
      </c>
      <c r="Q19" s="148">
        <f t="shared" si="5"/>
        <v>1.3613077938253033</v>
      </c>
      <c r="R19" s="148">
        <f t="shared" si="0"/>
        <v>0.95677841763521876</v>
      </c>
      <c r="S19" s="148">
        <f t="shared" si="0"/>
        <v>1.3158329027472311</v>
      </c>
      <c r="T19" s="159">
        <f t="shared" si="0"/>
        <v>0.3660808857922464</v>
      </c>
      <c r="V19" s="161">
        <f t="shared" si="9"/>
        <v>1.2113063714025845</v>
      </c>
      <c r="X19" s="15">
        <f>+HARMEAN(F19:H19)</f>
        <v>803442.59001943166</v>
      </c>
      <c r="Y19" s="15">
        <f t="shared" si="6"/>
        <v>804257.59001943166</v>
      </c>
      <c r="Z19" s="15"/>
      <c r="AA19" s="15"/>
      <c r="AB19" s="147">
        <f t="shared" si="8"/>
        <v>804257.59001943166</v>
      </c>
    </row>
    <row r="20" spans="1:28" ht="25.5" x14ac:dyDescent="0.25">
      <c r="A20" s="137" t="s">
        <v>90</v>
      </c>
      <c r="B20" s="13" t="s">
        <v>19</v>
      </c>
      <c r="C20" s="69" t="s">
        <v>40</v>
      </c>
      <c r="D20" s="14" t="s">
        <v>119</v>
      </c>
      <c r="E20" s="14">
        <v>1</v>
      </c>
      <c r="F20" s="45">
        <v>215300</v>
      </c>
      <c r="G20" s="45">
        <v>288900</v>
      </c>
      <c r="H20" s="154">
        <f>+'INDEXACION VALORES 2026'!N6</f>
        <v>940645</v>
      </c>
      <c r="I20" s="136">
        <v>215000</v>
      </c>
      <c r="K20" s="65">
        <f t="shared" si="1"/>
        <v>414961.25</v>
      </c>
      <c r="M20" s="15">
        <f t="shared" si="2"/>
        <v>352176.0733964144</v>
      </c>
      <c r="N20" s="147">
        <f t="shared" si="3"/>
        <v>62785.176603585598</v>
      </c>
      <c r="O20" s="147">
        <f t="shared" si="4"/>
        <v>767137.3233964144</v>
      </c>
      <c r="Q20" s="148">
        <f t="shared" si="5"/>
        <v>0.51884362696516839</v>
      </c>
      <c r="R20" s="148">
        <f t="shared" si="0"/>
        <v>0.69620958583482195</v>
      </c>
      <c r="S20" s="159">
        <f t="shared" si="0"/>
        <v>2.2668261193063208</v>
      </c>
      <c r="T20" s="148">
        <f t="shared" si="0"/>
        <v>0.51812066789368882</v>
      </c>
      <c r="V20" s="161">
        <f>+AVERAGE(Q20:R20,T20)</f>
        <v>0.57772462689789306</v>
      </c>
      <c r="X20" s="15">
        <f>+HARMEAN(F20:G20,I20)</f>
        <v>235160.39971590208</v>
      </c>
      <c r="Y20" s="15">
        <f t="shared" si="6"/>
        <v>235975.39971590208</v>
      </c>
      <c r="Z20" s="15"/>
      <c r="AA20" s="15"/>
      <c r="AB20" s="147">
        <f t="shared" si="8"/>
        <v>235975.39971590208</v>
      </c>
    </row>
    <row r="21" spans="1:28" ht="25.5" x14ac:dyDescent="0.25">
      <c r="A21" s="137" t="s">
        <v>91</v>
      </c>
      <c r="B21" s="13" t="s">
        <v>20</v>
      </c>
      <c r="C21" s="69" t="s">
        <v>179</v>
      </c>
      <c r="D21" s="14" t="s">
        <v>119</v>
      </c>
      <c r="E21" s="14">
        <v>1</v>
      </c>
      <c r="F21" s="132">
        <f>+'INDEXACION VALORES 2026'!H7</f>
        <v>194832.27799999999</v>
      </c>
      <c r="G21" s="45">
        <f>+'INDEXACION VALORES 2026'!K7</f>
        <v>168054.9</v>
      </c>
      <c r="H21" s="45">
        <f>+'INDEXACION VALORES 2026'!N7</f>
        <v>187603.5</v>
      </c>
      <c r="I21" s="149">
        <v>90000</v>
      </c>
      <c r="K21" s="65">
        <f t="shared" si="1"/>
        <v>160122.66949999999</v>
      </c>
      <c r="M21" s="15">
        <f t="shared" si="2"/>
        <v>48097.338892792402</v>
      </c>
      <c r="N21" s="147">
        <f t="shared" si="3"/>
        <v>112025.33060720758</v>
      </c>
      <c r="O21" s="147">
        <f t="shared" si="4"/>
        <v>208220.0083927924</v>
      </c>
      <c r="Q21" s="148">
        <f t="shared" si="5"/>
        <v>1.216768859827184</v>
      </c>
      <c r="R21" s="148">
        <f t="shared" si="0"/>
        <v>1.0495384602615558</v>
      </c>
      <c r="S21" s="148">
        <f t="shared" si="0"/>
        <v>1.1716236094852266</v>
      </c>
      <c r="T21" s="159">
        <f t="shared" si="0"/>
        <v>0.5620690704260336</v>
      </c>
      <c r="V21" s="161">
        <f t="shared" si="9"/>
        <v>1.1459769765246555</v>
      </c>
      <c r="X21" s="15">
        <f>+GEOMEAN(F21:H21)</f>
        <v>183140.47722954641</v>
      </c>
      <c r="Y21" s="15">
        <f t="shared" si="6"/>
        <v>183955.47722954641</v>
      </c>
      <c r="Z21" s="15"/>
      <c r="AA21" s="15">
        <f>+((Y21*15%)+Y21)</f>
        <v>211548.79881397836</v>
      </c>
      <c r="AB21" s="147">
        <f t="shared" si="8"/>
        <v>395504.27604352473</v>
      </c>
    </row>
    <row r="22" spans="1:28" ht="25.5" x14ac:dyDescent="0.25">
      <c r="A22" s="137" t="s">
        <v>92</v>
      </c>
      <c r="B22" s="13" t="s">
        <v>21</v>
      </c>
      <c r="C22" s="69" t="s">
        <v>180</v>
      </c>
      <c r="D22" s="14" t="s">
        <v>119</v>
      </c>
      <c r="E22" s="14">
        <v>1</v>
      </c>
      <c r="F22" s="155">
        <f>+'INDEXACION VALORES 2026'!H8</f>
        <v>194899.54199999999</v>
      </c>
      <c r="G22" s="45">
        <f>+'INDEXACION VALORES 2026'!K8</f>
        <v>162086.27100000001</v>
      </c>
      <c r="H22" s="45">
        <f>+'INDEXACION VALORES 2026'!N8</f>
        <v>135053.5</v>
      </c>
      <c r="I22" s="149">
        <v>90000</v>
      </c>
      <c r="K22" s="65">
        <f t="shared" si="1"/>
        <v>145509.82824999999</v>
      </c>
      <c r="M22" s="15">
        <f t="shared" si="2"/>
        <v>44365.144394247283</v>
      </c>
      <c r="N22" s="147">
        <f t="shared" si="3"/>
        <v>101144.68385575271</v>
      </c>
      <c r="O22" s="147">
        <f t="shared" si="4"/>
        <v>189874.97264424729</v>
      </c>
      <c r="Q22" s="159">
        <f t="shared" si="5"/>
        <v>1.3394252769314228</v>
      </c>
      <c r="R22" s="148">
        <f t="shared" si="5"/>
        <v>1.1139197465171911</v>
      </c>
      <c r="S22" s="148">
        <f t="shared" si="5"/>
        <v>0.92814005503439256</v>
      </c>
      <c r="T22" s="159">
        <f t="shared" si="5"/>
        <v>0.61851492151699383</v>
      </c>
      <c r="V22" s="161">
        <f>+AVERAGE(R22:S22)</f>
        <v>1.0210299007757917</v>
      </c>
      <c r="X22" s="15">
        <f>+HARMEAN(G22:H22)</f>
        <v>147340.21047958941</v>
      </c>
      <c r="Y22" s="15">
        <f t="shared" si="6"/>
        <v>148155.21047958941</v>
      </c>
      <c r="Z22" s="15"/>
      <c r="AA22" s="15">
        <f t="shared" ref="AA22:AA24" si="11">+((Y22*15%)+Y22)</f>
        <v>170378.49205152784</v>
      </c>
      <c r="AB22" s="147">
        <f t="shared" si="8"/>
        <v>318533.70253111725</v>
      </c>
    </row>
    <row r="23" spans="1:28" ht="38.25" x14ac:dyDescent="0.25">
      <c r="A23" s="137" t="s">
        <v>93</v>
      </c>
      <c r="B23" s="13" t="s">
        <v>22</v>
      </c>
      <c r="C23" s="69" t="s">
        <v>181</v>
      </c>
      <c r="D23" s="14" t="s">
        <v>119</v>
      </c>
      <c r="E23" s="14">
        <v>1</v>
      </c>
      <c r="F23" s="25">
        <v>156581</v>
      </c>
      <c r="G23" s="25">
        <v>175307</v>
      </c>
      <c r="H23" s="154">
        <v>287598</v>
      </c>
      <c r="I23" s="136">
        <v>190000</v>
      </c>
      <c r="K23" s="65">
        <f t="shared" si="1"/>
        <v>202371.5</v>
      </c>
      <c r="M23" s="15">
        <f t="shared" si="2"/>
        <v>58440.475029440568</v>
      </c>
      <c r="N23" s="147">
        <f t="shared" si="3"/>
        <v>143931.02497055943</v>
      </c>
      <c r="O23" s="147">
        <f t="shared" si="4"/>
        <v>260811.97502944057</v>
      </c>
      <c r="Q23" s="148">
        <f t="shared" si="5"/>
        <v>0.77373049070644828</v>
      </c>
      <c r="R23" s="148">
        <f t="shared" si="5"/>
        <v>0.86626328312039991</v>
      </c>
      <c r="S23" s="159">
        <f t="shared" si="5"/>
        <v>1.4211388461319898</v>
      </c>
      <c r="T23" s="148">
        <f t="shared" si="5"/>
        <v>0.93886738004116188</v>
      </c>
      <c r="V23" s="161">
        <f>+AVERAGE(Q23:R23,T23)</f>
        <v>0.8596203846226701</v>
      </c>
      <c r="X23" s="15">
        <f>+HARMEAN(F23:G23,I23)</f>
        <v>172871.72858081365</v>
      </c>
      <c r="Y23" s="15">
        <f t="shared" si="6"/>
        <v>173686.72858081365</v>
      </c>
      <c r="Z23" s="15"/>
      <c r="AA23" s="15">
        <f t="shared" si="11"/>
        <v>199739.73786793571</v>
      </c>
      <c r="AB23" s="147">
        <f t="shared" si="8"/>
        <v>373426.46644874936</v>
      </c>
    </row>
    <row r="24" spans="1:28" ht="99" customHeight="1" x14ac:dyDescent="0.25">
      <c r="A24" s="137" t="s">
        <v>94</v>
      </c>
      <c r="B24" s="13" t="s">
        <v>23</v>
      </c>
      <c r="C24" s="69" t="s">
        <v>182</v>
      </c>
      <c r="D24" s="14" t="s">
        <v>119</v>
      </c>
      <c r="E24" s="14">
        <v>1</v>
      </c>
      <c r="F24" s="71">
        <f>+'INDEXACION VALORES 2026'!M15</f>
        <v>1479285.6131231042</v>
      </c>
      <c r="G24" s="25">
        <f>+'INDEXACION VALORES 2026'!U15</f>
        <v>1282047.5313733569</v>
      </c>
      <c r="H24" s="45">
        <f>+'INDEXACION VALORES 2026'!AC15</f>
        <v>1344101.6663238539</v>
      </c>
      <c r="I24" s="149">
        <v>577700</v>
      </c>
      <c r="K24" s="65">
        <f t="shared" si="1"/>
        <v>1170783.7027050788</v>
      </c>
      <c r="M24" s="15">
        <f t="shared" si="2"/>
        <v>403873.10846717696</v>
      </c>
      <c r="N24" s="147">
        <f t="shared" si="3"/>
        <v>766910.59423790174</v>
      </c>
      <c r="O24" s="147">
        <f t="shared" si="4"/>
        <v>1574656.8111722558</v>
      </c>
      <c r="Q24" s="148">
        <f t="shared" si="5"/>
        <v>1.2635003457130778</v>
      </c>
      <c r="R24" s="148">
        <f t="shared" si="5"/>
        <v>1.0950336329513339</v>
      </c>
      <c r="S24" s="148">
        <f t="shared" si="5"/>
        <v>1.1480358525817591</v>
      </c>
      <c r="T24" s="159">
        <f t="shared" si="5"/>
        <v>0.49343016875382917</v>
      </c>
      <c r="V24" s="161">
        <f>+AVERAGE(Q24:S24)</f>
        <v>1.1688566104153904</v>
      </c>
      <c r="X24" s="15">
        <f>+HARMEAN(F24:H24)</f>
        <v>1363639.091092485</v>
      </c>
      <c r="Y24" s="15">
        <f t="shared" si="6"/>
        <v>1364454.091092485</v>
      </c>
      <c r="Z24" s="15"/>
      <c r="AA24" s="15">
        <f t="shared" si="11"/>
        <v>1569122.2047563577</v>
      </c>
      <c r="AB24" s="147">
        <f t="shared" si="8"/>
        <v>2933576.2958488427</v>
      </c>
    </row>
    <row r="25" spans="1:28" ht="127.5" x14ac:dyDescent="0.25">
      <c r="A25" s="137" t="s">
        <v>95</v>
      </c>
      <c r="B25" s="13" t="s">
        <v>53</v>
      </c>
      <c r="C25" s="69" t="s">
        <v>41</v>
      </c>
      <c r="D25" s="14" t="s">
        <v>119</v>
      </c>
      <c r="E25" s="14">
        <v>1</v>
      </c>
      <c r="F25" s="156">
        <v>410436</v>
      </c>
      <c r="G25" s="15">
        <v>474756</v>
      </c>
      <c r="H25" s="15">
        <v>443697</v>
      </c>
      <c r="I25" s="136">
        <v>460000</v>
      </c>
      <c r="K25" s="65">
        <f t="shared" si="1"/>
        <v>447222.25</v>
      </c>
      <c r="M25" s="15">
        <f t="shared" si="2"/>
        <v>27610.588915305663</v>
      </c>
      <c r="N25" s="147">
        <f t="shared" si="3"/>
        <v>419611.66108469432</v>
      </c>
      <c r="O25" s="147">
        <f t="shared" si="4"/>
        <v>474832.83891530568</v>
      </c>
      <c r="Q25" s="159">
        <f t="shared" si="5"/>
        <v>0.91774503616490455</v>
      </c>
      <c r="R25" s="148">
        <f t="shared" si="5"/>
        <v>1.0615661452443388</v>
      </c>
      <c r="S25" s="148">
        <f t="shared" si="5"/>
        <v>0.99211745390574824</v>
      </c>
      <c r="T25" s="148">
        <f t="shared" si="5"/>
        <v>1.0285713646850083</v>
      </c>
      <c r="V25" s="161">
        <f>+AVERAGE(R25:T25)</f>
        <v>1.0274183212783652</v>
      </c>
      <c r="X25" s="15">
        <f>+HARMEAN(G25:I25)</f>
        <v>459133.41409212578</v>
      </c>
      <c r="Y25" s="15">
        <f t="shared" si="6"/>
        <v>459948.41409212578</v>
      </c>
      <c r="Z25" s="15"/>
      <c r="AA25" s="15"/>
      <c r="AB25" s="147">
        <f t="shared" si="8"/>
        <v>459948.41409212578</v>
      </c>
    </row>
    <row r="26" spans="1:28" ht="89.25" x14ac:dyDescent="0.25">
      <c r="A26" s="137" t="s">
        <v>96</v>
      </c>
      <c r="B26" s="13" t="s">
        <v>24</v>
      </c>
      <c r="C26" s="69" t="s">
        <v>69</v>
      </c>
      <c r="D26" s="14" t="s">
        <v>119</v>
      </c>
      <c r="E26" s="14">
        <v>1</v>
      </c>
      <c r="F26" s="39">
        <f>+'MATERIAL DIDÁCTICO'!E15</f>
        <v>2473280</v>
      </c>
      <c r="G26" s="39">
        <f>+'MATERIAL DIDÁCTICO'!H15</f>
        <v>2329800</v>
      </c>
      <c r="H26" s="67">
        <f>+'MATERIAL DIDÁCTICO'!K15</f>
        <v>2394600</v>
      </c>
      <c r="I26" s="149">
        <v>928000</v>
      </c>
      <c r="K26" s="65">
        <f t="shared" si="1"/>
        <v>2031420</v>
      </c>
      <c r="M26" s="15">
        <f t="shared" si="2"/>
        <v>737949.0255205076</v>
      </c>
      <c r="N26" s="147">
        <f t="shared" si="3"/>
        <v>1293470.9744794923</v>
      </c>
      <c r="O26" s="147">
        <f t="shared" si="4"/>
        <v>2769369.0255205077</v>
      </c>
      <c r="Q26" s="148">
        <f t="shared" si="5"/>
        <v>1.217512872768802</v>
      </c>
      <c r="R26" s="148">
        <f t="shared" si="5"/>
        <v>1.1468824762973684</v>
      </c>
      <c r="S26" s="148">
        <f t="shared" si="5"/>
        <v>1.1787813450689666</v>
      </c>
      <c r="T26" s="159">
        <f t="shared" si="5"/>
        <v>0.45682330586486303</v>
      </c>
      <c r="V26" s="161">
        <f t="shared" ref="V26:V30" si="12">+AVERAGE(Q26:S26)</f>
        <v>1.1810588980450458</v>
      </c>
      <c r="X26" s="48">
        <f>+HARMEAN(F26:H26)</f>
        <v>2397795.8306392361</v>
      </c>
      <c r="Y26" s="15">
        <f t="shared" si="6"/>
        <v>2398610.8306392361</v>
      </c>
      <c r="Z26" s="48"/>
      <c r="AA26" s="15"/>
      <c r="AB26" s="147">
        <f t="shared" si="8"/>
        <v>2398610.8306392361</v>
      </c>
    </row>
    <row r="27" spans="1:28" x14ac:dyDescent="0.25">
      <c r="A27" s="137" t="s">
        <v>97</v>
      </c>
      <c r="B27" s="13" t="s">
        <v>25</v>
      </c>
      <c r="C27" s="69" t="s">
        <v>70</v>
      </c>
      <c r="D27" s="14" t="s">
        <v>119</v>
      </c>
      <c r="E27" s="14">
        <v>1</v>
      </c>
      <c r="F27" s="39">
        <v>5820</v>
      </c>
      <c r="G27" s="39">
        <v>5325</v>
      </c>
      <c r="H27" s="39">
        <v>4895</v>
      </c>
      <c r="I27" s="149">
        <v>14900</v>
      </c>
      <c r="K27" s="65">
        <f t="shared" si="1"/>
        <v>7735</v>
      </c>
      <c r="M27" s="15">
        <f t="shared" si="2"/>
        <v>4791.5950719289012</v>
      </c>
      <c r="N27" s="147">
        <f t="shared" si="3"/>
        <v>2943.4049280710988</v>
      </c>
      <c r="O27" s="147">
        <f t="shared" si="4"/>
        <v>12526.595071928901</v>
      </c>
      <c r="Q27" s="148">
        <f t="shared" si="5"/>
        <v>0.75242404654169359</v>
      </c>
      <c r="R27" s="148">
        <f t="shared" si="5"/>
        <v>0.68842921784098254</v>
      </c>
      <c r="S27" s="148">
        <f t="shared" si="5"/>
        <v>0.63283775048480928</v>
      </c>
      <c r="T27" s="159">
        <f t="shared" si="5"/>
        <v>1.9263089851325146</v>
      </c>
      <c r="V27" s="161">
        <f t="shared" si="12"/>
        <v>0.69123033828916169</v>
      </c>
      <c r="X27" s="15">
        <f>+HARMEAN(F27:H27)</f>
        <v>5320.0466940261276</v>
      </c>
      <c r="Y27" s="15">
        <f t="shared" si="6"/>
        <v>6135.0466940261276</v>
      </c>
      <c r="Z27" s="15"/>
      <c r="AA27" s="15"/>
      <c r="AB27" s="147">
        <f t="shared" si="8"/>
        <v>6135.0466940261276</v>
      </c>
    </row>
    <row r="28" spans="1:28" ht="54.75" customHeight="1" x14ac:dyDescent="0.25">
      <c r="A28" s="137" t="s">
        <v>98</v>
      </c>
      <c r="B28" s="13" t="s">
        <v>26</v>
      </c>
      <c r="C28" s="69" t="s">
        <v>42</v>
      </c>
      <c r="D28" s="14" t="s">
        <v>119</v>
      </c>
      <c r="E28" s="14">
        <v>1</v>
      </c>
      <c r="F28" s="39">
        <v>16005.88</v>
      </c>
      <c r="G28" s="39">
        <v>18285</v>
      </c>
      <c r="H28" s="39">
        <v>15458</v>
      </c>
      <c r="I28" s="149">
        <v>20000</v>
      </c>
      <c r="K28" s="65">
        <f t="shared" si="1"/>
        <v>17437.22</v>
      </c>
      <c r="M28" s="15">
        <f t="shared" si="2"/>
        <v>2101.7943334842798</v>
      </c>
      <c r="N28" s="147">
        <f t="shared" si="3"/>
        <v>15335.425666515721</v>
      </c>
      <c r="O28" s="147">
        <f t="shared" si="4"/>
        <v>19539.01433348428</v>
      </c>
      <c r="Q28" s="148">
        <f t="shared" si="5"/>
        <v>0.91791466759036122</v>
      </c>
      <c r="R28" s="148">
        <f t="shared" si="5"/>
        <v>1.0486189885773076</v>
      </c>
      <c r="S28" s="148">
        <f t="shared" si="5"/>
        <v>0.88649452148909047</v>
      </c>
      <c r="T28" s="159">
        <f t="shared" si="5"/>
        <v>1.1469718223432404</v>
      </c>
      <c r="V28" s="161">
        <f t="shared" si="12"/>
        <v>0.95100939255225303</v>
      </c>
      <c r="X28" s="15">
        <f t="shared" ref="X28:X30" si="13">+HARMEAN(F28:H28)</f>
        <v>16496.378408903591</v>
      </c>
      <c r="Y28" s="15">
        <f t="shared" si="6"/>
        <v>17311.378408903591</v>
      </c>
      <c r="Z28" s="15"/>
      <c r="AA28" s="15"/>
      <c r="AB28" s="147">
        <f t="shared" si="8"/>
        <v>17311.378408903591</v>
      </c>
    </row>
    <row r="29" spans="1:28" ht="51" x14ac:dyDescent="0.25">
      <c r="A29" s="137" t="s">
        <v>99</v>
      </c>
      <c r="B29" s="13" t="s">
        <v>27</v>
      </c>
      <c r="C29" s="69" t="s">
        <v>43</v>
      </c>
      <c r="D29" s="14" t="s">
        <v>119</v>
      </c>
      <c r="E29" s="14">
        <v>1</v>
      </c>
      <c r="F29" s="141">
        <v>78775</v>
      </c>
      <c r="G29" s="39">
        <v>64217</v>
      </c>
      <c r="H29" s="39">
        <v>70260</v>
      </c>
      <c r="I29" s="152">
        <v>818000</v>
      </c>
      <c r="K29" s="65">
        <f t="shared" si="1"/>
        <v>257813</v>
      </c>
      <c r="M29" s="15">
        <f t="shared" si="2"/>
        <v>373505.74267695891</v>
      </c>
      <c r="N29" s="147">
        <f t="shared" si="3"/>
        <v>-115692.74267695891</v>
      </c>
      <c r="O29" s="147">
        <f t="shared" si="4"/>
        <v>631318.74267695891</v>
      </c>
      <c r="Q29" s="148">
        <f t="shared" si="5"/>
        <v>0.30555092256790772</v>
      </c>
      <c r="R29" s="148">
        <f t="shared" si="5"/>
        <v>0.24908363814082299</v>
      </c>
      <c r="S29" s="148">
        <f t="shared" si="5"/>
        <v>0.27252310783397271</v>
      </c>
      <c r="T29" s="159">
        <f t="shared" si="5"/>
        <v>3.1728423314572964</v>
      </c>
      <c r="V29" s="161">
        <f t="shared" si="12"/>
        <v>0.27571922284756784</v>
      </c>
      <c r="X29" s="15">
        <f t="shared" si="13"/>
        <v>70589.1776019276</v>
      </c>
      <c r="Y29" s="15">
        <f t="shared" si="6"/>
        <v>71404.1776019276</v>
      </c>
      <c r="Z29" s="15"/>
      <c r="AA29" s="15"/>
      <c r="AB29" s="147">
        <f t="shared" si="8"/>
        <v>71404.1776019276</v>
      </c>
    </row>
    <row r="30" spans="1:28" x14ac:dyDescent="0.25">
      <c r="A30" s="137" t="s">
        <v>100</v>
      </c>
      <c r="B30" s="13" t="s">
        <v>28</v>
      </c>
      <c r="C30" s="69" t="s">
        <v>44</v>
      </c>
      <c r="D30" s="14" t="s">
        <v>119</v>
      </c>
      <c r="E30" s="14">
        <v>1</v>
      </c>
      <c r="F30" s="22">
        <v>82905.225863596104</v>
      </c>
      <c r="G30" s="49">
        <v>120441</v>
      </c>
      <c r="H30" s="39">
        <v>108500</v>
      </c>
      <c r="I30" s="152">
        <v>49000</v>
      </c>
      <c r="K30" s="65">
        <f t="shared" si="1"/>
        <v>90211.556465899019</v>
      </c>
      <c r="M30" s="15">
        <f t="shared" si="2"/>
        <v>31623.099555512337</v>
      </c>
      <c r="N30" s="147">
        <f t="shared" si="3"/>
        <v>58588.456910386682</v>
      </c>
      <c r="O30" s="147">
        <f t="shared" si="4"/>
        <v>121834.65602141136</v>
      </c>
      <c r="Q30" s="148">
        <f t="shared" si="5"/>
        <v>0.91900892869457596</v>
      </c>
      <c r="R30" s="148">
        <f t="shared" si="5"/>
        <v>1.3350950223935893</v>
      </c>
      <c r="S30" s="148">
        <f t="shared" si="5"/>
        <v>1.2027283892503753</v>
      </c>
      <c r="T30" s="159">
        <f t="shared" si="5"/>
        <v>0.54316765966145975</v>
      </c>
      <c r="V30" s="161">
        <f t="shared" si="12"/>
        <v>1.1522774467795136</v>
      </c>
      <c r="X30" s="15">
        <f t="shared" si="13"/>
        <v>101415.16018782525</v>
      </c>
      <c r="Y30" s="15">
        <f t="shared" si="6"/>
        <v>102230.16018782525</v>
      </c>
      <c r="Z30" s="15"/>
      <c r="AA30" s="15"/>
      <c r="AB30" s="147">
        <f t="shared" si="8"/>
        <v>102230.16018782525</v>
      </c>
    </row>
    <row r="31" spans="1:28" ht="25.5" x14ac:dyDescent="0.25">
      <c r="A31" s="137" t="s">
        <v>101</v>
      </c>
      <c r="B31" s="13" t="s">
        <v>29</v>
      </c>
      <c r="C31" s="69" t="s">
        <v>45</v>
      </c>
      <c r="D31" s="14" t="s">
        <v>119</v>
      </c>
      <c r="E31" s="14">
        <v>1</v>
      </c>
      <c r="F31" s="22">
        <v>109760</v>
      </c>
      <c r="G31" s="22">
        <v>104958</v>
      </c>
      <c r="H31" s="40">
        <v>90000</v>
      </c>
      <c r="I31" s="136">
        <v>100000</v>
      </c>
      <c r="K31" s="65">
        <f t="shared" si="1"/>
        <v>101179.5</v>
      </c>
      <c r="M31" s="15">
        <f t="shared" si="2"/>
        <v>8451.3210604417745</v>
      </c>
      <c r="N31" s="147">
        <f t="shared" si="3"/>
        <v>92728.178939558231</v>
      </c>
      <c r="O31" s="147">
        <f t="shared" si="4"/>
        <v>109630.82106044177</v>
      </c>
      <c r="Q31" s="148">
        <f t="shared" si="5"/>
        <v>1.0848047282305211</v>
      </c>
      <c r="R31" s="148">
        <f t="shared" si="5"/>
        <v>1.0373445213704358</v>
      </c>
      <c r="S31" s="159">
        <f t="shared" si="5"/>
        <v>0.88950825018902047</v>
      </c>
      <c r="T31" s="148">
        <f t="shared" si="5"/>
        <v>0.98834250021002279</v>
      </c>
      <c r="V31" s="161">
        <f>+AVERAGE(Q31:R31,T31)</f>
        <v>1.0368305832703266</v>
      </c>
      <c r="X31" s="15">
        <f>+HARMEAN(F31:G31,I31)</f>
        <v>104754.42722975017</v>
      </c>
      <c r="Y31" s="15">
        <f t="shared" si="6"/>
        <v>105569.42722975017</v>
      </c>
      <c r="Z31" s="15"/>
      <c r="AA31" s="15"/>
      <c r="AB31" s="147">
        <f t="shared" si="8"/>
        <v>105569.42722975017</v>
      </c>
    </row>
    <row r="32" spans="1:28" ht="76.5" x14ac:dyDescent="0.25">
      <c r="A32" s="137" t="s">
        <v>102</v>
      </c>
      <c r="B32" s="13" t="s">
        <v>30</v>
      </c>
      <c r="C32" s="69" t="s">
        <v>71</v>
      </c>
      <c r="D32" s="14" t="s">
        <v>119</v>
      </c>
      <c r="E32" s="14">
        <v>1</v>
      </c>
      <c r="F32" s="157">
        <v>299256</v>
      </c>
      <c r="G32" s="49">
        <v>357731</v>
      </c>
      <c r="H32" s="39">
        <v>348275</v>
      </c>
      <c r="I32" s="136">
        <v>349500</v>
      </c>
      <c r="K32" s="65">
        <f t="shared" si="1"/>
        <v>338690.5</v>
      </c>
      <c r="M32" s="15">
        <f t="shared" si="2"/>
        <v>26622.849590780723</v>
      </c>
      <c r="N32" s="147">
        <f t="shared" si="3"/>
        <v>312067.65040921926</v>
      </c>
      <c r="O32" s="147">
        <f t="shared" si="4"/>
        <v>365313.34959078074</v>
      </c>
      <c r="Q32" s="159">
        <f t="shared" si="5"/>
        <v>0.88356774104971947</v>
      </c>
      <c r="R32" s="148">
        <f t="shared" si="5"/>
        <v>1.0562179925330057</v>
      </c>
      <c r="S32" s="148">
        <f t="shared" si="5"/>
        <v>1.0282986974833956</v>
      </c>
      <c r="T32" s="148">
        <f t="shared" si="5"/>
        <v>1.0319155689338793</v>
      </c>
      <c r="V32" s="161">
        <f>+AVERAGE(R32:T32)</f>
        <v>1.0388107529834267</v>
      </c>
      <c r="X32" s="15">
        <f>+HARMEAN(G32:I32)</f>
        <v>351785.61841130938</v>
      </c>
      <c r="Y32" s="15">
        <f t="shared" si="6"/>
        <v>352600.61841130938</v>
      </c>
      <c r="Z32" s="15"/>
      <c r="AA32" s="15"/>
      <c r="AB32" s="147">
        <f t="shared" si="8"/>
        <v>352600.61841130938</v>
      </c>
    </row>
    <row r="33" spans="1:28" ht="76.5" x14ac:dyDescent="0.25">
      <c r="A33" s="137" t="s">
        <v>103</v>
      </c>
      <c r="B33" s="13" t="s">
        <v>31</v>
      </c>
      <c r="C33" s="69" t="s">
        <v>72</v>
      </c>
      <c r="D33" s="14" t="s">
        <v>119</v>
      </c>
      <c r="E33" s="14">
        <v>1</v>
      </c>
      <c r="F33" s="49">
        <f>+'INDEXACION VALORES 2026'!H9</f>
        <v>194435</v>
      </c>
      <c r="G33" s="48">
        <f>+'INDEXACION VALORES 2026'!K9</f>
        <v>210115.92</v>
      </c>
      <c r="H33" s="67">
        <f>+'INDEXACION VALORES 2026'!N9</f>
        <v>177513.9</v>
      </c>
      <c r="I33" s="149">
        <v>129990</v>
      </c>
      <c r="K33" s="65">
        <f t="shared" si="1"/>
        <v>178013.70500000002</v>
      </c>
      <c r="M33" s="15">
        <f t="shared" si="2"/>
        <v>34673.415293508282</v>
      </c>
      <c r="N33" s="147">
        <f t="shared" si="3"/>
        <v>143340.28970649175</v>
      </c>
      <c r="O33" s="147">
        <f t="shared" si="4"/>
        <v>212687.12029350828</v>
      </c>
      <c r="Q33" s="148">
        <f t="shared" si="5"/>
        <v>1.0922473637633685</v>
      </c>
      <c r="R33" s="148">
        <f t="shared" si="5"/>
        <v>1.1803356376409333</v>
      </c>
      <c r="S33" s="148">
        <f t="shared" si="5"/>
        <v>0.99719232291693483</v>
      </c>
      <c r="T33" s="159">
        <f t="shared" si="5"/>
        <v>0.73022467567876304</v>
      </c>
      <c r="V33" s="161">
        <f t="shared" ref="V33:V36" si="14">+AVERAGE(Q33:S33)</f>
        <v>1.0899251081070789</v>
      </c>
      <c r="X33" s="15">
        <f t="shared" ref="X33:X36" si="15">+HARMEAN(F33:H33)</f>
        <v>193103.05083890317</v>
      </c>
      <c r="Y33" s="15">
        <f t="shared" si="6"/>
        <v>193918.05083890317</v>
      </c>
      <c r="Z33" s="15"/>
      <c r="AA33" s="15"/>
      <c r="AB33" s="147">
        <f t="shared" si="8"/>
        <v>193918.05083890317</v>
      </c>
    </row>
    <row r="34" spans="1:28" ht="38.25" x14ac:dyDescent="0.25">
      <c r="A34" s="137" t="s">
        <v>104</v>
      </c>
      <c r="B34" s="13" t="s">
        <v>54</v>
      </c>
      <c r="C34" s="69" t="s">
        <v>183</v>
      </c>
      <c r="D34" s="14" t="s">
        <v>119</v>
      </c>
      <c r="E34" s="14">
        <v>1</v>
      </c>
      <c r="F34" s="15">
        <v>4807563.0252100844</v>
      </c>
      <c r="G34" s="15">
        <v>2487286</v>
      </c>
      <c r="H34" s="15">
        <v>2984743</v>
      </c>
      <c r="I34" s="149">
        <v>5800000</v>
      </c>
      <c r="K34" s="65">
        <f t="shared" si="1"/>
        <v>4019898.0063025211</v>
      </c>
      <c r="M34" s="15">
        <f t="shared" si="2"/>
        <v>1550228.4497144502</v>
      </c>
      <c r="N34" s="147">
        <f t="shared" si="3"/>
        <v>2469669.5565880709</v>
      </c>
      <c r="O34" s="147">
        <f t="shared" si="4"/>
        <v>5570126.4560169708</v>
      </c>
      <c r="Q34" s="148">
        <f t="shared" si="5"/>
        <v>1.195941543211454</v>
      </c>
      <c r="R34" s="148">
        <f t="shared" si="5"/>
        <v>0.61874355918989876</v>
      </c>
      <c r="S34" s="148">
        <f t="shared" si="5"/>
        <v>0.7424922212753724</v>
      </c>
      <c r="T34" s="159">
        <f t="shared" si="5"/>
        <v>1.4428226763232748</v>
      </c>
      <c r="V34" s="161">
        <f t="shared" si="14"/>
        <v>0.85239244122557489</v>
      </c>
      <c r="X34" s="15">
        <f t="shared" si="15"/>
        <v>3174309.4162843744</v>
      </c>
      <c r="Y34" s="15">
        <f t="shared" si="6"/>
        <v>3175124.4162843744</v>
      </c>
      <c r="Z34" s="15">
        <f>+((Y34*10%)+Y34)</f>
        <v>3492636.8579128119</v>
      </c>
      <c r="AA34" s="15"/>
      <c r="AB34" s="147">
        <f t="shared" si="8"/>
        <v>6667761.2741971863</v>
      </c>
    </row>
    <row r="35" spans="1:28" ht="38.25" x14ac:dyDescent="0.25">
      <c r="A35" s="137" t="s">
        <v>105</v>
      </c>
      <c r="B35" s="13" t="s">
        <v>55</v>
      </c>
      <c r="C35" s="69" t="s">
        <v>184</v>
      </c>
      <c r="D35" s="14" t="s">
        <v>119</v>
      </c>
      <c r="E35" s="14">
        <v>1</v>
      </c>
      <c r="F35" s="48">
        <v>1015258</v>
      </c>
      <c r="G35" s="48">
        <v>775723</v>
      </c>
      <c r="H35" s="48">
        <v>995858</v>
      </c>
      <c r="I35" s="149">
        <v>504000</v>
      </c>
      <c r="K35" s="65">
        <f t="shared" si="1"/>
        <v>822709.75</v>
      </c>
      <c r="M35" s="15">
        <f t="shared" si="2"/>
        <v>238634.17223632633</v>
      </c>
      <c r="N35" s="147">
        <f t="shared" si="3"/>
        <v>584075.57776367362</v>
      </c>
      <c r="O35" s="147">
        <f t="shared" si="4"/>
        <v>1061343.9222363264</v>
      </c>
      <c r="Q35" s="148">
        <f t="shared" si="5"/>
        <v>1.2340415316580362</v>
      </c>
      <c r="R35" s="148">
        <f t="shared" si="5"/>
        <v>0.9428878167543292</v>
      </c>
      <c r="S35" s="148">
        <f t="shared" si="5"/>
        <v>1.2104609189328315</v>
      </c>
      <c r="T35" s="159">
        <f t="shared" si="5"/>
        <v>0.61260973265480323</v>
      </c>
      <c r="V35" s="161">
        <f t="shared" si="14"/>
        <v>1.1291300891150657</v>
      </c>
      <c r="X35" s="15">
        <f t="shared" si="15"/>
        <v>915122.2603389424</v>
      </c>
      <c r="Y35" s="15">
        <f t="shared" si="6"/>
        <v>915937.2603389424</v>
      </c>
      <c r="Z35" s="15">
        <f>+((Y35*10%)+Y35)</f>
        <v>1007530.9863728366</v>
      </c>
      <c r="AA35" s="15"/>
      <c r="AB35" s="147">
        <f t="shared" si="8"/>
        <v>1923468.2467117789</v>
      </c>
    </row>
    <row r="36" spans="1:28" ht="114.75" x14ac:dyDescent="0.25">
      <c r="A36" s="137" t="s">
        <v>106</v>
      </c>
      <c r="B36" s="13" t="s">
        <v>56</v>
      </c>
      <c r="C36" s="69" t="s">
        <v>57</v>
      </c>
      <c r="D36" s="14" t="s">
        <v>119</v>
      </c>
      <c r="E36" s="14">
        <v>1</v>
      </c>
      <c r="F36" s="134">
        <f>+CAMINADORA!H3</f>
        <v>3100000</v>
      </c>
      <c r="G36" s="134">
        <f>+CAMINADORA!H4</f>
        <v>3559900</v>
      </c>
      <c r="H36" s="60">
        <f>+CAMINADORA!H5</f>
        <v>3500000</v>
      </c>
      <c r="I36" s="149">
        <v>1859900</v>
      </c>
      <c r="K36" s="65">
        <f t="shared" si="1"/>
        <v>3004950</v>
      </c>
      <c r="M36" s="15">
        <f t="shared" si="2"/>
        <v>790193.64926158031</v>
      </c>
      <c r="N36" s="147">
        <f t="shared" si="3"/>
        <v>2214756.3507384197</v>
      </c>
      <c r="O36" s="147">
        <f t="shared" si="4"/>
        <v>3795143.6492615803</v>
      </c>
      <c r="Q36" s="148">
        <f t="shared" si="5"/>
        <v>1.0316311419491173</v>
      </c>
      <c r="R36" s="148">
        <f t="shared" si="5"/>
        <v>1.1846786136208589</v>
      </c>
      <c r="S36" s="148">
        <f t="shared" si="5"/>
        <v>1.1647448376844873</v>
      </c>
      <c r="T36" s="159">
        <f t="shared" si="5"/>
        <v>0.61894540674553655</v>
      </c>
      <c r="V36" s="161">
        <f t="shared" si="14"/>
        <v>1.1270181977514879</v>
      </c>
      <c r="X36" s="15">
        <f t="shared" si="15"/>
        <v>3373812.7210270744</v>
      </c>
      <c r="Y36" s="15">
        <f t="shared" si="6"/>
        <v>3374627.7210270744</v>
      </c>
      <c r="Z36" s="15"/>
      <c r="AA36" s="15"/>
      <c r="AB36" s="147">
        <f t="shared" si="8"/>
        <v>3374627.7210270744</v>
      </c>
    </row>
    <row r="37" spans="1:28" ht="114.75" x14ac:dyDescent="0.25">
      <c r="A37" s="137" t="s">
        <v>107</v>
      </c>
      <c r="B37" s="13" t="s">
        <v>58</v>
      </c>
      <c r="C37" s="69" t="s">
        <v>59</v>
      </c>
      <c r="D37" s="14" t="s">
        <v>119</v>
      </c>
      <c r="E37" s="14">
        <v>1</v>
      </c>
      <c r="F37" s="15">
        <v>2098999</v>
      </c>
      <c r="G37" s="48">
        <v>2130202</v>
      </c>
      <c r="H37" s="48">
        <v>2250458</v>
      </c>
      <c r="I37" s="149">
        <v>1859900</v>
      </c>
      <c r="K37" s="65">
        <f t="shared" si="1"/>
        <v>2084889.75</v>
      </c>
      <c r="M37" s="15">
        <f t="shared" ref="M37" si="16">+STDEV(F37:I37)</f>
        <v>163590.4479166902</v>
      </c>
      <c r="N37" s="147">
        <f t="shared" ref="N37" si="17">+K37-M37</f>
        <v>1921299.3020833097</v>
      </c>
      <c r="O37" s="147">
        <f t="shared" ref="O37" si="18">+K37+M37</f>
        <v>2248480.1979166903</v>
      </c>
      <c r="Q37" s="148">
        <f t="shared" si="5"/>
        <v>1.006767384222595</v>
      </c>
      <c r="R37" s="186">
        <f t="shared" si="5"/>
        <v>1.0217336432298159</v>
      </c>
      <c r="S37" s="148">
        <f t="shared" si="5"/>
        <v>1.0794134318133608</v>
      </c>
      <c r="T37" s="159">
        <f t="shared" si="5"/>
        <v>0.8920855407342283</v>
      </c>
      <c r="V37" s="161">
        <f>+AVERAGE(Q37,S37,T37)</f>
        <v>0.99275545225672801</v>
      </c>
      <c r="X37" s="15">
        <f>+HARMEAN(F37,H37,I37)</f>
        <v>2056999.6276467857</v>
      </c>
      <c r="Y37" s="15">
        <f t="shared" si="6"/>
        <v>2057814.6276467857</v>
      </c>
      <c r="Z37" s="15"/>
      <c r="AA37" s="15"/>
      <c r="AB37" s="147">
        <f t="shared" si="8"/>
        <v>2057814.6276467857</v>
      </c>
    </row>
    <row r="38" spans="1:28" ht="51" x14ac:dyDescent="0.25">
      <c r="A38" s="137" t="s">
        <v>108</v>
      </c>
      <c r="B38" s="13" t="s">
        <v>60</v>
      </c>
      <c r="C38" s="69" t="s">
        <v>73</v>
      </c>
      <c r="D38" s="14" t="s">
        <v>119</v>
      </c>
      <c r="E38" s="14">
        <v>1</v>
      </c>
      <c r="F38" s="134">
        <f>+'KIT DE MANCUERNAS'!G3</f>
        <v>329900</v>
      </c>
      <c r="G38" s="134">
        <f>+'KIT DE MANCUERNAS'!G4</f>
        <v>287092</v>
      </c>
      <c r="H38" s="158">
        <f>+'KIT DE MANCUERNAS'!G5</f>
        <v>108573</v>
      </c>
      <c r="I38" s="136">
        <v>231800</v>
      </c>
      <c r="K38" s="65">
        <f t="shared" si="1"/>
        <v>239341.25</v>
      </c>
      <c r="M38" s="15">
        <f t="shared" si="2"/>
        <v>95983.031463465799</v>
      </c>
      <c r="N38" s="147">
        <f t="shared" si="3"/>
        <v>143358.2185365342</v>
      </c>
      <c r="O38" s="147">
        <f t="shared" si="4"/>
        <v>335324.28146346577</v>
      </c>
      <c r="Q38" s="148">
        <f t="shared" si="5"/>
        <v>1.3783666626626208</v>
      </c>
      <c r="R38" s="148">
        <f t="shared" si="5"/>
        <v>1.1995090691637986</v>
      </c>
      <c r="S38" s="159">
        <f t="shared" si="5"/>
        <v>0.45363262705446722</v>
      </c>
      <c r="T38" s="148">
        <f t="shared" si="5"/>
        <v>0.96849164111911334</v>
      </c>
      <c r="V38" s="161">
        <f>+AVERAGE(Q38,R38,T38)</f>
        <v>1.182122457648511</v>
      </c>
      <c r="X38" s="48">
        <f>+HARMEAN(F38:G38,I38)</f>
        <v>277046.95303456788</v>
      </c>
      <c r="Y38" s="15">
        <f t="shared" si="6"/>
        <v>277861.95303456788</v>
      </c>
      <c r="Z38" s="48"/>
      <c r="AA38" s="48"/>
      <c r="AB38" s="147">
        <f t="shared" si="8"/>
        <v>277861.95303456788</v>
      </c>
    </row>
    <row r="39" spans="1:28" ht="38.25" x14ac:dyDescent="0.25">
      <c r="A39" s="137" t="s">
        <v>109</v>
      </c>
      <c r="B39" s="13" t="s">
        <v>61</v>
      </c>
      <c r="C39" s="69" t="s">
        <v>62</v>
      </c>
      <c r="D39" s="14" t="s">
        <v>119</v>
      </c>
      <c r="E39" s="14">
        <v>1</v>
      </c>
      <c r="F39" s="22">
        <v>94148</v>
      </c>
      <c r="G39" s="15">
        <v>117487</v>
      </c>
      <c r="H39" s="15">
        <v>100737</v>
      </c>
      <c r="I39" s="149">
        <v>232700</v>
      </c>
      <c r="K39" s="65">
        <f t="shared" si="1"/>
        <v>136268</v>
      </c>
      <c r="M39" s="15">
        <f t="shared" si="2"/>
        <v>65034.357447941824</v>
      </c>
      <c r="N39" s="147">
        <f t="shared" si="3"/>
        <v>71233.642552058183</v>
      </c>
      <c r="O39" s="147">
        <f t="shared" si="4"/>
        <v>201302.35744794182</v>
      </c>
      <c r="Q39" s="148">
        <f t="shared" si="5"/>
        <v>0.69090322012504768</v>
      </c>
      <c r="R39" s="148">
        <f t="shared" si="5"/>
        <v>0.8621760061056154</v>
      </c>
      <c r="S39" s="148">
        <f t="shared" si="5"/>
        <v>0.73925646520092758</v>
      </c>
      <c r="T39" s="159">
        <f t="shared" si="5"/>
        <v>1.7076643085684093</v>
      </c>
      <c r="V39" s="161">
        <f t="shared" ref="V39:V41" si="19">+AVERAGE(Q39:S39)</f>
        <v>0.76411189714386352</v>
      </c>
      <c r="X39" s="15">
        <f t="shared" ref="X39:X41" si="20">+HARMEAN(F39:H39)</f>
        <v>103234.70908634488</v>
      </c>
      <c r="Y39" s="15">
        <f t="shared" si="6"/>
        <v>104049.70908634488</v>
      </c>
      <c r="Z39" s="15"/>
      <c r="AA39" s="15"/>
      <c r="AB39" s="147">
        <f t="shared" si="8"/>
        <v>104049.70908634488</v>
      </c>
    </row>
    <row r="40" spans="1:28" ht="63.75" x14ac:dyDescent="0.25">
      <c r="A40" s="137" t="s">
        <v>110</v>
      </c>
      <c r="B40" s="13" t="s">
        <v>63</v>
      </c>
      <c r="C40" s="69" t="s">
        <v>74</v>
      </c>
      <c r="D40" s="14" t="s">
        <v>119</v>
      </c>
      <c r="E40" s="14">
        <v>1</v>
      </c>
      <c r="F40" s="22">
        <v>5462183</v>
      </c>
      <c r="G40" s="15">
        <v>5735292</v>
      </c>
      <c r="H40" s="15">
        <v>5805000</v>
      </c>
      <c r="I40" s="149">
        <v>2399900</v>
      </c>
      <c r="K40" s="65">
        <f t="shared" si="1"/>
        <v>4850593.75</v>
      </c>
      <c r="M40" s="15">
        <f t="shared" si="2"/>
        <v>1640479.9653959763</v>
      </c>
      <c r="N40" s="147">
        <f t="shared" si="3"/>
        <v>3210113.7846040237</v>
      </c>
      <c r="O40" s="147">
        <f t="shared" si="4"/>
        <v>6491073.7153959759</v>
      </c>
      <c r="Q40" s="148">
        <f t="shared" si="5"/>
        <v>1.1260854405710641</v>
      </c>
      <c r="R40" s="148">
        <f t="shared" si="5"/>
        <v>1.1823896816755681</v>
      </c>
      <c r="S40" s="148">
        <f t="shared" si="5"/>
        <v>1.196760705841424</v>
      </c>
      <c r="T40" s="159">
        <f t="shared" si="5"/>
        <v>0.49476417191194377</v>
      </c>
      <c r="V40" s="161">
        <f t="shared" si="19"/>
        <v>1.1684119426960187</v>
      </c>
      <c r="X40" s="15">
        <f t="shared" si="20"/>
        <v>5663569.1198407067</v>
      </c>
      <c r="Y40" s="15">
        <f t="shared" si="6"/>
        <v>5664384.1198407067</v>
      </c>
      <c r="Z40" s="15"/>
      <c r="AA40" s="15"/>
      <c r="AB40" s="147">
        <f t="shared" si="8"/>
        <v>5664384.1198407067</v>
      </c>
    </row>
    <row r="41" spans="1:28" ht="25.5" x14ac:dyDescent="0.25">
      <c r="A41" s="137" t="s">
        <v>111</v>
      </c>
      <c r="B41" s="13" t="s">
        <v>64</v>
      </c>
      <c r="C41" s="69" t="s">
        <v>185</v>
      </c>
      <c r="D41" s="14" t="s">
        <v>119</v>
      </c>
      <c r="E41" s="14">
        <v>1</v>
      </c>
      <c r="F41" s="132">
        <f>+'INDEXACION VALORES 2026'!H10</f>
        <v>4606791.5460000001</v>
      </c>
      <c r="G41" s="132">
        <f>+'INDEXACION VALORES 2026'!K10</f>
        <v>4081453.4</v>
      </c>
      <c r="H41" s="132">
        <f>+'INDEXACION VALORES 2026'!N10</f>
        <v>4338904.2580000004</v>
      </c>
      <c r="I41" s="149">
        <v>3199900</v>
      </c>
      <c r="K41" s="65">
        <f t="shared" si="1"/>
        <v>4056762.301</v>
      </c>
      <c r="M41" s="15">
        <f t="shared" si="2"/>
        <v>610180.00281334971</v>
      </c>
      <c r="N41" s="147">
        <f t="shared" si="3"/>
        <v>3446582.2981866505</v>
      </c>
      <c r="O41" s="147">
        <f t="shared" si="4"/>
        <v>4666942.3038133495</v>
      </c>
      <c r="Q41" s="148">
        <f t="shared" si="5"/>
        <v>1.1355833061415546</v>
      </c>
      <c r="R41" s="148">
        <f t="shared" si="5"/>
        <v>1.006086405159581</v>
      </c>
      <c r="S41" s="148">
        <f t="shared" si="5"/>
        <v>1.0695485552432913</v>
      </c>
      <c r="T41" s="159">
        <f t="shared" si="5"/>
        <v>0.78878173345557323</v>
      </c>
      <c r="V41" s="161">
        <f t="shared" si="19"/>
        <v>1.0704060888481424</v>
      </c>
      <c r="X41" s="15">
        <f t="shared" si="20"/>
        <v>4331788.9795121262</v>
      </c>
      <c r="Y41" s="15">
        <f t="shared" si="6"/>
        <v>4332603.9795121262</v>
      </c>
      <c r="Z41" s="15">
        <f>+((Y41*10%)+Y41)</f>
        <v>4765864.3774633389</v>
      </c>
      <c r="AA41" s="15"/>
      <c r="AB41" s="147">
        <f t="shared" si="8"/>
        <v>9098468.356975466</v>
      </c>
    </row>
    <row r="42" spans="1:28" ht="25.5" x14ac:dyDescent="0.25">
      <c r="A42" s="137" t="s">
        <v>112</v>
      </c>
      <c r="B42" s="13" t="s">
        <v>65</v>
      </c>
      <c r="C42" s="69" t="s">
        <v>66</v>
      </c>
      <c r="D42" s="14" t="s">
        <v>119</v>
      </c>
      <c r="E42" s="14">
        <v>1</v>
      </c>
      <c r="F42" s="22">
        <v>3218803.6669213101</v>
      </c>
      <c r="G42" s="48">
        <v>2958903</v>
      </c>
      <c r="H42" s="15">
        <v>3175895</v>
      </c>
      <c r="I42" s="149">
        <v>2899900</v>
      </c>
      <c r="K42" s="65">
        <f t="shared" si="1"/>
        <v>3063375.4167303275</v>
      </c>
      <c r="M42" s="15">
        <f t="shared" si="2"/>
        <v>157540.78340675356</v>
      </c>
      <c r="N42" s="147">
        <f t="shared" si="3"/>
        <v>2905834.633323574</v>
      </c>
      <c r="O42" s="147">
        <f t="shared" si="4"/>
        <v>3220916.2001370811</v>
      </c>
      <c r="Q42" s="148">
        <f t="shared" si="5"/>
        <v>1.050737578339934</v>
      </c>
      <c r="R42" s="186">
        <f t="shared" si="5"/>
        <v>0.96589630635547918</v>
      </c>
      <c r="S42" s="148">
        <f t="shared" si="5"/>
        <v>1.0367305889624752</v>
      </c>
      <c r="T42" s="159">
        <f t="shared" si="5"/>
        <v>0.9466355263421119</v>
      </c>
      <c r="V42" s="161">
        <f>+AVERAGE(Q42,S42:T42)</f>
        <v>1.011367897881507</v>
      </c>
      <c r="X42" s="15">
        <f>+HARMEAN(F42,G42,H42)</f>
        <v>3113617.8062990969</v>
      </c>
      <c r="Y42" s="15">
        <f t="shared" si="6"/>
        <v>3114432.8062990969</v>
      </c>
      <c r="Z42" s="15"/>
      <c r="AA42" s="15"/>
      <c r="AB42" s="147">
        <f t="shared" si="8"/>
        <v>3114432.8062990969</v>
      </c>
    </row>
    <row r="43" spans="1:28" ht="57" customHeight="1" x14ac:dyDescent="0.25">
      <c r="A43" s="137" t="s">
        <v>113</v>
      </c>
      <c r="B43" s="13" t="s">
        <v>67</v>
      </c>
      <c r="C43" s="69" t="s">
        <v>68</v>
      </c>
      <c r="D43" s="14" t="s">
        <v>119</v>
      </c>
      <c r="E43" s="14">
        <v>1</v>
      </c>
      <c r="F43" s="22">
        <f>+'INDEXACION VALORES 2026'!L20</f>
        <v>504650.29395235411</v>
      </c>
      <c r="G43" s="157">
        <f>+'INDEXACION VALORES 2026'!S20</f>
        <v>553229.36149938731</v>
      </c>
      <c r="H43" s="22">
        <f>+'INDEXACION VALORES 2026'!Z20</f>
        <v>472316.44122847414</v>
      </c>
      <c r="I43" s="136">
        <v>419000</v>
      </c>
      <c r="K43" s="65">
        <f t="shared" si="1"/>
        <v>487299.02417005389</v>
      </c>
      <c r="M43" s="15">
        <f t="shared" si="2"/>
        <v>56382.947887934999</v>
      </c>
      <c r="N43" s="147">
        <f t="shared" si="3"/>
        <v>430916.07628211891</v>
      </c>
      <c r="O43" s="147">
        <f t="shared" si="4"/>
        <v>543681.97205798887</v>
      </c>
      <c r="Q43" s="148">
        <f t="shared" si="5"/>
        <v>1.035607027557365</v>
      </c>
      <c r="R43" s="159">
        <f t="shared" si="5"/>
        <v>1.1352974950886123</v>
      </c>
      <c r="S43" s="148">
        <f t="shared" si="5"/>
        <v>0.96925382116843473</v>
      </c>
      <c r="T43" s="148">
        <f t="shared" si="5"/>
        <v>0.85984165618558794</v>
      </c>
      <c r="V43" s="161">
        <f>+AVERAGE(Q43,S43:T43)</f>
        <v>0.95490083497046252</v>
      </c>
      <c r="X43" s="15">
        <f t="shared" ref="X43" si="21">+HARMEAN(F43,H43,I43)</f>
        <v>462575.36325681896</v>
      </c>
      <c r="Y43" s="15">
        <f t="shared" si="6"/>
        <v>463390.36325681896</v>
      </c>
      <c r="Z43" s="15"/>
      <c r="AA43" s="15"/>
      <c r="AB43" s="147">
        <f t="shared" si="8"/>
        <v>463390.36325681896</v>
      </c>
    </row>
    <row r="44" spans="1:28" customFormat="1" ht="15" customHeight="1" thickBot="1" x14ac:dyDescent="0.3">
      <c r="B44" s="239" t="s">
        <v>117</v>
      </c>
      <c r="C44" s="240"/>
      <c r="D44" s="240"/>
      <c r="E44" s="240"/>
      <c r="F44" s="240"/>
      <c r="G44" s="112"/>
    </row>
    <row r="45" spans="1:28" customFormat="1" ht="139.5" customHeight="1" thickBot="1" x14ac:dyDescent="0.3">
      <c r="B45" s="205" t="s">
        <v>186</v>
      </c>
      <c r="C45" s="206"/>
      <c r="D45" s="206"/>
      <c r="E45" s="206"/>
      <c r="F45" s="206"/>
      <c r="G45" s="206"/>
    </row>
    <row r="46" spans="1:28" ht="15.75" thickBot="1" x14ac:dyDescent="0.3"/>
    <row r="47" spans="1:28" ht="15.75" thickBot="1" x14ac:dyDescent="0.3">
      <c r="A47" s="200" t="s">
        <v>75</v>
      </c>
      <c r="B47" s="201"/>
      <c r="C47" s="201"/>
      <c r="D47" s="201"/>
      <c r="E47" s="201"/>
      <c r="F47" s="201"/>
      <c r="G47" s="202"/>
    </row>
    <row r="48" spans="1:28" ht="26.25" thickBot="1" x14ac:dyDescent="0.3">
      <c r="A48" s="17" t="s">
        <v>114</v>
      </c>
      <c r="B48" s="18" t="s">
        <v>116</v>
      </c>
      <c r="C48" s="19" t="s">
        <v>115</v>
      </c>
      <c r="D48" s="20" t="s">
        <v>119</v>
      </c>
      <c r="E48" s="20">
        <v>1</v>
      </c>
      <c r="F48" s="27">
        <v>815.1260504201681</v>
      </c>
      <c r="G48" s="43"/>
      <c r="H48" s="43"/>
    </row>
    <row r="49" spans="1:8" x14ac:dyDescent="0.25">
      <c r="A49" s="21"/>
      <c r="B49" s="21"/>
      <c r="C49" s="21"/>
      <c r="D49" s="21"/>
      <c r="E49" s="21"/>
      <c r="F49" s="21"/>
      <c r="G49" s="21"/>
      <c r="H49" s="21"/>
    </row>
    <row r="50" spans="1:8" x14ac:dyDescent="0.25">
      <c r="A50" s="21"/>
      <c r="B50" s="21"/>
      <c r="C50" s="21"/>
      <c r="D50" s="21"/>
      <c r="E50" s="21"/>
      <c r="F50" s="21"/>
      <c r="G50" s="21"/>
      <c r="H50" s="21"/>
    </row>
    <row r="51" spans="1:8" x14ac:dyDescent="0.25">
      <c r="A51" s="21"/>
      <c r="B51" s="21"/>
      <c r="C51" s="21"/>
      <c r="D51" s="21"/>
      <c r="E51" s="21"/>
      <c r="F51" s="21"/>
      <c r="G51" s="21"/>
      <c r="H51" s="21"/>
    </row>
    <row r="52" spans="1:8" ht="18.75" x14ac:dyDescent="0.25">
      <c r="A52" s="199"/>
      <c r="B52" s="199"/>
      <c r="C52" s="199"/>
      <c r="D52" s="199"/>
      <c r="E52" s="199"/>
      <c r="F52" s="199"/>
      <c r="G52" s="199"/>
    </row>
  </sheetData>
  <mergeCells count="9">
    <mergeCell ref="M4:O4"/>
    <mergeCell ref="B44:F44"/>
    <mergeCell ref="B45:G45"/>
    <mergeCell ref="A47:G47"/>
    <mergeCell ref="A52:G52"/>
    <mergeCell ref="A1:I1"/>
    <mergeCell ref="A2:I2"/>
    <mergeCell ref="A3:I3"/>
    <mergeCell ref="A4:I4"/>
  </mergeCells>
  <conditionalFormatting sqref="F23:F25">
    <cfRule type="cellIs" dxfId="1" priority="2" stopIfTrue="1" operator="greaterThan">
      <formula>#REF!</formula>
    </cfRule>
  </conditionalFormatting>
  <conditionalFormatting sqref="G23:G24">
    <cfRule type="cellIs" dxfId="0" priority="1" stopIfTrue="1" operator="greaterThan">
      <formula>#REF!</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1B34E-8E57-41D0-9575-5066F48CB4C3}">
  <dimension ref="A1:F52"/>
  <sheetViews>
    <sheetView showGridLines="0" topLeftCell="A5" zoomScale="95" zoomScaleNormal="95" workbookViewId="0">
      <selection activeCell="D7" sqref="D7"/>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5.140625" style="2" customWidth="1"/>
    <col min="7" max="16384" width="11.42578125" style="2"/>
  </cols>
  <sheetData>
    <row r="1" spans="1:6" ht="15.6" customHeight="1" x14ac:dyDescent="0.25">
      <c r="A1" s="237" t="s">
        <v>0</v>
      </c>
      <c r="B1" s="238"/>
      <c r="C1" s="238"/>
      <c r="D1" s="238"/>
      <c r="E1" s="238"/>
    </row>
    <row r="2" spans="1:6" ht="16.149999999999999" customHeight="1" x14ac:dyDescent="0.25">
      <c r="A2" s="237" t="s">
        <v>1</v>
      </c>
      <c r="B2" s="238"/>
      <c r="C2" s="238"/>
      <c r="D2" s="238"/>
      <c r="E2" s="238"/>
    </row>
    <row r="3" spans="1:6" ht="16.149999999999999" customHeight="1" thickBot="1" x14ac:dyDescent="0.3">
      <c r="A3" s="237" t="s">
        <v>118</v>
      </c>
      <c r="B3" s="238"/>
      <c r="C3" s="238"/>
      <c r="D3" s="238"/>
      <c r="E3" s="238"/>
    </row>
    <row r="4" spans="1:6" ht="69.599999999999994" customHeight="1" thickBot="1" x14ac:dyDescent="0.3">
      <c r="A4" s="239" t="s">
        <v>2</v>
      </c>
      <c r="B4" s="240"/>
      <c r="C4" s="240"/>
      <c r="D4" s="240"/>
      <c r="E4" s="240"/>
      <c r="F4" s="165" t="s">
        <v>384</v>
      </c>
    </row>
    <row r="5" spans="1:6" ht="25.5" x14ac:dyDescent="0.25">
      <c r="A5" s="3" t="s">
        <v>3</v>
      </c>
      <c r="B5" s="3" t="s">
        <v>4</v>
      </c>
      <c r="C5" s="3" t="s">
        <v>5</v>
      </c>
      <c r="D5" s="3" t="s">
        <v>6</v>
      </c>
      <c r="E5" s="3" t="s">
        <v>7</v>
      </c>
      <c r="F5" s="164" t="s">
        <v>380</v>
      </c>
    </row>
    <row r="6" spans="1:6" ht="51" x14ac:dyDescent="0.25">
      <c r="A6" s="137" t="s">
        <v>76</v>
      </c>
      <c r="B6" s="13" t="s">
        <v>9</v>
      </c>
      <c r="C6" s="69" t="s">
        <v>176</v>
      </c>
      <c r="D6" s="14" t="s">
        <v>119</v>
      </c>
      <c r="E6" s="14">
        <v>1</v>
      </c>
      <c r="F6" s="147">
        <v>5904432.36343766</v>
      </c>
    </row>
    <row r="7" spans="1:6" ht="114.75" x14ac:dyDescent="0.25">
      <c r="A7" s="137" t="s">
        <v>77</v>
      </c>
      <c r="B7" s="13" t="s">
        <v>10</v>
      </c>
      <c r="C7" s="69" t="s">
        <v>177</v>
      </c>
      <c r="D7" s="14" t="s">
        <v>119</v>
      </c>
      <c r="E7" s="14">
        <v>1</v>
      </c>
      <c r="F7" s="147">
        <v>1719167.7548831259</v>
      </c>
    </row>
    <row r="8" spans="1:6" ht="38.25" x14ac:dyDescent="0.25">
      <c r="A8" s="137" t="s">
        <v>78</v>
      </c>
      <c r="B8" s="13" t="s">
        <v>11</v>
      </c>
      <c r="C8" s="69" t="s">
        <v>178</v>
      </c>
      <c r="D8" s="14" t="s">
        <v>119</v>
      </c>
      <c r="E8" s="14">
        <v>1</v>
      </c>
      <c r="F8" s="147">
        <v>1034593.5619346551</v>
      </c>
    </row>
    <row r="9" spans="1:6" ht="51" x14ac:dyDescent="0.25">
      <c r="A9" s="137" t="s">
        <v>79</v>
      </c>
      <c r="B9" s="13" t="s">
        <v>49</v>
      </c>
      <c r="C9" s="69" t="s">
        <v>462</v>
      </c>
      <c r="D9" s="14" t="s">
        <v>119</v>
      </c>
      <c r="E9" s="14">
        <v>1</v>
      </c>
      <c r="F9" s="147">
        <v>6173784.5625406625</v>
      </c>
    </row>
    <row r="10" spans="1:6" ht="63.75" x14ac:dyDescent="0.25">
      <c r="A10" s="137" t="s">
        <v>80</v>
      </c>
      <c r="B10" s="13" t="s">
        <v>12</v>
      </c>
      <c r="C10" s="69" t="s">
        <v>33</v>
      </c>
      <c r="D10" s="14" t="s">
        <v>119</v>
      </c>
      <c r="E10" s="14">
        <v>1</v>
      </c>
      <c r="F10" s="147">
        <v>344970.78002225835</v>
      </c>
    </row>
    <row r="11" spans="1:6" ht="25.5" x14ac:dyDescent="0.25">
      <c r="A11" s="137" t="s">
        <v>81</v>
      </c>
      <c r="B11" s="13" t="s">
        <v>13</v>
      </c>
      <c r="C11" s="69" t="s">
        <v>34</v>
      </c>
      <c r="D11" s="14" t="s">
        <v>119</v>
      </c>
      <c r="E11" s="14">
        <v>1</v>
      </c>
      <c r="F11" s="147">
        <v>62115.17285637583</v>
      </c>
    </row>
    <row r="12" spans="1:6" ht="63.75" x14ac:dyDescent="0.25">
      <c r="A12" s="137" t="s">
        <v>82</v>
      </c>
      <c r="B12" s="13" t="s">
        <v>46</v>
      </c>
      <c r="C12" s="69" t="s">
        <v>50</v>
      </c>
      <c r="D12" s="14" t="s">
        <v>119</v>
      </c>
      <c r="E12" s="14">
        <v>1</v>
      </c>
      <c r="F12" s="147">
        <v>1692330.0076736023</v>
      </c>
    </row>
    <row r="13" spans="1:6" ht="38.25" x14ac:dyDescent="0.25">
      <c r="A13" s="137" t="s">
        <v>83</v>
      </c>
      <c r="B13" s="13" t="s">
        <v>51</v>
      </c>
      <c r="C13" s="69" t="s">
        <v>47</v>
      </c>
      <c r="D13" s="14" t="s">
        <v>119</v>
      </c>
      <c r="E13" s="14">
        <v>1</v>
      </c>
      <c r="F13" s="147">
        <v>742987.82476932893</v>
      </c>
    </row>
    <row r="14" spans="1:6" ht="51" x14ac:dyDescent="0.25">
      <c r="A14" s="137" t="s">
        <v>84</v>
      </c>
      <c r="B14" s="13" t="s">
        <v>52</v>
      </c>
      <c r="C14" s="69" t="s">
        <v>48</v>
      </c>
      <c r="D14" s="14" t="s">
        <v>119</v>
      </c>
      <c r="E14" s="14">
        <v>1</v>
      </c>
      <c r="F14" s="147">
        <v>367183.96951231069</v>
      </c>
    </row>
    <row r="15" spans="1:6" ht="25.5" x14ac:dyDescent="0.25">
      <c r="A15" s="137" t="s">
        <v>85</v>
      </c>
      <c r="B15" s="13" t="s">
        <v>14</v>
      </c>
      <c r="C15" s="69" t="s">
        <v>35</v>
      </c>
      <c r="D15" s="14" t="s">
        <v>119</v>
      </c>
      <c r="E15" s="14">
        <v>1</v>
      </c>
      <c r="F15" s="147">
        <v>3455953.5239910306</v>
      </c>
    </row>
    <row r="16" spans="1:6" ht="25.5" x14ac:dyDescent="0.25">
      <c r="A16" s="137" t="s">
        <v>86</v>
      </c>
      <c r="B16" s="13" t="s">
        <v>15</v>
      </c>
      <c r="C16" s="69" t="s">
        <v>36</v>
      </c>
      <c r="D16" s="14" t="s">
        <v>119</v>
      </c>
      <c r="E16" s="14">
        <v>1</v>
      </c>
      <c r="F16" s="147">
        <v>315862.18682978</v>
      </c>
    </row>
    <row r="17" spans="1:6" ht="25.5" x14ac:dyDescent="0.25">
      <c r="A17" s="137" t="s">
        <v>87</v>
      </c>
      <c r="B17" s="13" t="s">
        <v>16</v>
      </c>
      <c r="C17" s="69" t="s">
        <v>37</v>
      </c>
      <c r="D17" s="14" t="s">
        <v>119</v>
      </c>
      <c r="E17" s="14">
        <v>1</v>
      </c>
      <c r="F17" s="147">
        <v>3618278.5295969523</v>
      </c>
    </row>
    <row r="18" spans="1:6" ht="25.5" x14ac:dyDescent="0.25">
      <c r="A18" s="137" t="s">
        <v>88</v>
      </c>
      <c r="B18" s="13" t="s">
        <v>17</v>
      </c>
      <c r="C18" s="69" t="s">
        <v>38</v>
      </c>
      <c r="D18" s="14" t="s">
        <v>119</v>
      </c>
      <c r="E18" s="14">
        <v>1</v>
      </c>
      <c r="F18" s="147">
        <v>1075896.6511468557</v>
      </c>
    </row>
    <row r="19" spans="1:6" ht="25.5" x14ac:dyDescent="0.25">
      <c r="A19" s="137" t="s">
        <v>89</v>
      </c>
      <c r="B19" s="13" t="s">
        <v>18</v>
      </c>
      <c r="C19" s="69" t="s">
        <v>39</v>
      </c>
      <c r="D19" s="14" t="s">
        <v>119</v>
      </c>
      <c r="E19" s="14">
        <v>1</v>
      </c>
      <c r="F19" s="147">
        <v>804257.59001943166</v>
      </c>
    </row>
    <row r="20" spans="1:6" ht="25.5" x14ac:dyDescent="0.25">
      <c r="A20" s="137" t="s">
        <v>90</v>
      </c>
      <c r="B20" s="13" t="s">
        <v>19</v>
      </c>
      <c r="C20" s="69" t="s">
        <v>40</v>
      </c>
      <c r="D20" s="14" t="s">
        <v>119</v>
      </c>
      <c r="E20" s="14">
        <v>1</v>
      </c>
      <c r="F20" s="147">
        <v>235975.39971590208</v>
      </c>
    </row>
    <row r="21" spans="1:6" ht="25.5" x14ac:dyDescent="0.25">
      <c r="A21" s="137" t="s">
        <v>91</v>
      </c>
      <c r="B21" s="13" t="s">
        <v>20</v>
      </c>
      <c r="C21" s="69" t="s">
        <v>179</v>
      </c>
      <c r="D21" s="14" t="s">
        <v>119</v>
      </c>
      <c r="E21" s="14">
        <v>1</v>
      </c>
      <c r="F21" s="147">
        <v>395504.27604352473</v>
      </c>
    </row>
    <row r="22" spans="1:6" ht="25.5" x14ac:dyDescent="0.25">
      <c r="A22" s="137" t="s">
        <v>92</v>
      </c>
      <c r="B22" s="13" t="s">
        <v>21</v>
      </c>
      <c r="C22" s="69" t="s">
        <v>180</v>
      </c>
      <c r="D22" s="14" t="s">
        <v>119</v>
      </c>
      <c r="E22" s="14">
        <v>1</v>
      </c>
      <c r="F22" s="147">
        <v>318533.70253111725</v>
      </c>
    </row>
    <row r="23" spans="1:6" ht="38.25" x14ac:dyDescent="0.25">
      <c r="A23" s="137" t="s">
        <v>93</v>
      </c>
      <c r="B23" s="13" t="s">
        <v>22</v>
      </c>
      <c r="C23" s="69" t="s">
        <v>181</v>
      </c>
      <c r="D23" s="14" t="s">
        <v>119</v>
      </c>
      <c r="E23" s="14">
        <v>1</v>
      </c>
      <c r="F23" s="147">
        <v>373426</v>
      </c>
    </row>
    <row r="24" spans="1:6" ht="99" customHeight="1" x14ac:dyDescent="0.25">
      <c r="A24" s="137" t="s">
        <v>94</v>
      </c>
      <c r="B24" s="13" t="s">
        <v>23</v>
      </c>
      <c r="C24" s="69" t="s">
        <v>182</v>
      </c>
      <c r="D24" s="14" t="s">
        <v>119</v>
      </c>
      <c r="E24" s="14">
        <v>1</v>
      </c>
      <c r="F24" s="147">
        <v>2933576.2958488427</v>
      </c>
    </row>
    <row r="25" spans="1:6" ht="127.5" x14ac:dyDescent="0.25">
      <c r="A25" s="137" t="s">
        <v>95</v>
      </c>
      <c r="B25" s="13" t="s">
        <v>53</v>
      </c>
      <c r="C25" s="69" t="s">
        <v>41</v>
      </c>
      <c r="D25" s="14" t="s">
        <v>119</v>
      </c>
      <c r="E25" s="14">
        <v>1</v>
      </c>
      <c r="F25" s="147">
        <v>459948.41409212578</v>
      </c>
    </row>
    <row r="26" spans="1:6" ht="89.25" x14ac:dyDescent="0.25">
      <c r="A26" s="137" t="s">
        <v>96</v>
      </c>
      <c r="B26" s="13" t="s">
        <v>24</v>
      </c>
      <c r="C26" s="69" t="s">
        <v>69</v>
      </c>
      <c r="D26" s="14" t="s">
        <v>119</v>
      </c>
      <c r="E26" s="14">
        <v>1</v>
      </c>
      <c r="F26" s="147">
        <v>2398610.8306392361</v>
      </c>
    </row>
    <row r="27" spans="1:6" x14ac:dyDescent="0.25">
      <c r="A27" s="137" t="s">
        <v>97</v>
      </c>
      <c r="B27" s="13" t="s">
        <v>25</v>
      </c>
      <c r="C27" s="69" t="s">
        <v>70</v>
      </c>
      <c r="D27" s="14" t="s">
        <v>119</v>
      </c>
      <c r="E27" s="14">
        <v>1</v>
      </c>
      <c r="F27" s="147">
        <v>6135.0466940261276</v>
      </c>
    </row>
    <row r="28" spans="1:6" ht="54.75" customHeight="1" x14ac:dyDescent="0.25">
      <c r="A28" s="137" t="s">
        <v>98</v>
      </c>
      <c r="B28" s="13" t="s">
        <v>26</v>
      </c>
      <c r="C28" s="69" t="s">
        <v>42</v>
      </c>
      <c r="D28" s="14" t="s">
        <v>119</v>
      </c>
      <c r="E28" s="14">
        <v>1</v>
      </c>
      <c r="F28" s="147">
        <v>17311.378408903591</v>
      </c>
    </row>
    <row r="29" spans="1:6" ht="51" x14ac:dyDescent="0.25">
      <c r="A29" s="137" t="s">
        <v>99</v>
      </c>
      <c r="B29" s="13" t="s">
        <v>27</v>
      </c>
      <c r="C29" s="69" t="s">
        <v>43</v>
      </c>
      <c r="D29" s="14" t="s">
        <v>119</v>
      </c>
      <c r="E29" s="14">
        <v>1</v>
      </c>
      <c r="F29" s="147">
        <v>71404.1776019276</v>
      </c>
    </row>
    <row r="30" spans="1:6" x14ac:dyDescent="0.25">
      <c r="A30" s="137" t="s">
        <v>100</v>
      </c>
      <c r="B30" s="13" t="s">
        <v>28</v>
      </c>
      <c r="C30" s="69" t="s">
        <v>44</v>
      </c>
      <c r="D30" s="14" t="s">
        <v>119</v>
      </c>
      <c r="E30" s="14">
        <v>1</v>
      </c>
      <c r="F30" s="147">
        <v>102230.16018782525</v>
      </c>
    </row>
    <row r="31" spans="1:6" ht="25.5" x14ac:dyDescent="0.25">
      <c r="A31" s="137" t="s">
        <v>101</v>
      </c>
      <c r="B31" s="13" t="s">
        <v>29</v>
      </c>
      <c r="C31" s="69" t="s">
        <v>45</v>
      </c>
      <c r="D31" s="14" t="s">
        <v>119</v>
      </c>
      <c r="E31" s="14">
        <v>1</v>
      </c>
      <c r="F31" s="147">
        <v>105569.42722975017</v>
      </c>
    </row>
    <row r="32" spans="1:6" ht="76.5" x14ac:dyDescent="0.25">
      <c r="A32" s="137" t="s">
        <v>102</v>
      </c>
      <c r="B32" s="13" t="s">
        <v>30</v>
      </c>
      <c r="C32" s="69" t="s">
        <v>71</v>
      </c>
      <c r="D32" s="14" t="s">
        <v>119</v>
      </c>
      <c r="E32" s="14">
        <v>1</v>
      </c>
      <c r="F32" s="147">
        <v>352600.61841130938</v>
      </c>
    </row>
    <row r="33" spans="1:6" ht="76.5" x14ac:dyDescent="0.25">
      <c r="A33" s="137" t="s">
        <v>103</v>
      </c>
      <c r="B33" s="13" t="s">
        <v>31</v>
      </c>
      <c r="C33" s="69" t="s">
        <v>72</v>
      </c>
      <c r="D33" s="14" t="s">
        <v>119</v>
      </c>
      <c r="E33" s="14">
        <v>1</v>
      </c>
      <c r="F33" s="147">
        <v>193918.05083890317</v>
      </c>
    </row>
    <row r="34" spans="1:6" ht="38.25" x14ac:dyDescent="0.25">
      <c r="A34" s="137" t="s">
        <v>104</v>
      </c>
      <c r="B34" s="13" t="s">
        <v>54</v>
      </c>
      <c r="C34" s="69" t="s">
        <v>183</v>
      </c>
      <c r="D34" s="14" t="s">
        <v>119</v>
      </c>
      <c r="E34" s="14">
        <v>1</v>
      </c>
      <c r="F34" s="147">
        <v>6667761.2741971863</v>
      </c>
    </row>
    <row r="35" spans="1:6" ht="38.25" x14ac:dyDescent="0.25">
      <c r="A35" s="137" t="s">
        <v>105</v>
      </c>
      <c r="B35" s="13" t="s">
        <v>55</v>
      </c>
      <c r="C35" s="69" t="s">
        <v>184</v>
      </c>
      <c r="D35" s="14" t="s">
        <v>119</v>
      </c>
      <c r="E35" s="14">
        <v>1</v>
      </c>
      <c r="F35" s="147">
        <v>1923468.2467117789</v>
      </c>
    </row>
    <row r="36" spans="1:6" ht="114.75" x14ac:dyDescent="0.25">
      <c r="A36" s="137" t="s">
        <v>106</v>
      </c>
      <c r="B36" s="13" t="s">
        <v>56</v>
      </c>
      <c r="C36" s="69" t="s">
        <v>57</v>
      </c>
      <c r="D36" s="14" t="s">
        <v>119</v>
      </c>
      <c r="E36" s="14">
        <v>1</v>
      </c>
      <c r="F36" s="147">
        <v>3374627.7210270744</v>
      </c>
    </row>
    <row r="37" spans="1:6" ht="114.75" x14ac:dyDescent="0.25">
      <c r="A37" s="137" t="s">
        <v>107</v>
      </c>
      <c r="B37" s="13" t="s">
        <v>58</v>
      </c>
      <c r="C37" s="69" t="s">
        <v>59</v>
      </c>
      <c r="D37" s="14" t="s">
        <v>119</v>
      </c>
      <c r="E37" s="14">
        <v>1</v>
      </c>
      <c r="F37" s="147">
        <v>2057814.6276467857</v>
      </c>
    </row>
    <row r="38" spans="1:6" ht="51" x14ac:dyDescent="0.25">
      <c r="A38" s="137" t="s">
        <v>108</v>
      </c>
      <c r="B38" s="13" t="s">
        <v>60</v>
      </c>
      <c r="C38" s="69" t="s">
        <v>73</v>
      </c>
      <c r="D38" s="14" t="s">
        <v>119</v>
      </c>
      <c r="E38" s="14">
        <v>1</v>
      </c>
      <c r="F38" s="147">
        <v>277861.95303456788</v>
      </c>
    </row>
    <row r="39" spans="1:6" ht="38.25" x14ac:dyDescent="0.25">
      <c r="A39" s="137" t="s">
        <v>109</v>
      </c>
      <c r="B39" s="13" t="s">
        <v>61</v>
      </c>
      <c r="C39" s="69" t="s">
        <v>62</v>
      </c>
      <c r="D39" s="14" t="s">
        <v>119</v>
      </c>
      <c r="E39" s="14">
        <v>1</v>
      </c>
      <c r="F39" s="147">
        <v>104049.70908634488</v>
      </c>
    </row>
    <row r="40" spans="1:6" ht="63.75" x14ac:dyDescent="0.25">
      <c r="A40" s="137" t="s">
        <v>110</v>
      </c>
      <c r="B40" s="13" t="s">
        <v>63</v>
      </c>
      <c r="C40" s="69" t="s">
        <v>74</v>
      </c>
      <c r="D40" s="14" t="s">
        <v>119</v>
      </c>
      <c r="E40" s="14">
        <v>1</v>
      </c>
      <c r="F40" s="147">
        <v>5664384.1198407067</v>
      </c>
    </row>
    <row r="41" spans="1:6" ht="25.5" x14ac:dyDescent="0.25">
      <c r="A41" s="137" t="s">
        <v>111</v>
      </c>
      <c r="B41" s="13" t="s">
        <v>64</v>
      </c>
      <c r="C41" s="69" t="s">
        <v>185</v>
      </c>
      <c r="D41" s="14" t="s">
        <v>119</v>
      </c>
      <c r="E41" s="14">
        <v>1</v>
      </c>
      <c r="F41" s="147">
        <v>9098468.356975466</v>
      </c>
    </row>
    <row r="42" spans="1:6" ht="25.5" x14ac:dyDescent="0.25">
      <c r="A42" s="137" t="s">
        <v>112</v>
      </c>
      <c r="B42" s="13" t="s">
        <v>65</v>
      </c>
      <c r="C42" s="69" t="s">
        <v>66</v>
      </c>
      <c r="D42" s="14" t="s">
        <v>119</v>
      </c>
      <c r="E42" s="14">
        <v>1</v>
      </c>
      <c r="F42" s="147">
        <v>3114432.8062990969</v>
      </c>
    </row>
    <row r="43" spans="1:6" ht="57" customHeight="1" x14ac:dyDescent="0.25">
      <c r="A43" s="137" t="s">
        <v>113</v>
      </c>
      <c r="B43" s="13" t="s">
        <v>67</v>
      </c>
      <c r="C43" s="69" t="s">
        <v>68</v>
      </c>
      <c r="D43" s="14" t="s">
        <v>119</v>
      </c>
      <c r="E43" s="14">
        <v>1</v>
      </c>
      <c r="F43" s="147">
        <v>463390.36325681896</v>
      </c>
    </row>
    <row r="44" spans="1:6" customFormat="1" ht="15" customHeight="1" thickBot="1" x14ac:dyDescent="0.3">
      <c r="B44" s="239" t="s">
        <v>117</v>
      </c>
      <c r="C44" s="240"/>
      <c r="D44" s="240"/>
      <c r="E44" s="240"/>
    </row>
    <row r="45" spans="1:6" customFormat="1" ht="139.5" customHeight="1" thickBot="1" x14ac:dyDescent="0.3">
      <c r="B45" s="205" t="s">
        <v>186</v>
      </c>
      <c r="C45" s="206"/>
      <c r="D45" s="206"/>
      <c r="E45" s="206"/>
    </row>
    <row r="46" spans="1:6" ht="15.75" thickBot="1" x14ac:dyDescent="0.3"/>
    <row r="47" spans="1:6" ht="15.75" thickBot="1" x14ac:dyDescent="0.3">
      <c r="A47" s="200" t="s">
        <v>75</v>
      </c>
      <c r="B47" s="201"/>
      <c r="C47" s="201"/>
      <c r="D47" s="201"/>
      <c r="E47" s="201"/>
    </row>
    <row r="48" spans="1:6" ht="26.25" thickBot="1" x14ac:dyDescent="0.3">
      <c r="A48" s="17" t="s">
        <v>114</v>
      </c>
      <c r="B48" s="18" t="s">
        <v>116</v>
      </c>
      <c r="C48" s="19" t="s">
        <v>115</v>
      </c>
      <c r="D48" s="20" t="s">
        <v>119</v>
      </c>
      <c r="E48" s="20">
        <v>1</v>
      </c>
    </row>
    <row r="49" spans="1:5" x14ac:dyDescent="0.25">
      <c r="A49" s="21"/>
      <c r="B49" s="21"/>
      <c r="C49" s="21"/>
      <c r="D49" s="21"/>
      <c r="E49" s="21"/>
    </row>
    <row r="50" spans="1:5" x14ac:dyDescent="0.25">
      <c r="A50" s="21"/>
      <c r="B50" s="21"/>
      <c r="C50" s="21"/>
      <c r="D50" s="21"/>
      <c r="E50" s="21"/>
    </row>
    <row r="51" spans="1:5" x14ac:dyDescent="0.25">
      <c r="A51" s="21"/>
      <c r="B51" s="21"/>
      <c r="C51" s="21"/>
      <c r="D51" s="21"/>
      <c r="E51" s="21"/>
    </row>
    <row r="52" spans="1:5" ht="18.75" x14ac:dyDescent="0.25">
      <c r="A52" s="199"/>
      <c r="B52" s="199"/>
      <c r="C52" s="199"/>
      <c r="D52" s="199"/>
      <c r="E52" s="199"/>
    </row>
  </sheetData>
  <mergeCells count="8">
    <mergeCell ref="B44:E44"/>
    <mergeCell ref="B45:E45"/>
    <mergeCell ref="A47:E47"/>
    <mergeCell ref="A52:E52"/>
    <mergeCell ref="A1:E1"/>
    <mergeCell ref="A2:E2"/>
    <mergeCell ref="A3:E3"/>
    <mergeCell ref="A4:E4"/>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EA770-BA8D-4BE4-B12D-DC0AD51B26FA}">
  <dimension ref="A1:H52"/>
  <sheetViews>
    <sheetView showGridLines="0" topLeftCell="D7" zoomScale="95" zoomScaleNormal="95" workbookViewId="0">
      <selection activeCell="H9" sqref="H9"/>
    </sheetView>
  </sheetViews>
  <sheetFormatPr baseColWidth="10" defaultColWidth="11.42578125" defaultRowHeight="15" x14ac:dyDescent="0.25"/>
  <cols>
    <col min="1" max="1" width="11.42578125" style="2"/>
    <col min="2" max="2" width="19.28515625" style="2" customWidth="1"/>
    <col min="3" max="3" width="113" style="2" customWidth="1"/>
    <col min="4" max="4" width="27.7109375" style="2" customWidth="1"/>
    <col min="5" max="5" width="11.42578125" style="2"/>
    <col min="6" max="6" width="25.140625" style="2" customWidth="1"/>
    <col min="7" max="7" width="14.42578125" style="2" bestFit="1" customWidth="1"/>
    <col min="8" max="8" width="23" style="2" customWidth="1"/>
    <col min="9" max="16384" width="11.42578125" style="2"/>
  </cols>
  <sheetData>
    <row r="1" spans="1:8" ht="15.6" customHeight="1" x14ac:dyDescent="0.25">
      <c r="A1" s="237" t="s">
        <v>0</v>
      </c>
      <c r="B1" s="238"/>
      <c r="C1" s="238"/>
      <c r="D1" s="238"/>
      <c r="E1" s="238"/>
    </row>
    <row r="2" spans="1:8" ht="16.149999999999999" customHeight="1" x14ac:dyDescent="0.25">
      <c r="A2" s="237" t="s">
        <v>1</v>
      </c>
      <c r="B2" s="238"/>
      <c r="C2" s="238"/>
      <c r="D2" s="238"/>
      <c r="E2" s="238"/>
    </row>
    <row r="3" spans="1:8" ht="16.149999999999999" customHeight="1" x14ac:dyDescent="0.25">
      <c r="A3" s="237" t="s">
        <v>118</v>
      </c>
      <c r="B3" s="238"/>
      <c r="C3" s="238"/>
      <c r="D3" s="238"/>
      <c r="E3" s="238"/>
    </row>
    <row r="4" spans="1:8" ht="15.75" thickBot="1" x14ac:dyDescent="0.3">
      <c r="A4" s="239" t="s">
        <v>2</v>
      </c>
      <c r="B4" s="240"/>
      <c r="C4" s="240"/>
      <c r="D4" s="240"/>
      <c r="E4" s="240"/>
      <c r="F4" s="244" t="s">
        <v>384</v>
      </c>
      <c r="G4" s="244"/>
      <c r="H4" s="244"/>
    </row>
    <row r="5" spans="1:8" ht="25.5" x14ac:dyDescent="0.25">
      <c r="A5" s="3" t="s">
        <v>3</v>
      </c>
      <c r="B5" s="3" t="s">
        <v>4</v>
      </c>
      <c r="C5" s="3" t="s">
        <v>5</v>
      </c>
      <c r="D5" s="3" t="s">
        <v>6</v>
      </c>
      <c r="E5" s="3" t="s">
        <v>7</v>
      </c>
      <c r="F5" s="168" t="s">
        <v>380</v>
      </c>
      <c r="G5" s="168" t="s">
        <v>385</v>
      </c>
      <c r="H5" s="168" t="s">
        <v>386</v>
      </c>
    </row>
    <row r="6" spans="1:8" ht="51" x14ac:dyDescent="0.25">
      <c r="A6" s="137" t="s">
        <v>76</v>
      </c>
      <c r="B6" s="13" t="s">
        <v>9</v>
      </c>
      <c r="C6" s="69" t="s">
        <v>176</v>
      </c>
      <c r="D6" s="14" t="s">
        <v>119</v>
      </c>
      <c r="E6" s="14">
        <v>1</v>
      </c>
      <c r="F6" s="147">
        <v>5904432.36343766</v>
      </c>
      <c r="G6" s="15">
        <f t="shared" ref="G6:G43" si="0">+F6*19%</f>
        <v>1121842.1490531554</v>
      </c>
      <c r="H6" s="147">
        <f t="shared" ref="H6:H43" si="1">+F6+G6</f>
        <v>7026274.5124908155</v>
      </c>
    </row>
    <row r="7" spans="1:8" ht="114.75" x14ac:dyDescent="0.25">
      <c r="A7" s="137" t="s">
        <v>77</v>
      </c>
      <c r="B7" s="13" t="s">
        <v>10</v>
      </c>
      <c r="C7" s="69" t="s">
        <v>177</v>
      </c>
      <c r="D7" s="14" t="s">
        <v>119</v>
      </c>
      <c r="E7" s="14">
        <v>1</v>
      </c>
      <c r="F7" s="147">
        <v>1719167.7548831259</v>
      </c>
      <c r="G7" s="15">
        <f t="shared" si="0"/>
        <v>326641.87342779391</v>
      </c>
      <c r="H7" s="147">
        <f t="shared" si="1"/>
        <v>2045809.6283109197</v>
      </c>
    </row>
    <row r="8" spans="1:8" ht="38.25" x14ac:dyDescent="0.25">
      <c r="A8" s="137" t="s">
        <v>78</v>
      </c>
      <c r="B8" s="13" t="s">
        <v>11</v>
      </c>
      <c r="C8" s="69" t="s">
        <v>178</v>
      </c>
      <c r="D8" s="14" t="s">
        <v>119</v>
      </c>
      <c r="E8" s="14">
        <v>1</v>
      </c>
      <c r="F8" s="147">
        <v>1034593.5619346551</v>
      </c>
      <c r="G8" s="15">
        <f t="shared" si="0"/>
        <v>196572.77676758447</v>
      </c>
      <c r="H8" s="147">
        <f t="shared" si="1"/>
        <v>1231166.3387022396</v>
      </c>
    </row>
    <row r="9" spans="1:8" ht="51" x14ac:dyDescent="0.25">
      <c r="A9" s="137" t="s">
        <v>79</v>
      </c>
      <c r="B9" s="13" t="s">
        <v>49</v>
      </c>
      <c r="C9" s="69" t="s">
        <v>462</v>
      </c>
      <c r="D9" s="14" t="s">
        <v>119</v>
      </c>
      <c r="E9" s="14">
        <v>1</v>
      </c>
      <c r="F9" s="147">
        <v>6173784.5625406597</v>
      </c>
      <c r="G9" s="15">
        <f t="shared" si="0"/>
        <v>1173019.0668827253</v>
      </c>
      <c r="H9" s="147">
        <f t="shared" si="1"/>
        <v>7346803.6294233855</v>
      </c>
    </row>
    <row r="10" spans="1:8" ht="63.75" x14ac:dyDescent="0.25">
      <c r="A10" s="137" t="s">
        <v>80</v>
      </c>
      <c r="B10" s="13" t="s">
        <v>12</v>
      </c>
      <c r="C10" s="69" t="s">
        <v>33</v>
      </c>
      <c r="D10" s="14" t="s">
        <v>119</v>
      </c>
      <c r="E10" s="14">
        <v>1</v>
      </c>
      <c r="F10" s="147">
        <v>344970.78002225835</v>
      </c>
      <c r="G10" s="15">
        <f t="shared" si="0"/>
        <v>65544.448204229091</v>
      </c>
      <c r="H10" s="147">
        <f t="shared" si="1"/>
        <v>410515.22822648741</v>
      </c>
    </row>
    <row r="11" spans="1:8" ht="25.5" x14ac:dyDescent="0.25">
      <c r="A11" s="137" t="s">
        <v>81</v>
      </c>
      <c r="B11" s="13" t="s">
        <v>13</v>
      </c>
      <c r="C11" s="69" t="s">
        <v>34</v>
      </c>
      <c r="D11" s="14" t="s">
        <v>119</v>
      </c>
      <c r="E11" s="14">
        <v>1</v>
      </c>
      <c r="F11" s="147">
        <v>62115.17285637583</v>
      </c>
      <c r="G11" s="15">
        <f t="shared" si="0"/>
        <v>11801.882842711408</v>
      </c>
      <c r="H11" s="147">
        <f t="shared" si="1"/>
        <v>73917.055699087243</v>
      </c>
    </row>
    <row r="12" spans="1:8" ht="63.75" x14ac:dyDescent="0.25">
      <c r="A12" s="137" t="s">
        <v>82</v>
      </c>
      <c r="B12" s="13" t="s">
        <v>46</v>
      </c>
      <c r="C12" s="69" t="s">
        <v>50</v>
      </c>
      <c r="D12" s="14" t="s">
        <v>119</v>
      </c>
      <c r="E12" s="14">
        <v>1</v>
      </c>
      <c r="F12" s="147">
        <v>1692330.0076736023</v>
      </c>
      <c r="G12" s="15">
        <f t="shared" si="0"/>
        <v>321542.70145798445</v>
      </c>
      <c r="H12" s="147">
        <f t="shared" si="1"/>
        <v>2013872.7091315868</v>
      </c>
    </row>
    <row r="13" spans="1:8" ht="38.25" x14ac:dyDescent="0.25">
      <c r="A13" s="137" t="s">
        <v>83</v>
      </c>
      <c r="B13" s="13" t="s">
        <v>51</v>
      </c>
      <c r="C13" s="69" t="s">
        <v>47</v>
      </c>
      <c r="D13" s="14" t="s">
        <v>119</v>
      </c>
      <c r="E13" s="14">
        <v>1</v>
      </c>
      <c r="F13" s="147">
        <v>742987.82476932893</v>
      </c>
      <c r="G13" s="15">
        <f t="shared" si="0"/>
        <v>141167.68670617251</v>
      </c>
      <c r="H13" s="147">
        <f t="shared" si="1"/>
        <v>884155.51147550147</v>
      </c>
    </row>
    <row r="14" spans="1:8" ht="51" x14ac:dyDescent="0.25">
      <c r="A14" s="137" t="s">
        <v>84</v>
      </c>
      <c r="B14" s="13" t="s">
        <v>52</v>
      </c>
      <c r="C14" s="69" t="s">
        <v>48</v>
      </c>
      <c r="D14" s="14" t="s">
        <v>119</v>
      </c>
      <c r="E14" s="14">
        <v>1</v>
      </c>
      <c r="F14" s="147">
        <v>367183.96951231069</v>
      </c>
      <c r="G14" s="15">
        <f t="shared" si="0"/>
        <v>69764.954207339033</v>
      </c>
      <c r="H14" s="147">
        <f t="shared" si="1"/>
        <v>436948.92371964973</v>
      </c>
    </row>
    <row r="15" spans="1:8" ht="25.5" x14ac:dyDescent="0.25">
      <c r="A15" s="137" t="s">
        <v>85</v>
      </c>
      <c r="B15" s="13" t="s">
        <v>14</v>
      </c>
      <c r="C15" s="69" t="s">
        <v>35</v>
      </c>
      <c r="D15" s="14" t="s">
        <v>119</v>
      </c>
      <c r="E15" s="14">
        <v>1</v>
      </c>
      <c r="F15" s="147">
        <v>3455953.5239910306</v>
      </c>
      <c r="G15" s="15">
        <f t="shared" si="0"/>
        <v>656631.16955829586</v>
      </c>
      <c r="H15" s="147">
        <f t="shared" si="1"/>
        <v>4112584.6935493266</v>
      </c>
    </row>
    <row r="16" spans="1:8" ht="25.5" x14ac:dyDescent="0.25">
      <c r="A16" s="137" t="s">
        <v>86</v>
      </c>
      <c r="B16" s="13" t="s">
        <v>15</v>
      </c>
      <c r="C16" s="69" t="s">
        <v>36</v>
      </c>
      <c r="D16" s="14" t="s">
        <v>119</v>
      </c>
      <c r="E16" s="14">
        <v>1</v>
      </c>
      <c r="F16" s="147">
        <v>315862.18682978</v>
      </c>
      <c r="G16" s="15">
        <f t="shared" si="0"/>
        <v>60013.815497658201</v>
      </c>
      <c r="H16" s="147">
        <f t="shared" si="1"/>
        <v>375876.00232743821</v>
      </c>
    </row>
    <row r="17" spans="1:8" ht="25.5" x14ac:dyDescent="0.25">
      <c r="A17" s="137" t="s">
        <v>87</v>
      </c>
      <c r="B17" s="13" t="s">
        <v>16</v>
      </c>
      <c r="C17" s="69" t="s">
        <v>37</v>
      </c>
      <c r="D17" s="14" t="s">
        <v>119</v>
      </c>
      <c r="E17" s="14">
        <v>1</v>
      </c>
      <c r="F17" s="147">
        <v>3618278.5295969523</v>
      </c>
      <c r="G17" s="15">
        <f t="shared" si="0"/>
        <v>687472.92062342097</v>
      </c>
      <c r="H17" s="147">
        <f t="shared" si="1"/>
        <v>4305751.4502203735</v>
      </c>
    </row>
    <row r="18" spans="1:8" ht="25.5" x14ac:dyDescent="0.25">
      <c r="A18" s="137" t="s">
        <v>88</v>
      </c>
      <c r="B18" s="13" t="s">
        <v>17</v>
      </c>
      <c r="C18" s="69" t="s">
        <v>38</v>
      </c>
      <c r="D18" s="14" t="s">
        <v>119</v>
      </c>
      <c r="E18" s="14">
        <v>1</v>
      </c>
      <c r="F18" s="147">
        <v>1075896.6511468557</v>
      </c>
      <c r="G18" s="15">
        <f t="shared" si="0"/>
        <v>204420.36371790257</v>
      </c>
      <c r="H18" s="147">
        <f t="shared" si="1"/>
        <v>1280317.0148647581</v>
      </c>
    </row>
    <row r="19" spans="1:8" ht="25.5" x14ac:dyDescent="0.25">
      <c r="A19" s="137" t="s">
        <v>89</v>
      </c>
      <c r="B19" s="13" t="s">
        <v>18</v>
      </c>
      <c r="C19" s="69" t="s">
        <v>39</v>
      </c>
      <c r="D19" s="14" t="s">
        <v>119</v>
      </c>
      <c r="E19" s="14">
        <v>1</v>
      </c>
      <c r="F19" s="147">
        <v>804257.59001943166</v>
      </c>
      <c r="G19" s="15">
        <f t="shared" si="0"/>
        <v>152808.94210369201</v>
      </c>
      <c r="H19" s="147">
        <f t="shared" si="1"/>
        <v>957066.53212312364</v>
      </c>
    </row>
    <row r="20" spans="1:8" ht="25.5" x14ac:dyDescent="0.25">
      <c r="A20" s="137" t="s">
        <v>90</v>
      </c>
      <c r="B20" s="13" t="s">
        <v>19</v>
      </c>
      <c r="C20" s="69" t="s">
        <v>40</v>
      </c>
      <c r="D20" s="14" t="s">
        <v>119</v>
      </c>
      <c r="E20" s="14">
        <v>1</v>
      </c>
      <c r="F20" s="147">
        <v>235975.39971590208</v>
      </c>
      <c r="G20" s="15">
        <f t="shared" si="0"/>
        <v>44835.325946021396</v>
      </c>
      <c r="H20" s="147">
        <f t="shared" si="1"/>
        <v>280810.72566192347</v>
      </c>
    </row>
    <row r="21" spans="1:8" ht="25.5" x14ac:dyDescent="0.25">
      <c r="A21" s="137" t="s">
        <v>91</v>
      </c>
      <c r="B21" s="13" t="s">
        <v>20</v>
      </c>
      <c r="C21" s="69" t="s">
        <v>179</v>
      </c>
      <c r="D21" s="14" t="s">
        <v>119</v>
      </c>
      <c r="E21" s="14">
        <v>1</v>
      </c>
      <c r="F21" s="147">
        <v>395504.27604352473</v>
      </c>
      <c r="G21" s="15">
        <f t="shared" si="0"/>
        <v>75145.812448269702</v>
      </c>
      <c r="H21" s="147">
        <f t="shared" si="1"/>
        <v>470650.08849179442</v>
      </c>
    </row>
    <row r="22" spans="1:8" ht="25.5" x14ac:dyDescent="0.25">
      <c r="A22" s="137" t="s">
        <v>92</v>
      </c>
      <c r="B22" s="13" t="s">
        <v>21</v>
      </c>
      <c r="C22" s="69" t="s">
        <v>180</v>
      </c>
      <c r="D22" s="14" t="s">
        <v>119</v>
      </c>
      <c r="E22" s="14">
        <v>1</v>
      </c>
      <c r="F22" s="147">
        <v>318533.70253111725</v>
      </c>
      <c r="G22" s="15">
        <f t="shared" si="0"/>
        <v>60521.403480912275</v>
      </c>
      <c r="H22" s="147">
        <f t="shared" si="1"/>
        <v>379055.10601202952</v>
      </c>
    </row>
    <row r="23" spans="1:8" ht="38.25" x14ac:dyDescent="0.25">
      <c r="A23" s="137" t="s">
        <v>93</v>
      </c>
      <c r="B23" s="13" t="s">
        <v>22</v>
      </c>
      <c r="C23" s="69" t="s">
        <v>181</v>
      </c>
      <c r="D23" s="14" t="s">
        <v>119</v>
      </c>
      <c r="E23" s="14">
        <v>1</v>
      </c>
      <c r="F23" s="147">
        <v>373426</v>
      </c>
      <c r="G23" s="15">
        <f t="shared" si="0"/>
        <v>70950.94</v>
      </c>
      <c r="H23" s="147">
        <f t="shared" si="1"/>
        <v>444376.94</v>
      </c>
    </row>
    <row r="24" spans="1:8" ht="99" customHeight="1" x14ac:dyDescent="0.25">
      <c r="A24" s="137" t="s">
        <v>94</v>
      </c>
      <c r="B24" s="13" t="s">
        <v>23</v>
      </c>
      <c r="C24" s="69" t="s">
        <v>182</v>
      </c>
      <c r="D24" s="14" t="s">
        <v>119</v>
      </c>
      <c r="E24" s="14">
        <v>1</v>
      </c>
      <c r="F24" s="147">
        <v>2933576.2958488427</v>
      </c>
      <c r="G24" s="15">
        <f t="shared" si="0"/>
        <v>557379.49621128011</v>
      </c>
      <c r="H24" s="147">
        <f t="shared" si="1"/>
        <v>3490955.7920601228</v>
      </c>
    </row>
    <row r="25" spans="1:8" ht="127.5" x14ac:dyDescent="0.25">
      <c r="A25" s="137" t="s">
        <v>95</v>
      </c>
      <c r="B25" s="13" t="s">
        <v>53</v>
      </c>
      <c r="C25" s="69" t="s">
        <v>41</v>
      </c>
      <c r="D25" s="14" t="s">
        <v>119</v>
      </c>
      <c r="E25" s="14">
        <v>1</v>
      </c>
      <c r="F25" s="147">
        <v>459948.41409212578</v>
      </c>
      <c r="G25" s="15">
        <f t="shared" si="0"/>
        <v>87390.198677503897</v>
      </c>
      <c r="H25" s="147">
        <f t="shared" si="1"/>
        <v>547338.61276962969</v>
      </c>
    </row>
    <row r="26" spans="1:8" ht="89.25" x14ac:dyDescent="0.25">
      <c r="A26" s="137" t="s">
        <v>96</v>
      </c>
      <c r="B26" s="13" t="s">
        <v>24</v>
      </c>
      <c r="C26" s="69" t="s">
        <v>69</v>
      </c>
      <c r="D26" s="14" t="s">
        <v>119</v>
      </c>
      <c r="E26" s="14">
        <v>1</v>
      </c>
      <c r="F26" s="147">
        <v>2398610.8306392361</v>
      </c>
      <c r="G26" s="15">
        <f t="shared" si="0"/>
        <v>455736.05782145489</v>
      </c>
      <c r="H26" s="147">
        <f t="shared" si="1"/>
        <v>2854346.8884606911</v>
      </c>
    </row>
    <row r="27" spans="1:8" x14ac:dyDescent="0.25">
      <c r="A27" s="137" t="s">
        <v>97</v>
      </c>
      <c r="B27" s="13" t="s">
        <v>25</v>
      </c>
      <c r="C27" s="69" t="s">
        <v>70</v>
      </c>
      <c r="D27" s="14" t="s">
        <v>119</v>
      </c>
      <c r="E27" s="14">
        <v>1</v>
      </c>
      <c r="F27" s="147">
        <v>6135.0466940261276</v>
      </c>
      <c r="G27" s="15">
        <f t="shared" si="0"/>
        <v>1165.6588718649643</v>
      </c>
      <c r="H27" s="147">
        <f t="shared" si="1"/>
        <v>7300.7055658910922</v>
      </c>
    </row>
    <row r="28" spans="1:8" ht="54.75" customHeight="1" x14ac:dyDescent="0.25">
      <c r="A28" s="137" t="s">
        <v>98</v>
      </c>
      <c r="B28" s="13" t="s">
        <v>26</v>
      </c>
      <c r="C28" s="69" t="s">
        <v>42</v>
      </c>
      <c r="D28" s="14" t="s">
        <v>119</v>
      </c>
      <c r="E28" s="14">
        <v>1</v>
      </c>
      <c r="F28" s="147">
        <v>17311.378408903591</v>
      </c>
      <c r="G28" s="15">
        <f t="shared" si="0"/>
        <v>3289.1618976916825</v>
      </c>
      <c r="H28" s="147">
        <f t="shared" si="1"/>
        <v>20600.540306595274</v>
      </c>
    </row>
    <row r="29" spans="1:8" ht="51" x14ac:dyDescent="0.25">
      <c r="A29" s="137" t="s">
        <v>99</v>
      </c>
      <c r="B29" s="13" t="s">
        <v>27</v>
      </c>
      <c r="C29" s="69" t="s">
        <v>43</v>
      </c>
      <c r="D29" s="14" t="s">
        <v>119</v>
      </c>
      <c r="E29" s="14">
        <v>1</v>
      </c>
      <c r="F29" s="147">
        <v>71404.1776019276</v>
      </c>
      <c r="G29" s="15">
        <f t="shared" si="0"/>
        <v>13566.793744366245</v>
      </c>
      <c r="H29" s="147">
        <f t="shared" si="1"/>
        <v>84970.971346293838</v>
      </c>
    </row>
    <row r="30" spans="1:8" x14ac:dyDescent="0.25">
      <c r="A30" s="137" t="s">
        <v>100</v>
      </c>
      <c r="B30" s="13" t="s">
        <v>28</v>
      </c>
      <c r="C30" s="69" t="s">
        <v>44</v>
      </c>
      <c r="D30" s="14" t="s">
        <v>119</v>
      </c>
      <c r="E30" s="14">
        <v>1</v>
      </c>
      <c r="F30" s="147">
        <v>102230.16018782525</v>
      </c>
      <c r="G30" s="15">
        <f t="shared" si="0"/>
        <v>19423.730435686797</v>
      </c>
      <c r="H30" s="147">
        <f t="shared" si="1"/>
        <v>121653.89062351205</v>
      </c>
    </row>
    <row r="31" spans="1:8" ht="25.5" x14ac:dyDescent="0.25">
      <c r="A31" s="137" t="s">
        <v>101</v>
      </c>
      <c r="B31" s="13" t="s">
        <v>29</v>
      </c>
      <c r="C31" s="69" t="s">
        <v>45</v>
      </c>
      <c r="D31" s="14" t="s">
        <v>119</v>
      </c>
      <c r="E31" s="14">
        <v>1</v>
      </c>
      <c r="F31" s="147">
        <v>105569.42722975017</v>
      </c>
      <c r="G31" s="15">
        <f t="shared" si="0"/>
        <v>20058.191173652533</v>
      </c>
      <c r="H31" s="147">
        <f t="shared" si="1"/>
        <v>125627.61840340271</v>
      </c>
    </row>
    <row r="32" spans="1:8" ht="76.5" x14ac:dyDescent="0.25">
      <c r="A32" s="137" t="s">
        <v>102</v>
      </c>
      <c r="B32" s="13" t="s">
        <v>30</v>
      </c>
      <c r="C32" s="69" t="s">
        <v>71</v>
      </c>
      <c r="D32" s="14" t="s">
        <v>119</v>
      </c>
      <c r="E32" s="14">
        <v>1</v>
      </c>
      <c r="F32" s="147">
        <v>352600.61841130938</v>
      </c>
      <c r="G32" s="15">
        <f t="shared" si="0"/>
        <v>66994.117498148786</v>
      </c>
      <c r="H32" s="147">
        <f t="shared" si="1"/>
        <v>419594.73590945813</v>
      </c>
    </row>
    <row r="33" spans="1:8" ht="76.5" x14ac:dyDescent="0.25">
      <c r="A33" s="137" t="s">
        <v>103</v>
      </c>
      <c r="B33" s="13" t="s">
        <v>31</v>
      </c>
      <c r="C33" s="69" t="s">
        <v>72</v>
      </c>
      <c r="D33" s="14" t="s">
        <v>119</v>
      </c>
      <c r="E33" s="14">
        <v>1</v>
      </c>
      <c r="F33" s="147">
        <v>193918.05083890317</v>
      </c>
      <c r="G33" s="15">
        <f t="shared" si="0"/>
        <v>36844.429659391601</v>
      </c>
      <c r="H33" s="147">
        <f t="shared" si="1"/>
        <v>230762.48049829478</v>
      </c>
    </row>
    <row r="34" spans="1:8" ht="38.25" x14ac:dyDescent="0.25">
      <c r="A34" s="137" t="s">
        <v>104</v>
      </c>
      <c r="B34" s="13" t="s">
        <v>54</v>
      </c>
      <c r="C34" s="69" t="s">
        <v>183</v>
      </c>
      <c r="D34" s="14" t="s">
        <v>119</v>
      </c>
      <c r="E34" s="14">
        <v>1</v>
      </c>
      <c r="F34" s="147">
        <v>6667761.2741971863</v>
      </c>
      <c r="G34" s="15">
        <f t="shared" si="0"/>
        <v>1266874.6420974655</v>
      </c>
      <c r="H34" s="147">
        <f t="shared" si="1"/>
        <v>7934635.916294652</v>
      </c>
    </row>
    <row r="35" spans="1:8" ht="38.25" x14ac:dyDescent="0.25">
      <c r="A35" s="137" t="s">
        <v>105</v>
      </c>
      <c r="B35" s="13" t="s">
        <v>55</v>
      </c>
      <c r="C35" s="69" t="s">
        <v>184</v>
      </c>
      <c r="D35" s="14" t="s">
        <v>119</v>
      </c>
      <c r="E35" s="14">
        <v>1</v>
      </c>
      <c r="F35" s="147">
        <v>1923468.2467117789</v>
      </c>
      <c r="G35" s="15">
        <f t="shared" si="0"/>
        <v>365458.96687523799</v>
      </c>
      <c r="H35" s="147">
        <f t="shared" si="1"/>
        <v>2288927.2135870168</v>
      </c>
    </row>
    <row r="36" spans="1:8" ht="114.75" x14ac:dyDescent="0.25">
      <c r="A36" s="137" t="s">
        <v>106</v>
      </c>
      <c r="B36" s="13" t="s">
        <v>56</v>
      </c>
      <c r="C36" s="69" t="s">
        <v>57</v>
      </c>
      <c r="D36" s="14" t="s">
        <v>119</v>
      </c>
      <c r="E36" s="14">
        <v>1</v>
      </c>
      <c r="F36" s="147">
        <v>3374627.7210270744</v>
      </c>
      <c r="G36" s="15">
        <f t="shared" si="0"/>
        <v>641179.26699514419</v>
      </c>
      <c r="H36" s="147">
        <f t="shared" si="1"/>
        <v>4015806.9880222185</v>
      </c>
    </row>
    <row r="37" spans="1:8" ht="114.75" x14ac:dyDescent="0.25">
      <c r="A37" s="137" t="s">
        <v>107</v>
      </c>
      <c r="B37" s="13" t="s">
        <v>58</v>
      </c>
      <c r="C37" s="69" t="s">
        <v>59</v>
      </c>
      <c r="D37" s="14" t="s">
        <v>119</v>
      </c>
      <c r="E37" s="14">
        <v>1</v>
      </c>
      <c r="F37" s="147">
        <v>2057814.6276467857</v>
      </c>
      <c r="G37" s="15">
        <f t="shared" si="0"/>
        <v>390984.77925288928</v>
      </c>
      <c r="H37" s="147">
        <f t="shared" si="1"/>
        <v>2448799.4068996748</v>
      </c>
    </row>
    <row r="38" spans="1:8" ht="51" x14ac:dyDescent="0.25">
      <c r="A38" s="137" t="s">
        <v>108</v>
      </c>
      <c r="B38" s="13" t="s">
        <v>60</v>
      </c>
      <c r="C38" s="69" t="s">
        <v>73</v>
      </c>
      <c r="D38" s="14" t="s">
        <v>119</v>
      </c>
      <c r="E38" s="14">
        <v>1</v>
      </c>
      <c r="F38" s="147">
        <v>277861.95303456788</v>
      </c>
      <c r="G38" s="15">
        <f t="shared" si="0"/>
        <v>52793.7710765679</v>
      </c>
      <c r="H38" s="147">
        <f t="shared" si="1"/>
        <v>330655.72411113576</v>
      </c>
    </row>
    <row r="39" spans="1:8" ht="38.25" x14ac:dyDescent="0.25">
      <c r="A39" s="137" t="s">
        <v>109</v>
      </c>
      <c r="B39" s="13" t="s">
        <v>61</v>
      </c>
      <c r="C39" s="69" t="s">
        <v>62</v>
      </c>
      <c r="D39" s="14" t="s">
        <v>119</v>
      </c>
      <c r="E39" s="14">
        <v>1</v>
      </c>
      <c r="F39" s="147">
        <v>104049.70908634488</v>
      </c>
      <c r="G39" s="15">
        <f t="shared" si="0"/>
        <v>19769.444726405527</v>
      </c>
      <c r="H39" s="147">
        <f t="shared" si="1"/>
        <v>123819.15381275042</v>
      </c>
    </row>
    <row r="40" spans="1:8" ht="63.75" x14ac:dyDescent="0.25">
      <c r="A40" s="137" t="s">
        <v>110</v>
      </c>
      <c r="B40" s="13" t="s">
        <v>63</v>
      </c>
      <c r="C40" s="69" t="s">
        <v>74</v>
      </c>
      <c r="D40" s="14" t="s">
        <v>119</v>
      </c>
      <c r="E40" s="14">
        <v>1</v>
      </c>
      <c r="F40" s="147">
        <v>5664384.1198407067</v>
      </c>
      <c r="G40" s="15">
        <f t="shared" si="0"/>
        <v>1076232.9827697342</v>
      </c>
      <c r="H40" s="147">
        <f t="shared" si="1"/>
        <v>6740617.1026104409</v>
      </c>
    </row>
    <row r="41" spans="1:8" ht="25.5" x14ac:dyDescent="0.25">
      <c r="A41" s="137" t="s">
        <v>111</v>
      </c>
      <c r="B41" s="13" t="s">
        <v>64</v>
      </c>
      <c r="C41" s="69" t="s">
        <v>185</v>
      </c>
      <c r="D41" s="14" t="s">
        <v>119</v>
      </c>
      <c r="E41" s="14">
        <v>1</v>
      </c>
      <c r="F41" s="147">
        <v>9098468.356975466</v>
      </c>
      <c r="G41" s="15">
        <f t="shared" si="0"/>
        <v>1728708.9878253385</v>
      </c>
      <c r="H41" s="147">
        <f t="shared" si="1"/>
        <v>10827177.344800804</v>
      </c>
    </row>
    <row r="42" spans="1:8" ht="25.5" x14ac:dyDescent="0.25">
      <c r="A42" s="137" t="s">
        <v>112</v>
      </c>
      <c r="B42" s="13" t="s">
        <v>65</v>
      </c>
      <c r="C42" s="69" t="s">
        <v>66</v>
      </c>
      <c r="D42" s="14" t="s">
        <v>119</v>
      </c>
      <c r="E42" s="14">
        <v>1</v>
      </c>
      <c r="F42" s="147">
        <v>3114432.8062990969</v>
      </c>
      <c r="G42" s="15">
        <f t="shared" si="0"/>
        <v>591742.2331968284</v>
      </c>
      <c r="H42" s="147">
        <f t="shared" si="1"/>
        <v>3706175.0394959254</v>
      </c>
    </row>
    <row r="43" spans="1:8" ht="57" customHeight="1" x14ac:dyDescent="0.25">
      <c r="A43" s="137" t="s">
        <v>113</v>
      </c>
      <c r="B43" s="13" t="s">
        <v>67</v>
      </c>
      <c r="C43" s="69" t="s">
        <v>68</v>
      </c>
      <c r="D43" s="14" t="s">
        <v>119</v>
      </c>
      <c r="E43" s="14">
        <v>1</v>
      </c>
      <c r="F43" s="147">
        <v>463390.36325681896</v>
      </c>
      <c r="G43" s="15">
        <f t="shared" si="0"/>
        <v>88044.169018795597</v>
      </c>
      <c r="H43" s="147">
        <f t="shared" si="1"/>
        <v>551434.53227561456</v>
      </c>
    </row>
    <row r="44" spans="1:8" customFormat="1" ht="15" customHeight="1" thickBot="1" x14ac:dyDescent="0.3">
      <c r="B44" s="239" t="s">
        <v>117</v>
      </c>
      <c r="C44" s="240"/>
      <c r="D44" s="240"/>
      <c r="E44" s="240"/>
    </row>
    <row r="45" spans="1:8" customFormat="1" ht="139.5" customHeight="1" thickBot="1" x14ac:dyDescent="0.3">
      <c r="B45" s="205" t="s">
        <v>186</v>
      </c>
      <c r="C45" s="206"/>
      <c r="D45" s="206"/>
      <c r="E45" s="206"/>
    </row>
    <row r="46" spans="1:8" ht="15.75" thickBot="1" x14ac:dyDescent="0.3"/>
    <row r="47" spans="1:8" ht="15.75" thickBot="1" x14ac:dyDescent="0.3">
      <c r="A47" s="200" t="s">
        <v>75</v>
      </c>
      <c r="B47" s="201"/>
      <c r="C47" s="201"/>
      <c r="D47" s="201"/>
      <c r="E47" s="201"/>
    </row>
    <row r="48" spans="1:8" ht="26.25" thickBot="1" x14ac:dyDescent="0.3">
      <c r="A48" s="17" t="s">
        <v>114</v>
      </c>
      <c r="B48" s="18" t="s">
        <v>116</v>
      </c>
      <c r="C48" s="19" t="s">
        <v>115</v>
      </c>
      <c r="D48" s="20" t="s">
        <v>119</v>
      </c>
      <c r="E48" s="20">
        <v>1</v>
      </c>
    </row>
    <row r="49" spans="1:5" x14ac:dyDescent="0.25">
      <c r="A49" s="21"/>
      <c r="B49" s="21"/>
      <c r="C49" s="21"/>
      <c r="D49" s="21"/>
      <c r="E49" s="21"/>
    </row>
    <row r="50" spans="1:5" x14ac:dyDescent="0.25">
      <c r="A50" s="21"/>
      <c r="B50" s="21"/>
      <c r="C50" s="21"/>
      <c r="D50" s="21"/>
      <c r="E50" s="21"/>
    </row>
    <row r="51" spans="1:5" x14ac:dyDescent="0.25">
      <c r="A51" s="21"/>
      <c r="B51" s="21"/>
      <c r="C51" s="21"/>
      <c r="D51" s="21"/>
      <c r="E51" s="21"/>
    </row>
    <row r="52" spans="1:5" ht="18.75" x14ac:dyDescent="0.25">
      <c r="A52" s="199"/>
      <c r="B52" s="199"/>
      <c r="C52" s="199"/>
      <c r="D52" s="199"/>
      <c r="E52" s="199"/>
    </row>
  </sheetData>
  <mergeCells count="9">
    <mergeCell ref="B45:E45"/>
    <mergeCell ref="A47:E47"/>
    <mergeCell ref="A52:E52"/>
    <mergeCell ref="F4:H4"/>
    <mergeCell ref="A1:E1"/>
    <mergeCell ref="A2:E2"/>
    <mergeCell ref="A3:E3"/>
    <mergeCell ref="A4:E4"/>
    <mergeCell ref="B44:E44"/>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6F19F-1324-4B0C-B4B5-C66286C10FC7}">
  <dimension ref="A1:V10"/>
  <sheetViews>
    <sheetView showGridLines="0" topLeftCell="L3" workbookViewId="0">
      <selection activeCell="O14" sqref="O14"/>
    </sheetView>
  </sheetViews>
  <sheetFormatPr baseColWidth="10" defaultColWidth="11.5703125" defaultRowHeight="12.75" x14ac:dyDescent="0.2"/>
  <cols>
    <col min="1" max="1" width="27.28515625" style="182" customWidth="1"/>
    <col min="2" max="2" width="11.5703125" style="182"/>
    <col min="3" max="3" width="31.28515625" style="182" customWidth="1"/>
    <col min="4" max="4" width="11.5703125" style="182"/>
    <col min="5" max="5" width="16.7109375" style="182" customWidth="1"/>
    <col min="6" max="6" width="20.85546875" style="182" customWidth="1"/>
    <col min="7" max="7" width="32.42578125" style="182" customWidth="1"/>
    <col min="8" max="8" width="41.42578125" style="182" customWidth="1"/>
    <col min="9" max="10" width="11.5703125" style="182"/>
    <col min="11" max="11" width="35.5703125" style="182" customWidth="1"/>
    <col min="12" max="12" width="46.28515625" style="182" customWidth="1"/>
    <col min="13" max="13" width="11.5703125" style="182"/>
    <col min="14" max="14" width="15.42578125" style="182" bestFit="1" customWidth="1"/>
    <col min="15" max="15" width="16" style="182" customWidth="1"/>
    <col min="16" max="16" width="17.28515625" style="182" customWidth="1"/>
    <col min="17" max="17" width="11.7109375" style="182" bestFit="1" customWidth="1"/>
    <col min="18" max="18" width="11.5703125" style="182"/>
    <col min="19" max="19" width="15.28515625" style="182" customWidth="1"/>
    <col min="20" max="20" width="25.140625" style="182" customWidth="1"/>
    <col min="21" max="22" width="16.140625" style="171" customWidth="1"/>
    <col min="23" max="16384" width="11.5703125" style="182"/>
  </cols>
  <sheetData>
    <row r="1" spans="1:21" ht="51" x14ac:dyDescent="0.2">
      <c r="A1" s="169" t="s">
        <v>388</v>
      </c>
      <c r="B1" s="170" t="s">
        <v>389</v>
      </c>
      <c r="C1" s="169" t="s">
        <v>390</v>
      </c>
      <c r="D1" s="170" t="s">
        <v>391</v>
      </c>
      <c r="E1" s="169" t="s">
        <v>392</v>
      </c>
      <c r="F1" s="170" t="s">
        <v>393</v>
      </c>
      <c r="G1" s="169" t="s">
        <v>394</v>
      </c>
      <c r="H1" s="170" t="s">
        <v>395</v>
      </c>
      <c r="I1" s="169" t="s">
        <v>396</v>
      </c>
      <c r="J1" s="170" t="s">
        <v>397</v>
      </c>
      <c r="K1" s="169" t="s">
        <v>398</v>
      </c>
      <c r="L1" s="170" t="s">
        <v>399</v>
      </c>
      <c r="M1" s="169" t="s">
        <v>400</v>
      </c>
      <c r="N1" s="169" t="s">
        <v>401</v>
      </c>
      <c r="O1" s="169" t="s">
        <v>402</v>
      </c>
      <c r="P1" s="169" t="s">
        <v>403</v>
      </c>
      <c r="Q1" s="170" t="s">
        <v>404</v>
      </c>
      <c r="R1" s="169" t="s">
        <v>405</v>
      </c>
      <c r="S1" s="169" t="s">
        <v>406</v>
      </c>
      <c r="T1" s="170" t="s">
        <v>407</v>
      </c>
      <c r="U1" s="169" t="s">
        <v>408</v>
      </c>
    </row>
    <row r="2" spans="1:21" ht="102" x14ac:dyDescent="0.2">
      <c r="A2" s="172" t="s">
        <v>409</v>
      </c>
      <c r="B2" s="173" t="s">
        <v>410</v>
      </c>
      <c r="C2" s="174" t="s">
        <v>411</v>
      </c>
      <c r="D2" s="174" t="s">
        <v>412</v>
      </c>
      <c r="E2" s="174" t="s">
        <v>413</v>
      </c>
      <c r="F2" s="174" t="s">
        <v>414</v>
      </c>
      <c r="G2" s="174" t="s">
        <v>415</v>
      </c>
      <c r="H2" s="174" t="s">
        <v>416</v>
      </c>
      <c r="I2" s="174" t="s">
        <v>417</v>
      </c>
      <c r="J2" s="174" t="s">
        <v>418</v>
      </c>
      <c r="K2" s="172" t="s">
        <v>419</v>
      </c>
      <c r="L2" s="172" t="s">
        <v>420</v>
      </c>
      <c r="M2" s="174" t="s">
        <v>421</v>
      </c>
      <c r="N2" s="175">
        <v>1526137000</v>
      </c>
      <c r="O2" s="172" t="s">
        <v>422</v>
      </c>
      <c r="P2" s="172" t="s">
        <v>423</v>
      </c>
      <c r="Q2" s="176">
        <v>8</v>
      </c>
      <c r="R2" s="174" t="s">
        <v>424</v>
      </c>
      <c r="S2" s="177">
        <v>45989</v>
      </c>
      <c r="T2" s="178" t="s">
        <v>425</v>
      </c>
      <c r="U2" s="179">
        <v>0.02</v>
      </c>
    </row>
    <row r="3" spans="1:21" ht="153" x14ac:dyDescent="0.2">
      <c r="A3" s="172" t="s">
        <v>426</v>
      </c>
      <c r="B3" s="173" t="s">
        <v>427</v>
      </c>
      <c r="C3" s="174" t="s">
        <v>428</v>
      </c>
      <c r="D3" s="174" t="s">
        <v>429</v>
      </c>
      <c r="E3" s="174" t="s">
        <v>430</v>
      </c>
      <c r="F3" s="174" t="s">
        <v>414</v>
      </c>
      <c r="G3" s="174" t="s">
        <v>431</v>
      </c>
      <c r="H3" s="174" t="s">
        <v>432</v>
      </c>
      <c r="I3" s="174" t="s">
        <v>433</v>
      </c>
      <c r="J3" s="174" t="s">
        <v>434</v>
      </c>
      <c r="K3" s="172" t="s">
        <v>435</v>
      </c>
      <c r="L3" s="172" t="s">
        <v>436</v>
      </c>
      <c r="M3" s="174" t="s">
        <v>421</v>
      </c>
      <c r="N3" s="175">
        <v>1528026590</v>
      </c>
      <c r="O3" s="172" t="s">
        <v>422</v>
      </c>
      <c r="P3" s="172" t="s">
        <v>423</v>
      </c>
      <c r="Q3" s="176">
        <v>9</v>
      </c>
      <c r="R3" s="174" t="s">
        <v>424</v>
      </c>
      <c r="S3" s="177">
        <v>46094</v>
      </c>
      <c r="T3" s="178" t="s">
        <v>437</v>
      </c>
      <c r="U3" s="179">
        <v>0.01</v>
      </c>
    </row>
    <row r="4" spans="1:21" ht="102" x14ac:dyDescent="0.2">
      <c r="A4" s="172" t="s">
        <v>438</v>
      </c>
      <c r="B4" s="173" t="s">
        <v>439</v>
      </c>
      <c r="C4" s="174" t="s">
        <v>411</v>
      </c>
      <c r="D4" s="174" t="s">
        <v>412</v>
      </c>
      <c r="E4" s="174" t="s">
        <v>430</v>
      </c>
      <c r="F4" s="174" t="s">
        <v>414</v>
      </c>
      <c r="G4" s="174" t="s">
        <v>440</v>
      </c>
      <c r="H4" s="174" t="s">
        <v>441</v>
      </c>
      <c r="I4" s="174" t="s">
        <v>442</v>
      </c>
      <c r="J4" s="174" t="s">
        <v>443</v>
      </c>
      <c r="K4" s="172" t="s">
        <v>444</v>
      </c>
      <c r="L4" s="172" t="s">
        <v>445</v>
      </c>
      <c r="M4" s="174" t="s">
        <v>421</v>
      </c>
      <c r="N4" s="175">
        <v>3431926266</v>
      </c>
      <c r="O4" s="172" t="s">
        <v>422</v>
      </c>
      <c r="P4" s="172" t="s">
        <v>423</v>
      </c>
      <c r="Q4" s="176">
        <v>40</v>
      </c>
      <c r="R4" s="174" t="s">
        <v>446</v>
      </c>
      <c r="S4" s="177">
        <v>46092</v>
      </c>
      <c r="T4" s="178" t="s">
        <v>447</v>
      </c>
      <c r="U4" s="179">
        <v>0.03</v>
      </c>
    </row>
    <row r="5" spans="1:21" ht="89.25" x14ac:dyDescent="0.2">
      <c r="A5" s="172" t="s">
        <v>448</v>
      </c>
      <c r="B5" s="173" t="s">
        <v>410</v>
      </c>
      <c r="C5" s="174" t="s">
        <v>411</v>
      </c>
      <c r="D5" s="174" t="s">
        <v>412</v>
      </c>
      <c r="E5" s="174" t="s">
        <v>413</v>
      </c>
      <c r="F5" s="174" t="s">
        <v>414</v>
      </c>
      <c r="G5" s="174" t="s">
        <v>449</v>
      </c>
      <c r="H5" s="174" t="s">
        <v>450</v>
      </c>
      <c r="I5" s="174" t="s">
        <v>451</v>
      </c>
      <c r="J5" s="174" t="s">
        <v>452</v>
      </c>
      <c r="K5" s="172" t="s">
        <v>453</v>
      </c>
      <c r="L5" s="172" t="s">
        <v>454</v>
      </c>
      <c r="M5" s="173" t="s">
        <v>421</v>
      </c>
      <c r="N5" s="180">
        <v>1139651585</v>
      </c>
      <c r="O5" s="172" t="s">
        <v>422</v>
      </c>
      <c r="P5" s="172" t="s">
        <v>423</v>
      </c>
      <c r="Q5" s="173">
        <v>4</v>
      </c>
      <c r="R5" s="173" t="s">
        <v>424</v>
      </c>
      <c r="S5" s="181">
        <v>46021</v>
      </c>
      <c r="T5" s="178" t="s">
        <v>455</v>
      </c>
      <c r="U5" s="179">
        <v>0.03</v>
      </c>
    </row>
    <row r="6" spans="1:21" ht="15" x14ac:dyDescent="0.2">
      <c r="T6" s="173" t="s">
        <v>456</v>
      </c>
      <c r="U6" s="183">
        <f>+AVERAGE(U2:U5)</f>
        <v>2.2499999999999999E-2</v>
      </c>
    </row>
    <row r="7" spans="1:21" ht="15" x14ac:dyDescent="0.25">
      <c r="T7" s="173" t="s">
        <v>457</v>
      </c>
      <c r="U7" s="184">
        <f>+STDEVA(U2:U5)</f>
        <v>9.5742710775633833E-3</v>
      </c>
    </row>
    <row r="8" spans="1:21" ht="15" x14ac:dyDescent="0.2">
      <c r="T8" s="173" t="s">
        <v>458</v>
      </c>
      <c r="U8" s="183">
        <f>+MEDIAN(U2:U5)</f>
        <v>2.5000000000000001E-2</v>
      </c>
    </row>
    <row r="9" spans="1:21" ht="15" x14ac:dyDescent="0.2">
      <c r="T9" s="173" t="s">
        <v>459</v>
      </c>
      <c r="U9" s="183">
        <f>+MIN(U2:U5)</f>
        <v>0.01</v>
      </c>
    </row>
    <row r="10" spans="1:21" ht="15" x14ac:dyDescent="0.2">
      <c r="T10" s="173" t="s">
        <v>460</v>
      </c>
      <c r="U10" s="185">
        <f>+MAX(U2:U5)</f>
        <v>0.03</v>
      </c>
    </row>
  </sheetData>
  <hyperlinks>
    <hyperlink ref="T2" r:id="rId1" xr:uid="{B2B71B6F-F914-4F6A-8995-F7B903AD0292}"/>
    <hyperlink ref="T3" r:id="rId2" xr:uid="{71510185-C2BA-4A49-897D-D30E50A7B07E}"/>
    <hyperlink ref="T4" r:id="rId3" xr:uid="{031FAE82-B515-4ACD-9513-53CEC0EDF1DA}"/>
    <hyperlink ref="T5" r:id="rId4" xr:uid="{23CFDD17-CD58-4881-8ED6-E6C845258DD2}"/>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VALORES OTROS PROCESOS</vt:lpstr>
      <vt:lpstr>KIT ASEO</vt:lpstr>
      <vt:lpstr>KIT DE MANCUERNAS</vt:lpstr>
      <vt:lpstr>MATERIAL DIDÁCTICO</vt:lpstr>
      <vt:lpstr>CAMINADORA</vt:lpstr>
      <vt:lpstr>VALORES MERCADO GRANDES SUPERFI</vt:lpstr>
      <vt:lpstr>INDEXACION VALORES 2026</vt:lpstr>
      <vt:lpstr>VALORES PROCESOS- MERCADO COMPA</vt:lpstr>
      <vt:lpstr>DESVIACION ESTANDAR</vt:lpstr>
      <vt:lpstr>MEDIA ARMONICA</vt:lpstr>
      <vt:lpstr>OTROS VALORES </vt:lpstr>
      <vt:lpstr>VALORES REFERENCIA ANTES  IVA</vt:lpstr>
      <vt:lpstr>VALORES REFERENCIA CON IVA</vt:lpstr>
      <vt:lpstr>PORCENTAJE DE LANCE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Jimenez Orjuela</dc:creator>
  <cp:lastModifiedBy>Mauricio Acosta</cp:lastModifiedBy>
  <dcterms:created xsi:type="dcterms:W3CDTF">2026-09-21T15:29:08Z</dcterms:created>
  <dcterms:modified xsi:type="dcterms:W3CDTF">2026-10-21T13:34:20Z</dcterms:modified>
</cp:coreProperties>
</file>