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C:\Users\CMDELGADO\Desktop\ADR\"/>
    </mc:Choice>
  </mc:AlternateContent>
  <xr:revisionPtr revIDLastSave="0" documentId="13_ncr:1_{B690B1D3-8575-4850-A72F-E12023541796}" xr6:coauthVersionLast="47" xr6:coauthVersionMax="47" xr10:uidLastSave="{00000000-0000-0000-0000-000000000000}"/>
  <bookViews>
    <workbookView xWindow="1560" yWindow="1560" windowWidth="28800" windowHeight="11295" firstSheet="2" activeTab="7" xr2:uid="{A89F35CA-5C61-4811-9541-E864EE84052A}"/>
  </bookViews>
  <sheets>
    <sheet name="ESTUDIO DE MERCADO 2026" sheetId="10" r:id="rId1"/>
    <sheet name="TASASPROMEDIO" sheetId="11" r:id="rId2"/>
    <sheet name="VRES ASEGURADOS TRDM ACTUAL" sheetId="15" r:id="rId3"/>
    <sheet name="R. BIENES TRIAN.T TROCV" sheetId="9" r:id="rId4"/>
    <sheet name="R. BIENES EYM" sheetId="14" r:id="rId5"/>
    <sheet name="R. BIENES CASCO" sheetId="8" r:id="rId6"/>
    <sheet name="AUTOS" sheetId="3" r:id="rId7"/>
    <sheet name="SOAT ESTUD MERCADO" sheetId="13" r:id="rId8"/>
  </sheets>
  <externalReferences>
    <externalReference r:id="rId9"/>
    <externalReference r:id="rId10"/>
  </externalReferences>
  <definedNames>
    <definedName name="_xlnm._FilterDatabase" localSheetId="7" hidden="1">'SOAT ESTUD MERCADO'!$B$6:$W$6</definedName>
    <definedName name="_xlnm.Print_Area" localSheetId="6">AUTOS!$A$1:$W$19</definedName>
    <definedName name="_xlnm.Print_Area" localSheetId="0">'ESTUDIO DE MERCADO 2026'!$B$1:$K$60</definedName>
    <definedName name="_xlnm.Print_Area" localSheetId="5">'R. BIENES CASCO'!$A$1:$E$16</definedName>
    <definedName name="_xlnm.Print_Area" localSheetId="4">'R. BIENES EYM'!$A$1:$K$35</definedName>
    <definedName name="_xlnm.Print_Area" localSheetId="3">'R. BIENES TRIAN.T TROCV'!$A$1:$G$32</definedName>
    <definedName name="_xlnm.Print_Area" localSheetId="7">'SOAT ESTUD MERCADO'!$A$1:$W$19</definedName>
    <definedName name="_xlnm.Print_Area" localSheetId="1">TASASPROMEDIO!$A$1:$I$62</definedName>
    <definedName name="_xlnm.Print_Area" localSheetId="2">'VRES ASEGURADOS TRDM ACTUAL'!$A$1:$D$60</definedName>
    <definedName name="Servicio" localSheetId="6">[1]Listas!$G$2:$G$17</definedName>
    <definedName name="Servicio" localSheetId="5">[1]Listas!$G$2:$G$17</definedName>
    <definedName name="Servicio" localSheetId="4">[1]Listas!$G$2:$G$17</definedName>
    <definedName name="Servicio" localSheetId="3">[2]Listas!$G$2:$G$17</definedName>
    <definedName name="Servicio" localSheetId="7">[1]Listas!$G$2:$G$17</definedName>
    <definedName name="Servicio">#REF!</definedName>
    <definedName name="TipodeVehiculo" localSheetId="6">[1]Listas!$C$2:$C$10</definedName>
    <definedName name="TipodeVehiculo" localSheetId="5">[1]Listas!$C$2:$C$10</definedName>
    <definedName name="TipodeVehiculo" localSheetId="4">[1]Listas!$C$2:$C$10</definedName>
    <definedName name="TipodeVehiculo" localSheetId="3">[2]Listas!$C$2:$C$10</definedName>
    <definedName name="TipodeVehiculo" localSheetId="7">[1]Listas!$C$2:$C$10</definedName>
    <definedName name="TipodeVehiculo">#REF!</definedName>
    <definedName name="_xlnm.Print_Titles" localSheetId="1">TASASPROMEDIO!$1:$5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3" i="10" l="1"/>
  <c r="N16" i="3"/>
  <c r="N15" i="3"/>
  <c r="N14" i="3"/>
  <c r="N13" i="3"/>
  <c r="N11" i="3"/>
  <c r="N10" i="3"/>
  <c r="N9" i="3"/>
  <c r="N8" i="3"/>
  <c r="N7" i="3"/>
  <c r="O15" i="13"/>
  <c r="O14" i="13"/>
  <c r="O13" i="13"/>
  <c r="O12" i="13"/>
  <c r="O11" i="13"/>
  <c r="O10" i="13"/>
  <c r="O9" i="13"/>
  <c r="O8" i="13"/>
  <c r="O7" i="13"/>
  <c r="I6" i="11"/>
  <c r="E13" i="8"/>
  <c r="E44" i="10" s="1"/>
  <c r="J29" i="14"/>
  <c r="E30" i="9"/>
  <c r="E38" i="10" s="1"/>
  <c r="C20" i="15"/>
  <c r="I52" i="11"/>
  <c r="E14" i="10"/>
  <c r="C17" i="15"/>
  <c r="F16" i="11"/>
  <c r="F6" i="11"/>
  <c r="E40" i="10"/>
  <c r="E39" i="10"/>
  <c r="E37" i="10"/>
  <c r="E21" i="10"/>
  <c r="F52" i="11"/>
  <c r="F13" i="10" l="1"/>
  <c r="F39" i="10"/>
  <c r="J32" i="14"/>
  <c r="E22" i="10"/>
  <c r="E24" i="10" s="1"/>
  <c r="F37" i="10"/>
  <c r="F40" i="10"/>
  <c r="C59" i="15"/>
  <c r="C9" i="15"/>
  <c r="C8" i="15"/>
  <c r="C10" i="15" s="1"/>
  <c r="I29" i="14"/>
  <c r="J28" i="14"/>
  <c r="J27" i="14"/>
  <c r="J26" i="14"/>
  <c r="J25" i="14"/>
  <c r="J24" i="14"/>
  <c r="J23" i="14"/>
  <c r="J22" i="14"/>
  <c r="J21" i="14"/>
  <c r="J20" i="14"/>
  <c r="J19" i="14"/>
  <c r="J18" i="14"/>
  <c r="J17" i="14"/>
  <c r="J16" i="14"/>
  <c r="J15" i="14"/>
  <c r="J14" i="14"/>
  <c r="J13" i="14"/>
  <c r="J12" i="14"/>
  <c r="D31" i="9"/>
  <c r="E9" i="9"/>
  <c r="E10" i="9"/>
  <c r="E11" i="9"/>
  <c r="E12" i="9"/>
  <c r="D25" i="9"/>
  <c r="D21" i="9"/>
  <c r="D13" i="9"/>
  <c r="D22" i="9" s="1"/>
  <c r="F21" i="11"/>
  <c r="C18" i="15" l="1"/>
  <c r="C19" i="15" s="1"/>
  <c r="D28" i="9"/>
  <c r="D27" i="9"/>
  <c r="D29" i="9" s="1"/>
  <c r="D26" i="9"/>
  <c r="I49" i="10"/>
  <c r="I50" i="10" s="1"/>
  <c r="E11" i="10"/>
  <c r="C21" i="15" l="1"/>
  <c r="E13" i="10"/>
  <c r="F54" i="11"/>
  <c r="F35" i="11" l="1"/>
  <c r="W15" i="13" l="1"/>
  <c r="F32" i="10" l="1"/>
  <c r="E12" i="8"/>
  <c r="E11" i="8"/>
  <c r="E10" i="8"/>
  <c r="E24" i="9" l="1"/>
  <c r="E15" i="9"/>
  <c r="E20" i="9"/>
  <c r="E19" i="9"/>
  <c r="E18" i="9"/>
  <c r="E17" i="9"/>
  <c r="V16" i="13" l="1"/>
  <c r="U16" i="13"/>
  <c r="T16" i="13"/>
  <c r="W13" i="13"/>
  <c r="W14" i="13"/>
  <c r="W10" i="13" l="1"/>
  <c r="W9" i="13"/>
  <c r="W8" i="13"/>
  <c r="W7" i="13"/>
  <c r="W12" i="13"/>
  <c r="W11" i="13"/>
  <c r="W16" i="13" l="1"/>
  <c r="H49" i="10" s="1"/>
  <c r="F43" i="10"/>
  <c r="F44" i="10" s="1"/>
  <c r="J49" i="10" l="1"/>
  <c r="J50" i="10" s="1"/>
  <c r="H50" i="10"/>
  <c r="F14" i="10"/>
  <c r="F50" i="11"/>
  <c r="F45" i="11"/>
  <c r="F31" i="10" s="1"/>
  <c r="F40" i="11"/>
  <c r="F30" i="10" s="1"/>
  <c r="F30" i="11"/>
  <c r="F21" i="10" s="1"/>
  <c r="F26" i="11"/>
  <c r="F20" i="10" s="1"/>
  <c r="F19" i="10"/>
  <c r="F18" i="10"/>
  <c r="H18" i="10" s="1"/>
  <c r="F11" i="11"/>
  <c r="F17" i="10" s="1"/>
  <c r="F25" i="10" l="1"/>
  <c r="H44" i="10"/>
  <c r="S12" i="3"/>
  <c r="S17" i="3"/>
  <c r="H23" i="10"/>
  <c r="I23" i="10" s="1"/>
  <c r="F22" i="10"/>
  <c r="U16" i="3"/>
  <c r="U15" i="3"/>
  <c r="V15" i="3" s="1"/>
  <c r="W15" i="3" s="1"/>
  <c r="U14" i="3"/>
  <c r="U13" i="3"/>
  <c r="U11" i="3"/>
  <c r="U7" i="3"/>
  <c r="E25" i="9"/>
  <c r="H20" i="10" l="1"/>
  <c r="I20" i="10" s="1"/>
  <c r="H32" i="10"/>
  <c r="U17" i="3"/>
  <c r="U12" i="3"/>
  <c r="U18" i="3" s="1"/>
  <c r="S18" i="3"/>
  <c r="E25" i="10" s="1"/>
  <c r="H25" i="10" s="1"/>
  <c r="H30" i="10"/>
  <c r="F38" i="10"/>
  <c r="H31" i="10"/>
  <c r="H17" i="10"/>
  <c r="I17" i="10" s="1"/>
  <c r="I18" i="10"/>
  <c r="H19" i="10"/>
  <c r="I19" i="10" s="1"/>
  <c r="V16" i="3"/>
  <c r="W16" i="3" s="1"/>
  <c r="V13" i="3"/>
  <c r="V14" i="3"/>
  <c r="W14" i="3" s="1"/>
  <c r="V11" i="3"/>
  <c r="W11" i="3" s="1"/>
  <c r="I25" i="10" l="1"/>
  <c r="J25" i="10" s="1"/>
  <c r="I30" i="10"/>
  <c r="H33" i="10"/>
  <c r="I32" i="10"/>
  <c r="J32" i="10" s="1"/>
  <c r="I44" i="10"/>
  <c r="W13" i="3"/>
  <c r="W17" i="3" s="1"/>
  <c r="V17" i="3"/>
  <c r="J19" i="10"/>
  <c r="J18" i="10"/>
  <c r="I31" i="10"/>
  <c r="J31" i="10" s="1"/>
  <c r="J20" i="10"/>
  <c r="J17" i="10"/>
  <c r="E13" i="9"/>
  <c r="D13" i="8"/>
  <c r="D14" i="8" s="1"/>
  <c r="J30" i="10" l="1"/>
  <c r="J33" i="10" s="1"/>
  <c r="I33" i="10"/>
  <c r="H21" i="10"/>
  <c r="H43" i="10"/>
  <c r="E45" i="10"/>
  <c r="J44" i="10"/>
  <c r="E21" i="9"/>
  <c r="E22" i="9" s="1"/>
  <c r="I21" i="10" l="1"/>
  <c r="H14" i="10"/>
  <c r="H45" i="10"/>
  <c r="I43" i="10"/>
  <c r="E26" i="9"/>
  <c r="H38" i="10" s="1"/>
  <c r="H39" i="10"/>
  <c r="I39" i="10" s="1"/>
  <c r="J39" i="10" s="1"/>
  <c r="H40" i="10"/>
  <c r="H37" i="10"/>
  <c r="I24" i="10" l="1"/>
  <c r="J21" i="10"/>
  <c r="I14" i="10"/>
  <c r="J14" i="10" s="1"/>
  <c r="H22" i="10"/>
  <c r="I45" i="10"/>
  <c r="J43" i="10"/>
  <c r="J45" i="10" s="1"/>
  <c r="I37" i="10"/>
  <c r="J37" i="10" s="1"/>
  <c r="I40" i="10"/>
  <c r="J40" i="10" s="1"/>
  <c r="E42" i="10"/>
  <c r="D30" i="9"/>
  <c r="I22" i="10" l="1"/>
  <c r="H24" i="10"/>
  <c r="H13" i="10"/>
  <c r="J22" i="10"/>
  <c r="J24" i="10" s="1"/>
  <c r="I38" i="10"/>
  <c r="H42" i="10"/>
  <c r="H46" i="10" s="1"/>
  <c r="V7" i="3"/>
  <c r="V12" i="3" s="1"/>
  <c r="V18" i="3" s="1"/>
  <c r="W7" i="3"/>
  <c r="W12" i="3" s="1"/>
  <c r="W18" i="3" s="1"/>
  <c r="E16" i="10" l="1"/>
  <c r="J38" i="10"/>
  <c r="J42" i="10" s="1"/>
  <c r="J46" i="10" s="1"/>
  <c r="I42" i="10"/>
  <c r="I46" i="10" s="1"/>
  <c r="I13" i="10"/>
  <c r="I16" i="10" s="1"/>
  <c r="I26" i="10" s="1"/>
  <c r="H16" i="10"/>
  <c r="H26" i="10" s="1"/>
  <c r="H53" i="10" l="1"/>
  <c r="I53" i="10"/>
  <c r="J13" i="10"/>
  <c r="J16" i="10" s="1"/>
  <c r="J26"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Pedro José Cadena González</author>
  </authors>
  <commentList>
    <comment ref="H6" authorId="0" shapeId="0" xr:uid="{48D80DB6-AC47-46B8-B704-C9CD31287053}">
      <text>
        <r>
          <rPr>
            <b/>
            <sz val="9"/>
            <color indexed="81"/>
            <rFont val="Tahoma"/>
            <family val="2"/>
          </rPr>
          <t>Pedro José Cadena González:</t>
        </r>
        <r>
          <rPr>
            <sz val="9"/>
            <color indexed="81"/>
            <rFont val="Tahoma"/>
            <family val="2"/>
          </rPr>
          <t xml:space="preserve">
</t>
        </r>
      </text>
    </comment>
  </commentList>
</comments>
</file>

<file path=xl/sharedStrings.xml><?xml version="1.0" encoding="utf-8"?>
<sst xmlns="http://schemas.openxmlformats.org/spreadsheetml/2006/main" count="671" uniqueCount="353">
  <si>
    <t>RAMO</t>
  </si>
  <si>
    <t>VALOR ASEGURADO</t>
  </si>
  <si>
    <t>IVA</t>
  </si>
  <si>
    <t>%</t>
  </si>
  <si>
    <t>INFIDELIDAD Y RIESGOS FINANCIEROS</t>
  </si>
  <si>
    <t>Póliza N°</t>
  </si>
  <si>
    <t>Número de Motor</t>
  </si>
  <si>
    <t>Número de Chasis</t>
  </si>
  <si>
    <t>Marca</t>
  </si>
  <si>
    <t>Línea</t>
  </si>
  <si>
    <t>Modelo</t>
  </si>
  <si>
    <t>Subtipo</t>
  </si>
  <si>
    <t>Cilindraje</t>
  </si>
  <si>
    <t xml:space="preserve">Fecha de Inicio </t>
  </si>
  <si>
    <t>Fecha de Vencimiento</t>
  </si>
  <si>
    <t>Prima</t>
  </si>
  <si>
    <t>2KD6116701</t>
  </si>
  <si>
    <t>MR0FR22G480652610</t>
  </si>
  <si>
    <t>TOYOTA</t>
  </si>
  <si>
    <t>HILUX</t>
  </si>
  <si>
    <t>CAMPEROS Y CAMIONETAS 1500 a 2500 10 años o mas</t>
  </si>
  <si>
    <t>2TR-A164762</t>
  </si>
  <si>
    <t>8AJCX8GS8H0690735</t>
  </si>
  <si>
    <t xml:space="preserve">FORTUNER </t>
  </si>
  <si>
    <t>CAMPEROS Y CAMIONETAS Más de 2500 c.c. 0 a 9 años</t>
  </si>
  <si>
    <t>3HAEUMMR9RL210411</t>
  </si>
  <si>
    <t>INTERNATIONAL</t>
  </si>
  <si>
    <t>MV607 SBA 4X2</t>
  </si>
  <si>
    <t>CARGA O MIXTO De 5 a 15 toneladas</t>
  </si>
  <si>
    <t>3HAEUMMR8RL179166</t>
  </si>
  <si>
    <t>LVBV6PDB8RW085675</t>
  </si>
  <si>
    <t xml:space="preserve">FOTON </t>
  </si>
  <si>
    <t>BJ1226VMPHA-F3</t>
  </si>
  <si>
    <t>LVBV6PDB3RW085678</t>
  </si>
  <si>
    <t>PRIMA TOTAL</t>
  </si>
  <si>
    <t>TOTAL</t>
  </si>
  <si>
    <t>AGENCIA DE DESARROLLO RURAL - ADR</t>
  </si>
  <si>
    <t>No.</t>
  </si>
  <si>
    <t>Placa</t>
  </si>
  <si>
    <t>VIN</t>
  </si>
  <si>
    <t>Servicio</t>
  </si>
  <si>
    <t>Clase de vehículo</t>
  </si>
  <si>
    <t>Codigo Fasecolda</t>
  </si>
  <si>
    <t>TASA%</t>
  </si>
  <si>
    <t>Total Prima</t>
  </si>
  <si>
    <t>LIVIANO</t>
  </si>
  <si>
    <t>OJK039</t>
  </si>
  <si>
    <t>Oficiales</t>
  </si>
  <si>
    <t xml:space="preserve">Campero y o camioneta </t>
  </si>
  <si>
    <t>OKZ732</t>
  </si>
  <si>
    <t>PESADO</t>
  </si>
  <si>
    <t>LIT 050</t>
  </si>
  <si>
    <t>Carga o Mixto</t>
  </si>
  <si>
    <t>LIT054</t>
  </si>
  <si>
    <t>LIT 076</t>
  </si>
  <si>
    <t>LIT 078</t>
  </si>
  <si>
    <t>MANEJO GLOBAL ENTIDADES ESTATALES</t>
  </si>
  <si>
    <t>TOTAL CASCO BARCO</t>
  </si>
  <si>
    <t>AGENCIA DE DESARROLLO RURAL</t>
  </si>
  <si>
    <t>ANEXO No. 2  RELACIÓN DE BIENES Y VALORES ASEGURADOS</t>
  </si>
  <si>
    <t>RELACIÓN DE BIENES Y VALORES ASEGURADOS (PROPIOS Y EN COMODATO)</t>
  </si>
  <si>
    <t>POLIZA DE TODO RIESGO DAÑOS MATERIALES</t>
  </si>
  <si>
    <t>RELACION DE BIENES</t>
  </si>
  <si>
    <t>EDIFICIO SEDE CENTRAL, PARQUEADERO</t>
  </si>
  <si>
    <t>UNIDADES TECNICAS TERRITORIALES</t>
  </si>
  <si>
    <t>D). MAQUINARIA Y EQUIPO A NIVEL NACIONA</t>
  </si>
  <si>
    <t>E) DINERO Y TITULOS VALORES</t>
  </si>
  <si>
    <t>F). 'MERCANCIAS - MAQUINARIA EN REPOSO  A NIVEL NACIONAL</t>
  </si>
  <si>
    <t>SUBTOTAL</t>
  </si>
  <si>
    <t>TOTAL GENERAL</t>
  </si>
  <si>
    <t>RELACION EDIFICIOS</t>
  </si>
  <si>
    <t>Calle 43 No 57-41 CAN - Sede Central - Bogotá</t>
  </si>
  <si>
    <t>Calle 43 No 57-41 CAN - Lote de Cesión Tipo B - Bogotá</t>
  </si>
  <si>
    <t>Calle 32 No 8-56  OFICINA 1301- Cartagena</t>
  </si>
  <si>
    <t>Calle 32 No 8-56 OFICINA 1302- Cartagena</t>
  </si>
  <si>
    <t>Calle 32 No 8-56 OFICINA 1303- Cartagena</t>
  </si>
  <si>
    <t>Calle 32 No 8-56 OFICINA 1304- Cartagena</t>
  </si>
  <si>
    <t>Calle 32 No 8-56 OFICINA 1305- Cartagena</t>
  </si>
  <si>
    <t>Calle 32 No 8-56 OFICINA 1306- Cartagena</t>
  </si>
  <si>
    <t>Calle 32 No 8-56- Oficina 805 060-16363 - Cartagena</t>
  </si>
  <si>
    <t>Calle 32 No 8-56-Oficina 806 060-16364 - Cartagena</t>
  </si>
  <si>
    <t>Calle 7 # 06-07 Neiva Oficina 1401</t>
  </si>
  <si>
    <t>Calle 7 # 06-07 Neiva Oficina 1402</t>
  </si>
  <si>
    <t>Calle 7 # 06-07 Neiva Oficina 1403</t>
  </si>
  <si>
    <t>Calle 7 # 06-07 Neiva  oficina 1404</t>
  </si>
  <si>
    <t>Calle 7 # 06-07 Neiva OFICINA 1405</t>
  </si>
  <si>
    <t>Calle 7 # 06-07 Neiva OFICINA 1406</t>
  </si>
  <si>
    <t>Calle 7 # 06-07 Neiva OFICINA 1407</t>
  </si>
  <si>
    <t>Calle 7 # 06-07 Neiva OFICINA 1408</t>
  </si>
  <si>
    <t>Calle 7 # 06-07 Neiva OFICINA 1501</t>
  </si>
  <si>
    <t>Calle 7 # 06-07 Neiva OFICINA 1502</t>
  </si>
  <si>
    <t>Calle 7 # 06-07 Neiva1 OFICINA 1503</t>
  </si>
  <si>
    <t>Calle 7 # 06-07 Neiva OFICINA 1504</t>
  </si>
  <si>
    <t>Calle 7 # 06-07 Neiva OFICINA 1505</t>
  </si>
  <si>
    <t>Calle 7 # 06-07 Neiva OFICINA 1506</t>
  </si>
  <si>
    <t>Calle 7 # 06-07 Neiva OFICINA 1507</t>
  </si>
  <si>
    <t>Calle 7 # 06-07 Neiva OFICINA 1508</t>
  </si>
  <si>
    <t>Calle 23 No 21-45 MANIZALES UTT 6 GARAJE 39</t>
  </si>
  <si>
    <t>Calle 23 No 21-45 MANIZALES UTT 6 GARAJE 40</t>
  </si>
  <si>
    <t>Calle 23 No 21-45 P801 PL 6-7 Piso 8 -Manizales</t>
  </si>
  <si>
    <t>Edificación - Carrera 5 # 2-28 Popayán</t>
  </si>
  <si>
    <t>Edificación - Carrera 5 # 45-19/27 Ibague</t>
  </si>
  <si>
    <t>Lote 60,61,62,63,64,65,66,67 ZONA INDUSTRIAL A -Lérida- Tolima</t>
  </si>
  <si>
    <t>Edificación - Murillo Tolima</t>
  </si>
  <si>
    <t xml:space="preserve">Edificio comodato Medellin-Calle 48B No 80-53 </t>
  </si>
  <si>
    <t>Edificación  FMI 140140-25216 Monteria</t>
  </si>
  <si>
    <t>AGENCIA DE DESARROLLO RURAL - NIT. 900948958-4</t>
  </si>
  <si>
    <t>ITEM</t>
  </si>
  <si>
    <t>PLACA</t>
  </si>
  <si>
    <t>ACTIVO</t>
  </si>
  <si>
    <t>PROVEEDOR</t>
  </si>
  <si>
    <t>NIT</t>
  </si>
  <si>
    <t>FACTURA</t>
  </si>
  <si>
    <t>FECHA_INGRESO</t>
  </si>
  <si>
    <t>EXCAVADORA</t>
  </si>
  <si>
    <t>CASATORO S.A. BIC CASATORO S.A. BIC</t>
  </si>
  <si>
    <t>044/100595</t>
  </si>
  <si>
    <t>N044/100599</t>
  </si>
  <si>
    <t>N044/100593</t>
  </si>
  <si>
    <t>VIBROCOMPACTADOR</t>
  </si>
  <si>
    <t>N044/100617</t>
  </si>
  <si>
    <t>NAVITRANS NAVITRANS</t>
  </si>
  <si>
    <t>BOGA1000004</t>
  </si>
  <si>
    <t>MOTONIVELADORA</t>
  </si>
  <si>
    <t>DISTRIBUIDORA NISSAN SA DISTRIBUIDORA NISSAN SA</t>
  </si>
  <si>
    <t>Q030-10212</t>
  </si>
  <si>
    <t>RETROEXCAVADORA</t>
  </si>
  <si>
    <t>Q030-10210</t>
  </si>
  <si>
    <t>Q030-10226</t>
  </si>
  <si>
    <t>KOMATSU KOMATSU</t>
  </si>
  <si>
    <t>FEVP-967551</t>
  </si>
  <si>
    <t>VIBROCOMPACTADORA</t>
  </si>
  <si>
    <t>FEVP-965658</t>
  </si>
  <si>
    <t>FEVP-967554</t>
  </si>
  <si>
    <t>Q030-10244</t>
  </si>
  <si>
    <t>EXCAVADORA HIDRAULICA</t>
  </si>
  <si>
    <t>PARTEQUIPOS PARTEQUIPOS</t>
  </si>
  <si>
    <t>BG3030</t>
  </si>
  <si>
    <t>EXCAVADORA HIDRAULICA SOBRE ORUGAS</t>
  </si>
  <si>
    <t>BG 3029</t>
  </si>
  <si>
    <t>EXCAVADORA DE ORUGAS</t>
  </si>
  <si>
    <t>BG 3031</t>
  </si>
  <si>
    <t>Q030-10218</t>
  </si>
  <si>
    <t>TOTALES.</t>
  </si>
  <si>
    <t>TOTAL CON INDICE VARIABLE DEL 10%</t>
  </si>
  <si>
    <t>RELACIÓN DE BIENES ASEGURADOS TODO RIESGO EQUIPO Y MAQUINARÍA</t>
  </si>
  <si>
    <t>RELACIÓN DE BIENES CASCO BARCO</t>
  </si>
  <si>
    <t>RELACION  DE EMBARCACIONES</t>
  </si>
  <si>
    <t>DESCRIPCION</t>
  </si>
  <si>
    <t>12079</t>
  </si>
  <si>
    <t>BOTE EMBARCACIÓN - REPRESA TRIANGULO DEL TOLIMA - RESOLUCION 1415 DE 2016 - DISTRITOS / 6 PERSONAS O 400 K, ESLORA 4 MTS, MANGA 1.6 MTS, DIMENSIONES (MTS): 4,00 X 1,60, MATERIAL CASCO FIBRA / YAMAHA 9.96 H.P. SE UTILIZA PARA LA LIMPIEZA DE LAS COMPUERTAS DE TOMA 1 Y 2, UBICADAS EN EL EMBALSE ZANJA HONDA, MUNICIPIO DE COYAIMA TOLIMA.</t>
  </si>
  <si>
    <t>12420</t>
  </si>
  <si>
    <t>BOTE EMBARCACION - SUBESTACIÓN RANCHERÍA - RESOLUCION 1415 DE 2016 - DISTRITOS TRANSPORTE TAXI 150 ,8 PASAJEROS Y 560KG, DIMENSIONES (MTS): DIMENSIONES (MTS): ESLORA:4.57M MANGA :1.71M PUNTAL: 1.67M, MATERIAL CASCO FIBRA (EDUARDOÑO), FECHA CONSTRUCCION 23/01/2012, MOD. E15ACB / MOTOR YAMAHA, 50 HP, 4 TIEMPOS, MOD FT50CETL / EMBALSE DE ZANJA HONDA EN UN AREA DE SUPERFICIE DE AGUA DE 375 HECTAREAS, EMBALSE RIO RANCHERIA……</t>
  </si>
  <si>
    <t>12967</t>
  </si>
  <si>
    <t>REMOLQUE LANCHA - CAMPAMENTO RANCHERÍA - RESOLUCION 1415 DE 2016 - DISTRITOS REMOLQUE PARA TRANSPORTE DE BOTE, MEDIDAS 4,80 X 1.40, CAPACIDAD DE CARGA 2300 KG, CHASIS ELABORADO EN TUBERIA
ESTRUCTURAL, SUSPENSION POR MUELLES (HOJAS DE RSAORTE), UN EJE CON CAPACIDAD DE CARGA DE 2500 KG, DOS LLANTAS RIN 15, DOS RINS 15, UN MATACATE CON GUAYA, ORRES ENTAPETADAS DE CORREDERA, LUCES DE COLA, ENGANCHE DE BOLA DE 3.500 LB, TOMA DE LUCES 7 VIDAS / REMOLQUE PARA TRANSPORTE DE BOTE………</t>
  </si>
  <si>
    <t>TOTALES</t>
  </si>
  <si>
    <t>GRAN TOTAL</t>
  </si>
  <si>
    <t>RELACIÓN DE BIENES TODO RIESGO OBRAS CIVILES TERMINADAS</t>
  </si>
  <si>
    <t>RELACION OBRAS CIVILES TERMINADAS - PROYECTO DE IRRIGACIÓN EN EL DISTRITO,
TRIÁNGULO DEL TOLIMA</t>
  </si>
  <si>
    <t>II</t>
  </si>
  <si>
    <t>CONDUCCION</t>
  </si>
  <si>
    <t>Túnel</t>
  </si>
  <si>
    <t>Canal Principal de Conducción</t>
  </si>
  <si>
    <t>Box Coulvert</t>
  </si>
  <si>
    <t>Puentes box Coulvert</t>
  </si>
  <si>
    <t>TOTALES CONDUCCION</t>
  </si>
  <si>
    <t>IV</t>
  </si>
  <si>
    <t>PRESA Y EMBALSE ZANJA HONDA</t>
  </si>
  <si>
    <t>Presa y embalse</t>
  </si>
  <si>
    <t>V</t>
  </si>
  <si>
    <t>DISTRIBUCIÓN</t>
  </si>
  <si>
    <t>Canal principal de Distribución N. 1</t>
  </si>
  <si>
    <t>Canal principal de Distribución N. 2</t>
  </si>
  <si>
    <t>Canal principal de Distribución N. 3</t>
  </si>
  <si>
    <t>Canal principal de Distribución N. 4</t>
  </si>
  <si>
    <t>TOTALES DISTRIBUCION</t>
  </si>
  <si>
    <t>TOTALES II,IV y V</t>
  </si>
  <si>
    <t>EQUIPOS PROPIOS DE LA OPERACION DEL PROYECTO</t>
  </si>
  <si>
    <t>EQUIPOS ASOCIADOS CON EL PROYECTO</t>
  </si>
  <si>
    <t>TOTALES IV</t>
  </si>
  <si>
    <t>GRAN TOTAL BIENES</t>
  </si>
  <si>
    <t>ADECUACION DE CONSTRUCCIONES A LAS NORMAS DE SISMO RESISTENCIA (10 %)</t>
  </si>
  <si>
    <t>GASTOS PARA LA ADECUACION DE TERRENOS (5 %)</t>
  </si>
  <si>
    <t>TOTALES ADECUACION Y GASTOS</t>
  </si>
  <si>
    <t>A) SUBTOTAL EDIFICIOS</t>
  </si>
  <si>
    <t>VALOR ASEGURADO ACTUALIZADO + INDICE  VARIABLE DEL 5% ITEM A,B y D</t>
  </si>
  <si>
    <t>ANEXO No.  ESTUDIO DE MERCADO</t>
  </si>
  <si>
    <t>CALCULO VALORES APROXIMADOS DE PRIMA</t>
  </si>
  <si>
    <t>GRUPO N°1</t>
  </si>
  <si>
    <t>DIAS DE COBERTURA</t>
  </si>
  <si>
    <t>TASA ANUAL</t>
  </si>
  <si>
    <t>TIPO TASA</t>
  </si>
  <si>
    <t>PRIMA NETA ANUAL</t>
  </si>
  <si>
    <t>TODO RIESGO DAÑOS MATERIALES</t>
  </si>
  <si>
    <t>%o</t>
  </si>
  <si>
    <t>Indice Variable 5%</t>
  </si>
  <si>
    <t>Futuras Inclusiones TRDM</t>
  </si>
  <si>
    <t>TOTAL TODO RIESGO DAÑOS MATERIALES</t>
  </si>
  <si>
    <t>RESPONSABILIDAD CIVI EXTRACONTRACTUAL</t>
  </si>
  <si>
    <t>TRANSPORTE DE VALORES</t>
  </si>
  <si>
    <t>TODO RIESGO EQUIPO Y MAQUINARÍA</t>
  </si>
  <si>
    <t>Indice Variable 10%</t>
  </si>
  <si>
    <t>TOTAL TODO RIESGO EQUIPO Y MAQUINARÍA</t>
  </si>
  <si>
    <t>TOTAL GRUPO No. 1</t>
  </si>
  <si>
    <t>GRUPO N°2</t>
  </si>
  <si>
    <t>RESPONSABILIDAD CIVI SERVIDORES PÚBLICOS</t>
  </si>
  <si>
    <t>TOTAL GRUPONo. 2</t>
  </si>
  <si>
    <t>GRUPO N°3</t>
  </si>
  <si>
    <t>N/A</t>
  </si>
  <si>
    <t>TRDM OBRAS CIVILES TERMINADAS</t>
  </si>
  <si>
    <t>Futuras Inclusiones TRDM Obras Civiles Terminadas</t>
  </si>
  <si>
    <t>TOTAL OBRAS CIVILES TERMINADAS</t>
  </si>
  <si>
    <t>CASCO BARCO</t>
  </si>
  <si>
    <t>Indice  Variable 5%</t>
  </si>
  <si>
    <t>RESPONSABILIDAD CIVI EXTRACONTRACTUAL - PROYECTO TRIANGULO DEL TOLIMA</t>
  </si>
  <si>
    <t>ENTIDAD</t>
  </si>
  <si>
    <t>No PROCESO</t>
  </si>
  <si>
    <t>TASAS</t>
  </si>
  <si>
    <t>TASA APLICABLE</t>
  </si>
  <si>
    <t>TIPO DE TASA % - %o</t>
  </si>
  <si>
    <t xml:space="preserve">MANEJO GLOBAL </t>
  </si>
  <si>
    <t>RESPONSABILIDAD CIVIL EXTRACONTRACTUAL</t>
  </si>
  <si>
    <t>TRANSPORTE DE MERCANCIAS</t>
  </si>
  <si>
    <t>EQUIPO Y MAQUINARIA</t>
  </si>
  <si>
    <t>INSTITUTO NACIONAL DE SALUD</t>
  </si>
  <si>
    <t>AUTOMÓVILES</t>
  </si>
  <si>
    <t>RESPONSABILIDAD CIVIL SERVIDORES PUBLICOS</t>
  </si>
  <si>
    <t>FONDO DE DESARROLLO DE PROYECTOS DE CUNDINAMARCA-FONDECUN</t>
  </si>
  <si>
    <t>RESPONSABILIDAD CIVIL EXTRACONTRACTUAL- PROYECTO TRIANGULO DEL TOLIMA</t>
  </si>
  <si>
    <t>TODO RIESGO DAÑO MATERIAL  OBRAS CIVILES TERMINADAS</t>
  </si>
  <si>
    <t>TRANSPORTE DE MERCANCÍAS- LIM. despacho $70.000.000</t>
  </si>
  <si>
    <t>TRANSPORTE DE VALORES -LIM. DESPACHO $6.000.000</t>
  </si>
  <si>
    <t>TOTALES LIVIANOS Y PESADOS</t>
  </si>
  <si>
    <t>PESADOS</t>
  </si>
  <si>
    <t>LIVIANOS</t>
  </si>
  <si>
    <t>RESPONSABILIDAD CIVIL EXTRACONTRACTUAL $500.000.000 SIN COBRO DE PRIMA</t>
  </si>
  <si>
    <t>B). ' CONTENIDO EN GEENRAL (MUEBLES Y ENSERES -EQUIPOS Y MAQUINAS OFICINA - EQUIPOS COMEDOR - HERRAMIENTAS ACCESORIOS, CANCHA SINTETICA. Entre Otros) A NIVEL NACIONAL) (Sede Central, UTT´s, DAT adminsitrados por la ADR y Proyectos Estratégicos Nacionales).</t>
  </si>
  <si>
    <t>VIGENCIA DESDE 00:00 HORAS</t>
  </si>
  <si>
    <t>C) EQUIPO ELECTRICO, ELECTRONICO Y DE COMUNCIACIÓN 
(incluidos equipos móviles y portátiles)(Sede Central, UTT´s, DAT adminsitrados por la ADR y Proyectos Estratégicos Nacionales)</t>
  </si>
  <si>
    <t>VIGENCIA HASTA 00:00 HORAS</t>
  </si>
  <si>
    <t>Futuras Inclusiones Todo Riesgo Equipo y Maquinaria</t>
  </si>
  <si>
    <t>5% Del Valor Asegurado de Edificio  de Gastos para la Adecuación de Terrenos</t>
  </si>
  <si>
    <t>10% Del Valor Asegurado de Edificio a Construcciones a las Normas de Sismo Resistencia</t>
  </si>
  <si>
    <t xml:space="preserve">PRIMA NETA </t>
  </si>
  <si>
    <t>JDW300</t>
  </si>
  <si>
    <t>WDC1569431J292994</t>
  </si>
  <si>
    <t>MERCEDES BENZ</t>
  </si>
  <si>
    <t>GLA 200</t>
  </si>
  <si>
    <t>MUL729</t>
  </si>
  <si>
    <t>180413054417204PT</t>
  </si>
  <si>
    <t>SALVA2BG7DH801467</t>
  </si>
  <si>
    <t>LAND ROVER</t>
  </si>
  <si>
    <t>RANGE ROVER EVOQUE</t>
  </si>
  <si>
    <t>IOS157</t>
  </si>
  <si>
    <t>WDD1173421N276767</t>
  </si>
  <si>
    <t>CLA 180</t>
  </si>
  <si>
    <t>Particular</t>
  </si>
  <si>
    <t>Camioneta</t>
  </si>
  <si>
    <t>Campero</t>
  </si>
  <si>
    <t>Automóviles</t>
  </si>
  <si>
    <t>05806114</t>
  </si>
  <si>
    <t>05236079</t>
  </si>
  <si>
    <t>05833192</t>
  </si>
  <si>
    <t>Contribución</t>
  </si>
  <si>
    <t>SOAT LO DE LEY</t>
  </si>
  <si>
    <t>LO DE LEY</t>
  </si>
  <si>
    <t>SOAT</t>
  </si>
  <si>
    <t>CASCO  BARCO</t>
  </si>
  <si>
    <t>TOTAL GRUPO No. 4</t>
  </si>
  <si>
    <t>GRUPO N°4</t>
  </si>
  <si>
    <t>TOTAL GRUPO No. 3</t>
  </si>
  <si>
    <t>SEGURO OBLIGATORIO POR ACCIDENTES DE TRANSITO -SOAT</t>
  </si>
  <si>
    <t>Factura N°</t>
  </si>
  <si>
    <t>Tarifa</t>
  </si>
  <si>
    <t>Tasa RUNT</t>
  </si>
  <si>
    <t>TOTALES PRIMAS</t>
  </si>
  <si>
    <t>Campero camioneta</t>
  </si>
  <si>
    <t>Ato familiar</t>
  </si>
  <si>
    <t>70SO-264712</t>
  </si>
  <si>
    <t>70SO-264686</t>
  </si>
  <si>
    <t>70SO-264675</t>
  </si>
  <si>
    <t>70SO-264677</t>
  </si>
  <si>
    <t>70SO-264643</t>
  </si>
  <si>
    <t>70SO-264635</t>
  </si>
  <si>
    <t>Automóviles familiar</t>
  </si>
  <si>
    <t xml:space="preserve">INDICE VARIABLE ITEMS  A, B,Y D </t>
  </si>
  <si>
    <t>INDICE VARIABLE 5%</t>
  </si>
  <si>
    <t>INDICE VARIABLE 10%</t>
  </si>
  <si>
    <t xml:space="preserve">INDICE VARIABLE 5% </t>
  </si>
  <si>
    <t>70SO -278569</t>
  </si>
  <si>
    <t>ANEXO No.  ESTUDIO DE MERCADO- DETERMINACIÓN TASAS 2026-2027</t>
  </si>
  <si>
    <t>MEJORAS LOCATIVAS</t>
  </si>
  <si>
    <t>H). COBERTURA PARA ADECUACION DE TERRENOS 5%</t>
  </si>
  <si>
    <t>EXCAVADORA JHON DEERE MOTOR  J04045L748556</t>
  </si>
  <si>
    <t>SOAT  DE AGENCIA DE DESARROLLO RURAL - ADR - VIGENCIA 2026-2027-2028- ASEGUADORA ACTUAL PREVISORA</t>
  </si>
  <si>
    <t>DEPARTAMENTO DE CUNDINAMARCA</t>
  </si>
  <si>
    <t>LICITACIÓN PÚBLICA SG-LP-001-2025</t>
  </si>
  <si>
    <t xml:space="preserve">LICITACIÓN PÚBLICA  No. SDH-LP-0001-2025 </t>
  </si>
  <si>
    <t>ARTESANIAS DE COLOMBIA</t>
  </si>
  <si>
    <t xml:space="preserve"> INVITACIÓN ABIERTA ADC-004-2026</t>
  </si>
  <si>
    <t>DIRECCION NACIONAL DE DERECHO DE AUTOR</t>
  </si>
  <si>
    <t>MC DNDA-028-2026</t>
  </si>
  <si>
    <t>SELECCION ABREVIADA SAMC-001-2026</t>
  </si>
  <si>
    <t xml:space="preserve">INSTITUTO DE VIVIENDA DE INTERES SOCIAL Y REFORMA URBANA BUCARAMANGA </t>
  </si>
  <si>
    <t>SA-001-2026 </t>
  </si>
  <si>
    <t>CONCEJO DE BOGOTA</t>
  </si>
  <si>
    <t xml:space="preserve"> SELECCIÓN ABREVIADA DE MENOR CUANTIA No. SDH-SAMC-0001-2026 </t>
  </si>
  <si>
    <t>MINISTERIO DEL INTERIOR</t>
  </si>
  <si>
    <t>CONTRALORIA DE BOGOTA</t>
  </si>
  <si>
    <t>LICITACIÓN PÚBLICA No. CB-LP-001-2026</t>
  </si>
  <si>
    <t>Selección de MÍNIMA CUANTÍA No. IPMC-FPS-001-2026.</t>
  </si>
  <si>
    <t>SECRETARIA DISTRITAL DEL HABITAT</t>
  </si>
  <si>
    <t>SDHT-SAMC-001-2026</t>
  </si>
  <si>
    <t>FONDO PASIVO SOCIAL DE FERROCARRILES NACIONALES DE COLOMBIA</t>
  </si>
  <si>
    <t>SELECCION ABREVIADA DE MENOR CUANTIA SAMC-01-2026</t>
  </si>
  <si>
    <t>SECRETARIA DISTRITAL DE HACIENDA</t>
  </si>
  <si>
    <t>Modalidad Póliza</t>
  </si>
  <si>
    <t>TOTAL PRIMA PROCESO DE ASEGURADORA GRUPOS 1, 2, 3 y 4</t>
  </si>
  <si>
    <t>NOTA: LA VIGENCIA PARA SOAT SERA  DE 365 DIAS A PARTIR DE SU VENCIMIENTO-VER RELACION.</t>
  </si>
  <si>
    <t>AUTOMÓVILES DE AGENCIA DE DESARROLLO RURAL - ADR - CALCULO PRIMA VIGENCIA-ASEGURADORA SOLIDARIA</t>
  </si>
  <si>
    <t>VALOR_ASEGURADO</t>
  </si>
  <si>
    <t>PROYECCIÓN  PRESUPUESTO PROCESO VIGENCIA TECNICA 2026-2027</t>
  </si>
  <si>
    <t>INSTITUTO CARO Y CUERVO</t>
  </si>
  <si>
    <t>SAMC-ICC-161-2026</t>
  </si>
  <si>
    <t>SUPERINTENDENCIA DE INDUSTRIA Y COMERCIO - SIC</t>
  </si>
  <si>
    <t>LICITACIÓN PÚBLICA SIC 8 DE 2026</t>
  </si>
  <si>
    <t>AGENCIA LOGISTICA DE LAS FUERZA MILITARES</t>
  </si>
  <si>
    <t>LICITACIÓN PÚBLICA No. 002-046-2026</t>
  </si>
  <si>
    <t>UNIDAD DE INFORMACIÓN Y ANÁLISIS FINANCIERO - UIAF</t>
  </si>
  <si>
    <t>CONTRATACIÓN DIRECTA DE BIENES Y SERVICIOS QUE REQUIEREN DE RESERVA-2025</t>
  </si>
  <si>
    <t>AUTOMOVILES -  VEHICULOS PESAADOS Y LIVIANOS</t>
  </si>
  <si>
    <t>UNIDAD ADMINISTRATIVA ESPECIAL CUERPO DE BOMBEROS BOGOTA</t>
  </si>
  <si>
    <t>LICITACIÓN PÚBLICA No UAECOB-LP-003-2026</t>
  </si>
  <si>
    <t>PROMEDIO TASA MERCADO</t>
  </si>
  <si>
    <t>PROMEDIO TASA MERCADO+ INCLEMENTO RASEGURO</t>
  </si>
  <si>
    <t>INCREMENTO TASA POR MERCADO REASEGURO EN %</t>
  </si>
  <si>
    <t>Elaborado: Jargu S.A. Corredores de Seguros. - septiembre de 2026</t>
  </si>
  <si>
    <t>Elaborado: Jargu S.A. Corredores de Seguros. -septiembre de 2026</t>
  </si>
  <si>
    <t>Elaborado: Jargu S.A. Corredores de Seguros. - sepiembre de 2026</t>
  </si>
  <si>
    <t>G).ADECUACION DE CONSTRUCCIONES A LAS NORMAS DE SISMO RESISTENCIA 10%</t>
  </si>
  <si>
    <t>VR. FASECOLDA  SEPTIEMBRE 2026</t>
  </si>
  <si>
    <t>SELECCION ABREVIADA DE MENOR CUANTIA  SAMC-03-2026</t>
  </si>
  <si>
    <t>NO HAY EMPRESAS CON PROYECTOS SIMILARES PAARA COMPARAR</t>
  </si>
  <si>
    <t>PROCESO INS-LP-002-2026</t>
  </si>
  <si>
    <t>SAMC-002-2026</t>
  </si>
  <si>
    <t>UNIDAD DE PLANEACIÓN DE INFRAESTRUCTURA DE TRANSPORTE</t>
  </si>
  <si>
    <t>UPIT-CA-002-2026</t>
  </si>
  <si>
    <t>UNIVERSIDAD NACIONAL DE COLOMBIA VIGENCIA 2027</t>
  </si>
  <si>
    <t>INVITACION PUBLICA 19-2025-NAL</t>
  </si>
  <si>
    <t>COMPUTADORES PARA EDUCAR</t>
  </si>
  <si>
    <t>LICITACIÓN PÚBLICA No. 01 DE 2025</t>
  </si>
  <si>
    <r>
      <t xml:space="preserve">NOTA 1. </t>
    </r>
    <r>
      <rPr>
        <sz val="10"/>
        <color rgb="FF000000"/>
        <rFont val="Aptos Narrow"/>
        <family val="2"/>
        <scheme val="minor"/>
      </rPr>
      <t>LA PRIMA  INDICADA SE CALCULA CON LA TARIFA DE 2026</t>
    </r>
  </si>
  <si>
    <r>
      <t xml:space="preserve">NOTA 2.  </t>
    </r>
    <r>
      <rPr>
        <sz val="10"/>
        <color rgb="FF000000"/>
        <rFont val="Aptos Narrow"/>
        <family val="2"/>
        <scheme val="minor"/>
      </rPr>
      <t>SE ACLARA QUE LA VIGENCIA DE LOS SOAT DE LOS VEHÍCULOS DE PLACAS LIT050 Y LIT054 QUE TIENE VENCIMIENTO 16/11/26 A LAS 24:00, INICIARÁN NUEVA VIGENCIA  A PARTIR DE LAS 00:00 HORAS DEL DIA SIGUIENTE AL PERFECCIONAMIENTO DE LOS REQUISITOS DE EJECUCION DEL CONTRATO ESTATAL.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</si>
</sst>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 #,##0_-;_-* &quot;-&quot;_-;_-@_-"/>
    <numFmt numFmtId="43" formatCode="_-* #,##0.00_-;\-* #,##0.00_-;_-* &quot;-&quot;??_-;_-@_-"/>
    <numFmt numFmtId="164" formatCode="_-&quot;$&quot;\ * #,##0.00_-;\-&quot;$&quot;\ * #,##0.00_-;_-&quot;$&quot;\ * &quot;-&quot;??_-;_-@_-"/>
    <numFmt numFmtId="165" formatCode="_(* #,##0.00_);_(* \(#,##0.00\);_(* &quot;-&quot;??_);_(@_)"/>
    <numFmt numFmtId="166" formatCode="&quot;$&quot;\ #,##0"/>
    <numFmt numFmtId="167" formatCode="0.000"/>
    <numFmt numFmtId="168" formatCode="_-&quot;$&quot;\ * #,##0_-;\-&quot;$&quot;\ * #,##0_-;_-&quot;$&quot;\ * &quot;-&quot;??_-;_-@_-"/>
    <numFmt numFmtId="169" formatCode="_(* #,##0_);_(* \(#,##0\);_(* &quot;-&quot;??_);_(@_)"/>
    <numFmt numFmtId="170" formatCode="_-&quot;$&quot;* #,##0_-;\-&quot;$&quot;* #,##0_-;_-&quot;$&quot;* &quot;-&quot;_-;_-@_-"/>
    <numFmt numFmtId="171" formatCode="_-&quot;$&quot;* #,##0.00_-;\-&quot;$&quot;* #,##0.00_-;_-&quot;$&quot;* &quot;-&quot;??_-;_-@_-"/>
    <numFmt numFmtId="172" formatCode="_(&quot;$&quot;\ * #,##0_);_(&quot;$&quot;\ * \(#,##0\);_(&quot;$&quot;\ * &quot;-&quot;??_);_(@_)"/>
    <numFmt numFmtId="173" formatCode="&quot;$&quot;#,##0"/>
    <numFmt numFmtId="174" formatCode="_-* #,##0.00\ _€_-;\-* #,##0.00\ _€_-;_-* &quot;-&quot;??\ _€_-;_-@_-"/>
    <numFmt numFmtId="175" formatCode="_-[$$-240A]\ * #,##0_-;\-[$$-240A]\ * #,##0_-;_-[$$-240A]\ * &quot;-&quot;??_-;_-@_-"/>
    <numFmt numFmtId="176" formatCode="[$-240A]d&quot; de &quot;mmmm&quot; de &quot;yyyy;@"/>
    <numFmt numFmtId="177" formatCode="#,##0.000"/>
    <numFmt numFmtId="178" formatCode="_-* #,##0_-;\-* #,##0_-;_-* &quot;-&quot;??_-;_-@_-"/>
    <numFmt numFmtId="179" formatCode="_-[$$-240A]\ * #,##0_-;\-[$$-240A]\ * #,##0_-;_-[$$-240A]\ * &quot;-&quot;_-;_-@_-"/>
  </numFmts>
  <fonts count="60" x14ac:knownFonts="1">
    <font>
      <sz val="11"/>
      <color theme="1"/>
      <name val="Aptos Narrow"/>
      <family val="2"/>
      <scheme val="minor"/>
    </font>
    <font>
      <sz val="11"/>
      <color theme="1"/>
      <name val="Aptos Narrow"/>
      <family val="2"/>
      <scheme val="minor"/>
    </font>
    <font>
      <sz val="10"/>
      <name val="Arial"/>
      <family val="2"/>
    </font>
    <font>
      <b/>
      <sz val="11"/>
      <name val="Arial Narrow"/>
      <family val="2"/>
    </font>
    <font>
      <sz val="12"/>
      <color theme="1"/>
      <name val="Aptos Narrow"/>
      <family val="2"/>
      <scheme val="minor"/>
    </font>
    <font>
      <sz val="11"/>
      <name val="Arial Narrow"/>
      <family val="2"/>
    </font>
    <font>
      <sz val="11"/>
      <color indexed="8"/>
      <name val="Aptos Narrow"/>
      <family val="2"/>
      <scheme val="minor"/>
    </font>
    <font>
      <b/>
      <sz val="11"/>
      <color theme="1" tint="0.14999847407452621"/>
      <name val="Arial Narrow"/>
      <family val="2"/>
    </font>
    <font>
      <b/>
      <sz val="9"/>
      <color rgb="FF000000"/>
      <name val="Arial"/>
      <family val="2"/>
    </font>
    <font>
      <sz val="9"/>
      <color rgb="FF000000"/>
      <name val="Arial"/>
      <family val="2"/>
    </font>
    <font>
      <sz val="11"/>
      <color theme="1"/>
      <name val="Arial Narrow"/>
      <family val="2"/>
    </font>
    <font>
      <b/>
      <sz val="11"/>
      <color indexed="8"/>
      <name val="Arial Narrow"/>
      <family val="2"/>
    </font>
    <font>
      <b/>
      <sz val="11"/>
      <color indexed="8"/>
      <name val="Aptos Narrow"/>
      <family val="2"/>
      <scheme val="minor"/>
    </font>
    <font>
      <b/>
      <sz val="11"/>
      <color theme="1"/>
      <name val="Arial Narrow"/>
      <family val="2"/>
    </font>
    <font>
      <b/>
      <sz val="16"/>
      <color theme="9" tint="-0.249977111117893"/>
      <name val="Arial Narrow"/>
      <family val="2"/>
    </font>
    <font>
      <b/>
      <sz val="16"/>
      <color theme="7" tint="-0.499984740745262"/>
      <name val="Arial Narrow"/>
      <family val="2"/>
    </font>
    <font>
      <b/>
      <sz val="14"/>
      <color theme="1" tint="0.14999847407452621"/>
      <name val="Arial Narrow"/>
      <family val="2"/>
    </font>
    <font>
      <sz val="11"/>
      <color theme="1" tint="0.14999847407452621"/>
      <name val="Arial Narrow"/>
      <family val="2"/>
    </font>
    <font>
      <sz val="11"/>
      <color indexed="8"/>
      <name val="Calibri"/>
      <family val="2"/>
    </font>
    <font>
      <sz val="10"/>
      <color theme="1"/>
      <name val="Arial"/>
      <family val="2"/>
    </font>
    <font>
      <b/>
      <sz val="18"/>
      <color theme="0"/>
      <name val="Arial"/>
      <family val="2"/>
    </font>
    <font>
      <b/>
      <sz val="10"/>
      <color theme="1"/>
      <name val="Arial"/>
      <family val="2"/>
    </font>
    <font>
      <b/>
      <u/>
      <sz val="10"/>
      <color theme="1"/>
      <name val="Arial"/>
      <family val="2"/>
    </font>
    <font>
      <b/>
      <sz val="10"/>
      <name val="Arial"/>
      <family val="2"/>
    </font>
    <font>
      <b/>
      <sz val="10"/>
      <color indexed="8"/>
      <name val="Arial"/>
      <family val="2"/>
    </font>
    <font>
      <sz val="10"/>
      <color indexed="8"/>
      <name val="Arial"/>
      <family val="2"/>
    </font>
    <font>
      <sz val="10"/>
      <name val="Arial Narrow"/>
      <family val="2"/>
    </font>
    <font>
      <b/>
      <sz val="10"/>
      <name val="Arial Narrow"/>
      <family val="2"/>
    </font>
    <font>
      <b/>
      <sz val="11"/>
      <color theme="0"/>
      <name val="Arial Narrow"/>
      <family val="2"/>
    </font>
    <font>
      <b/>
      <sz val="14"/>
      <color theme="1"/>
      <name val="Arial Narrow"/>
      <family val="2"/>
    </font>
    <font>
      <b/>
      <sz val="11"/>
      <color rgb="FF00B0F0"/>
      <name val="Arial Narrow"/>
      <family val="2"/>
    </font>
    <font>
      <sz val="11"/>
      <color rgb="FF00B0F0"/>
      <name val="Arial Narrow"/>
      <family val="2"/>
    </font>
    <font>
      <b/>
      <sz val="16"/>
      <color theme="0"/>
      <name val="Arial"/>
      <family val="2"/>
    </font>
    <font>
      <b/>
      <sz val="10"/>
      <color rgb="FF0070C0"/>
      <name val="Arial"/>
      <family val="2"/>
    </font>
    <font>
      <b/>
      <sz val="11"/>
      <color rgb="FFFF0000"/>
      <name val="Arial Narrow"/>
      <family val="2"/>
    </font>
    <font>
      <b/>
      <sz val="14"/>
      <color rgb="FFFF0000"/>
      <name val="Arial Narrow"/>
      <family val="2"/>
    </font>
    <font>
      <b/>
      <sz val="12"/>
      <color theme="1"/>
      <name val="Arial"/>
      <family val="2"/>
    </font>
    <font>
      <i/>
      <sz val="10"/>
      <color theme="1"/>
      <name val="Arial"/>
      <family val="2"/>
    </font>
    <font>
      <b/>
      <sz val="10"/>
      <color rgb="FFFF0000"/>
      <name val="Arial"/>
      <family val="2"/>
    </font>
    <font>
      <sz val="11"/>
      <color rgb="FFFF0000"/>
      <name val="Arial Narrow"/>
      <family val="2"/>
    </font>
    <font>
      <sz val="10"/>
      <color theme="1"/>
      <name val="Arial Narrow"/>
      <family val="2"/>
    </font>
    <font>
      <b/>
      <i/>
      <sz val="10"/>
      <color rgb="FF0070C0"/>
      <name val="Arial Narrow"/>
      <family val="2"/>
    </font>
    <font>
      <b/>
      <sz val="12"/>
      <color rgb="FF000000"/>
      <name val="Arial"/>
      <family val="2"/>
    </font>
    <font>
      <b/>
      <i/>
      <sz val="11"/>
      <color theme="1"/>
      <name val="Arial"/>
      <family val="2"/>
    </font>
    <font>
      <b/>
      <sz val="12"/>
      <color rgb="FFFF0000"/>
      <name val="Arial Narrow"/>
      <family val="2"/>
    </font>
    <font>
      <b/>
      <sz val="10"/>
      <color rgb="FFE90000"/>
      <name val="Arial Narrow"/>
      <family val="2"/>
    </font>
    <font>
      <b/>
      <sz val="10"/>
      <color theme="0"/>
      <name val="Arial"/>
      <family val="2"/>
    </font>
    <font>
      <sz val="10"/>
      <color rgb="FF000000"/>
      <name val="Arial"/>
      <family val="2"/>
    </font>
    <font>
      <b/>
      <sz val="10"/>
      <color rgb="FF000000"/>
      <name val="Arial"/>
      <family val="2"/>
    </font>
    <font>
      <sz val="11"/>
      <color theme="1"/>
      <name val="Aptos Narrow"/>
      <family val="2"/>
    </font>
    <font>
      <sz val="11"/>
      <name val="Aptos Narrow"/>
      <family val="2"/>
      <scheme val="minor"/>
    </font>
    <font>
      <sz val="10"/>
      <color rgb="FF006AB9"/>
      <name val="Arial Narrow"/>
      <family val="2"/>
    </font>
    <font>
      <sz val="9"/>
      <color indexed="81"/>
      <name val="Tahoma"/>
      <family val="2"/>
    </font>
    <font>
      <b/>
      <sz val="9"/>
      <color indexed="81"/>
      <name val="Tahoma"/>
      <family val="2"/>
    </font>
    <font>
      <b/>
      <sz val="10"/>
      <color rgb="FFFF0000"/>
      <name val="Arial Narrow"/>
      <family val="2"/>
    </font>
    <font>
      <sz val="10"/>
      <color rgb="FF0070C0"/>
      <name val="Arial Narrow"/>
      <family val="2"/>
    </font>
    <font>
      <sz val="10"/>
      <name val="Aptos Narrow"/>
      <family val="2"/>
    </font>
    <font>
      <sz val="10"/>
      <color theme="1"/>
      <name val="Aptos Narrow"/>
      <family val="2"/>
    </font>
    <font>
      <b/>
      <sz val="10"/>
      <color indexed="8"/>
      <name val="Aptos Narrow"/>
      <family val="2"/>
      <scheme val="minor"/>
    </font>
    <font>
      <sz val="10"/>
      <color rgb="FF000000"/>
      <name val="Aptos Narrow"/>
      <family val="2"/>
      <scheme val="minor"/>
    </font>
  </fonts>
  <fills count="2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rgb="FFFFFFCC"/>
        <bgColor indexed="64"/>
      </patternFill>
    </fill>
    <fill>
      <patternFill patternType="solid">
        <fgColor theme="2" tint="-9.9978637043366805E-2"/>
        <bgColor indexed="64"/>
      </patternFill>
    </fill>
    <fill>
      <patternFill patternType="solid">
        <fgColor theme="5" tint="0.79998168889431442"/>
        <bgColor indexed="64"/>
      </patternFill>
    </fill>
    <fill>
      <patternFill patternType="solid">
        <fgColor rgb="FFFFCCCC"/>
        <bgColor indexed="64"/>
      </patternFill>
    </fill>
    <fill>
      <patternFill patternType="solid">
        <fgColor rgb="FFCCFFCC"/>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rgb="FFB8D3EF"/>
        <bgColor indexed="64"/>
      </patternFill>
    </fill>
    <fill>
      <patternFill patternType="solid">
        <fgColor rgb="FFDAF2D0"/>
        <bgColor indexed="64"/>
      </patternFill>
    </fill>
    <fill>
      <patternFill patternType="solid">
        <fgColor rgb="FFF6C3FF"/>
        <bgColor indexed="64"/>
      </patternFill>
    </fill>
    <fill>
      <patternFill patternType="solid">
        <fgColor rgb="FFFFFF00"/>
        <bgColor indexed="64"/>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theme="4"/>
      </left>
      <right style="thin">
        <color theme="4"/>
      </right>
      <top style="thin">
        <color theme="4"/>
      </top>
      <bottom style="thin">
        <color theme="4"/>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thin">
        <color auto="1"/>
      </top>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double">
        <color indexed="64"/>
      </bottom>
      <diagonal/>
    </border>
  </borders>
  <cellStyleXfs count="18">
    <xf numFmtId="0" fontId="0" fillId="0" borderId="0"/>
    <xf numFmtId="43" fontId="1" fillId="0" borderId="0" applyFont="0" applyFill="0" applyBorder="0" applyAlignment="0" applyProtection="0"/>
    <xf numFmtId="0" fontId="2" fillId="0" borderId="0"/>
    <xf numFmtId="0" fontId="6" fillId="0" borderId="0"/>
    <xf numFmtId="164" fontId="1" fillId="0" borderId="0" applyFont="0" applyFill="0" applyBorder="0" applyAlignment="0" applyProtection="0"/>
    <xf numFmtId="0" fontId="6" fillId="0" borderId="0"/>
    <xf numFmtId="165" fontId="18" fillId="0" borderId="0" applyFont="0" applyFill="0" applyBorder="0" applyAlignment="0" applyProtection="0"/>
    <xf numFmtId="164" fontId="1" fillId="0" borderId="0" applyFont="0" applyFill="0" applyBorder="0" applyAlignment="0" applyProtection="0"/>
    <xf numFmtId="0" fontId="1" fillId="0" borderId="0"/>
    <xf numFmtId="171" fontId="1" fillId="0" borderId="0" applyFont="0" applyFill="0" applyBorder="0" applyAlignment="0" applyProtection="0"/>
    <xf numFmtId="174" fontId="18" fillId="0" borderId="0" applyFont="0" applyFill="0" applyBorder="0" applyAlignment="0" applyProtection="0"/>
    <xf numFmtId="0" fontId="4" fillId="0" borderId="0"/>
    <xf numFmtId="0" fontId="2" fillId="0" borderId="0"/>
    <xf numFmtId="165" fontId="18" fillId="0" borderId="0" applyFont="0" applyFill="0" applyBorder="0" applyAlignment="0" applyProtection="0"/>
    <xf numFmtId="164" fontId="4" fillId="0" borderId="0" applyFont="0" applyFill="0" applyBorder="0" applyAlignment="0" applyProtection="0"/>
    <xf numFmtId="41" fontId="1" fillId="0" borderId="0" applyFont="0" applyFill="0" applyBorder="0" applyAlignment="0" applyProtection="0"/>
    <xf numFmtId="170" fontId="1" fillId="0" borderId="0" applyFont="0" applyFill="0" applyBorder="0" applyAlignment="0" applyProtection="0"/>
    <xf numFmtId="0" fontId="2" fillId="0" borderId="0"/>
  </cellStyleXfs>
  <cellXfs count="424">
    <xf numFmtId="0" fontId="0" fillId="0" borderId="0" xfId="0"/>
    <xf numFmtId="0" fontId="9" fillId="0" borderId="17" xfId="0" applyFont="1" applyBorder="1" applyAlignment="1">
      <alignment horizontal="center" vertical="center"/>
    </xf>
    <xf numFmtId="0" fontId="6" fillId="3" borderId="0" xfId="5" applyFill="1"/>
    <xf numFmtId="0" fontId="7" fillId="4" borderId="16" xfId="5" applyFont="1" applyFill="1" applyBorder="1" applyAlignment="1" applyProtection="1">
      <alignment horizontal="center" vertical="center"/>
      <protection hidden="1"/>
    </xf>
    <xf numFmtId="0" fontId="17" fillId="0" borderId="17" xfId="5" applyFont="1" applyBorder="1" applyAlignment="1" applyProtection="1">
      <alignment horizontal="center" vertical="center"/>
      <protection hidden="1"/>
    </xf>
    <xf numFmtId="0" fontId="10" fillId="0" borderId="17" xfId="5" applyFont="1" applyBorder="1" applyAlignment="1" applyProtection="1">
      <alignment horizontal="center" vertical="center"/>
      <protection locked="0" hidden="1"/>
    </xf>
    <xf numFmtId="0" fontId="17" fillId="0" borderId="18" xfId="5" applyFont="1" applyBorder="1" applyAlignment="1" applyProtection="1">
      <alignment horizontal="center" vertical="center"/>
      <protection hidden="1"/>
    </xf>
    <xf numFmtId="0" fontId="10" fillId="0" borderId="18" xfId="5" applyFont="1" applyBorder="1" applyAlignment="1" applyProtection="1">
      <alignment horizontal="center" vertical="center"/>
      <protection locked="0" hidden="1"/>
    </xf>
    <xf numFmtId="0" fontId="11" fillId="4" borderId="1" xfId="5" applyFont="1" applyFill="1" applyBorder="1"/>
    <xf numFmtId="0" fontId="11" fillId="4" borderId="2" xfId="5" applyFont="1" applyFill="1" applyBorder="1"/>
    <xf numFmtId="0" fontId="6" fillId="4" borderId="2" xfId="5" applyFill="1" applyBorder="1"/>
    <xf numFmtId="0" fontId="19" fillId="0" borderId="0" xfId="0" applyFont="1" applyAlignment="1">
      <alignment vertical="center" wrapText="1"/>
    </xf>
    <xf numFmtId="0" fontId="21" fillId="7" borderId="15" xfId="0" applyFont="1" applyFill="1" applyBorder="1" applyAlignment="1">
      <alignment horizontal="center" vertical="center" wrapText="1"/>
    </xf>
    <xf numFmtId="170" fontId="21" fillId="7" borderId="15" xfId="0" applyNumberFormat="1" applyFont="1" applyFill="1" applyBorder="1" applyAlignment="1">
      <alignment horizontal="center" vertical="center" wrapText="1"/>
    </xf>
    <xf numFmtId="0" fontId="2" fillId="0" borderId="15" xfId="8" quotePrefix="1" applyFont="1" applyBorder="1" applyAlignment="1">
      <alignment horizontal="left" vertical="center" wrapText="1"/>
    </xf>
    <xf numFmtId="172" fontId="19" fillId="0" borderId="15" xfId="9" applyNumberFormat="1" applyFont="1" applyFill="1" applyBorder="1" applyAlignment="1">
      <alignment vertical="center" wrapText="1"/>
    </xf>
    <xf numFmtId="0" fontId="23" fillId="3" borderId="15" xfId="8" quotePrefix="1" applyFont="1" applyFill="1" applyBorder="1" applyAlignment="1">
      <alignment horizontal="left" vertical="center" wrapText="1"/>
    </xf>
    <xf numFmtId="172" fontId="21" fillId="0" borderId="15" xfId="9" applyNumberFormat="1" applyFont="1" applyBorder="1" applyAlignment="1">
      <alignment vertical="center" wrapText="1"/>
    </xf>
    <xf numFmtId="0" fontId="2" fillId="3" borderId="15" xfId="8" quotePrefix="1" applyFont="1" applyFill="1" applyBorder="1" applyAlignment="1">
      <alignment horizontal="left" vertical="center" wrapText="1"/>
    </xf>
    <xf numFmtId="172" fontId="19" fillId="0" borderId="15" xfId="9" applyNumberFormat="1" applyFont="1" applyBorder="1" applyAlignment="1">
      <alignment vertical="center" wrapText="1"/>
    </xf>
    <xf numFmtId="172" fontId="19" fillId="0" borderId="0" xfId="0" applyNumberFormat="1" applyFont="1" applyAlignment="1">
      <alignment vertical="center" wrapText="1"/>
    </xf>
    <xf numFmtId="0" fontId="21" fillId="8" borderId="15" xfId="0" applyFont="1" applyFill="1" applyBorder="1" applyAlignment="1">
      <alignment horizontal="left" vertical="center" wrapText="1"/>
    </xf>
    <xf numFmtId="172" fontId="21" fillId="8" borderId="15" xfId="0" applyNumberFormat="1" applyFont="1" applyFill="1" applyBorder="1" applyAlignment="1">
      <alignment vertical="center" wrapText="1"/>
    </xf>
    <xf numFmtId="0" fontId="21" fillId="2" borderId="15" xfId="0" applyFont="1" applyFill="1" applyBorder="1" applyAlignment="1">
      <alignment horizontal="center" vertical="center" wrapText="1"/>
    </xf>
    <xf numFmtId="172" fontId="21" fillId="2" borderId="15" xfId="0" applyNumberFormat="1" applyFont="1" applyFill="1" applyBorder="1" applyAlignment="1">
      <alignment vertical="center" wrapText="1"/>
    </xf>
    <xf numFmtId="0" fontId="24" fillId="9" borderId="15" xfId="8" applyFont="1" applyFill="1" applyBorder="1" applyAlignment="1">
      <alignment horizontal="center" vertical="center" wrapText="1"/>
    </xf>
    <xf numFmtId="173" fontId="24" fillId="9" borderId="15" xfId="8" applyNumberFormat="1" applyFont="1" applyFill="1" applyBorder="1" applyAlignment="1">
      <alignment horizontal="center" vertical="center" wrapText="1"/>
    </xf>
    <xf numFmtId="166" fontId="25" fillId="0" borderId="30" xfId="10" applyNumberFormat="1" applyFont="1" applyFill="1" applyBorder="1" applyAlignment="1">
      <alignment vertical="center"/>
    </xf>
    <xf numFmtId="0" fontId="2" fillId="0" borderId="31" xfId="8" quotePrefix="1" applyFont="1" applyBorder="1" applyAlignment="1">
      <alignment horizontal="left" vertical="center" wrapText="1"/>
    </xf>
    <xf numFmtId="166" fontId="25" fillId="0" borderId="32" xfId="10" applyNumberFormat="1" applyFont="1" applyFill="1" applyBorder="1" applyAlignment="1">
      <alignment vertical="center"/>
    </xf>
    <xf numFmtId="0" fontId="23" fillId="0" borderId="7" xfId="0" applyFont="1" applyBorder="1" applyAlignment="1">
      <alignment vertical="center"/>
    </xf>
    <xf numFmtId="171" fontId="19" fillId="0" borderId="0" xfId="9" applyFont="1" applyAlignment="1">
      <alignment vertical="center" wrapText="1"/>
    </xf>
    <xf numFmtId="0" fontId="19" fillId="0" borderId="0" xfId="0" applyFont="1"/>
    <xf numFmtId="0" fontId="26" fillId="0" borderId="0" xfId="11" applyFont="1" applyAlignment="1">
      <alignment vertical="center"/>
    </xf>
    <xf numFmtId="173" fontId="11" fillId="9" borderId="28" xfId="8" applyNumberFormat="1" applyFont="1" applyFill="1" applyBorder="1" applyAlignment="1">
      <alignment horizontal="center" vertical="center" wrapText="1"/>
    </xf>
    <xf numFmtId="0" fontId="11" fillId="9" borderId="34" xfId="8" applyFont="1" applyFill="1" applyBorder="1" applyAlignment="1">
      <alignment horizontal="center" vertical="center" wrapText="1"/>
    </xf>
    <xf numFmtId="0" fontId="11" fillId="9" borderId="21" xfId="8" applyFont="1" applyFill="1" applyBorder="1" applyAlignment="1">
      <alignment horizontal="left" vertical="center" wrapText="1"/>
    </xf>
    <xf numFmtId="0" fontId="5" fillId="0" borderId="35" xfId="11" applyFont="1" applyBorder="1" applyAlignment="1">
      <alignment vertical="center"/>
    </xf>
    <xf numFmtId="0" fontId="5" fillId="0" borderId="15" xfId="11" applyFont="1" applyBorder="1" applyAlignment="1">
      <alignment vertical="center" wrapText="1"/>
    </xf>
    <xf numFmtId="166" fontId="5" fillId="0" borderId="25" xfId="14" applyNumberFormat="1" applyFont="1" applyBorder="1" applyAlignment="1">
      <alignment vertical="center"/>
    </xf>
    <xf numFmtId="166" fontId="5" fillId="0" borderId="30" xfId="11" applyNumberFormat="1" applyFont="1" applyBorder="1" applyAlignment="1">
      <alignment vertical="center"/>
    </xf>
    <xf numFmtId="0" fontId="5" fillId="0" borderId="4" xfId="11" applyFont="1" applyBorder="1" applyAlignment="1">
      <alignment vertical="center"/>
    </xf>
    <xf numFmtId="0" fontId="3" fillId="0" borderId="1" xfId="11" applyFont="1" applyBorder="1" applyAlignment="1">
      <alignment vertical="center"/>
    </xf>
    <xf numFmtId="166" fontId="3" fillId="0" borderId="15" xfId="11" applyNumberFormat="1" applyFont="1" applyBorder="1" applyAlignment="1">
      <alignment vertical="center"/>
    </xf>
    <xf numFmtId="0" fontId="26" fillId="0" borderId="4" xfId="11" applyFont="1" applyBorder="1" applyAlignment="1">
      <alignment vertical="center"/>
    </xf>
    <xf numFmtId="170" fontId="29" fillId="12" borderId="14" xfId="0" applyNumberFormat="1" applyFont="1" applyFill="1" applyBorder="1" applyAlignment="1">
      <alignment vertical="center" wrapText="1"/>
    </xf>
    <xf numFmtId="0" fontId="26" fillId="0" borderId="0" xfId="11" applyFont="1" applyAlignment="1">
      <alignment horizontal="center"/>
    </xf>
    <xf numFmtId="0" fontId="11" fillId="9" borderId="34" xfId="8" applyFont="1" applyFill="1" applyBorder="1" applyAlignment="1">
      <alignment horizontal="center" wrapText="1"/>
    </xf>
    <xf numFmtId="0" fontId="5" fillId="0" borderId="35" xfId="11" applyFont="1" applyBorder="1" applyAlignment="1">
      <alignment horizontal="center"/>
    </xf>
    <xf numFmtId="0" fontId="5" fillId="0" borderId="15" xfId="11" applyFont="1" applyBorder="1" applyAlignment="1">
      <alignment vertical="center"/>
    </xf>
    <xf numFmtId="0" fontId="5" fillId="0" borderId="4" xfId="11" applyFont="1" applyBorder="1" applyAlignment="1">
      <alignment horizontal="center"/>
    </xf>
    <xf numFmtId="0" fontId="30" fillId="0" borderId="7" xfId="11" applyFont="1" applyBorder="1" applyAlignment="1">
      <alignment vertical="center"/>
    </xf>
    <xf numFmtId="166" fontId="30" fillId="0" borderId="2" xfId="11" applyNumberFormat="1" applyFont="1" applyBorder="1" applyAlignment="1">
      <alignment vertical="center"/>
    </xf>
    <xf numFmtId="166" fontId="30" fillId="0" borderId="7" xfId="11" applyNumberFormat="1" applyFont="1" applyBorder="1" applyAlignment="1">
      <alignment vertical="center"/>
    </xf>
    <xf numFmtId="166" fontId="11" fillId="9" borderId="23" xfId="8" applyNumberFormat="1" applyFont="1" applyFill="1" applyBorder="1" applyAlignment="1">
      <alignment horizontal="center" vertical="center" wrapText="1"/>
    </xf>
    <xf numFmtId="166" fontId="11" fillId="9" borderId="28" xfId="8" applyNumberFormat="1" applyFont="1" applyFill="1" applyBorder="1" applyAlignment="1">
      <alignment horizontal="center" vertical="center" wrapText="1"/>
    </xf>
    <xf numFmtId="0" fontId="31" fillId="0" borderId="15" xfId="11" applyFont="1" applyBorder="1" applyAlignment="1">
      <alignment vertical="center"/>
    </xf>
    <xf numFmtId="166" fontId="30" fillId="0" borderId="25" xfId="14" applyNumberFormat="1" applyFont="1" applyBorder="1" applyAlignment="1">
      <alignment vertical="center"/>
    </xf>
    <xf numFmtId="166" fontId="30" fillId="0" borderId="30" xfId="11" applyNumberFormat="1" applyFont="1" applyBorder="1" applyAlignment="1">
      <alignment vertical="center"/>
    </xf>
    <xf numFmtId="166" fontId="5" fillId="0" borderId="25" xfId="11" applyNumberFormat="1" applyFont="1" applyBorder="1" applyAlignment="1">
      <alignment vertical="center"/>
    </xf>
    <xf numFmtId="0" fontId="5" fillId="0" borderId="9" xfId="11" applyFont="1" applyBorder="1" applyAlignment="1">
      <alignment horizontal="center"/>
    </xf>
    <xf numFmtId="0" fontId="30" fillId="0" borderId="12" xfId="11" applyFont="1" applyBorder="1" applyAlignment="1">
      <alignment vertical="center"/>
    </xf>
    <xf numFmtId="166" fontId="30" fillId="0" borderId="12" xfId="11" applyNumberFormat="1" applyFont="1" applyBorder="1" applyAlignment="1">
      <alignment vertical="center"/>
    </xf>
    <xf numFmtId="0" fontId="5" fillId="0" borderId="25" xfId="11" applyFont="1" applyBorder="1" applyAlignment="1">
      <alignment vertical="center" wrapText="1"/>
    </xf>
    <xf numFmtId="166" fontId="5" fillId="0" borderId="15" xfId="11" applyNumberFormat="1" applyFont="1" applyBorder="1" applyAlignment="1">
      <alignment vertical="center"/>
    </xf>
    <xf numFmtId="0" fontId="30" fillId="0" borderId="1" xfId="11" applyFont="1" applyBorder="1" applyAlignment="1">
      <alignment vertical="center"/>
    </xf>
    <xf numFmtId="166" fontId="30" fillId="0" borderId="26" xfId="11" applyNumberFormat="1" applyFont="1" applyBorder="1" applyAlignment="1">
      <alignment vertical="center"/>
    </xf>
    <xf numFmtId="0" fontId="11" fillId="9" borderId="23" xfId="8" applyFont="1" applyFill="1" applyBorder="1" applyAlignment="1">
      <alignment horizontal="left" vertical="center" wrapText="1"/>
    </xf>
    <xf numFmtId="166" fontId="5" fillId="0" borderId="17" xfId="14" applyNumberFormat="1" applyFont="1" applyBorder="1" applyAlignment="1">
      <alignment vertical="center"/>
    </xf>
    <xf numFmtId="166" fontId="5" fillId="0" borderId="10" xfId="11" applyNumberFormat="1" applyFont="1" applyBorder="1" applyAlignment="1">
      <alignment vertical="center"/>
    </xf>
    <xf numFmtId="166" fontId="30" fillId="0" borderId="17" xfId="14" applyNumberFormat="1" applyFont="1" applyBorder="1" applyAlignment="1">
      <alignment vertical="center"/>
    </xf>
    <xf numFmtId="166" fontId="5" fillId="0" borderId="6" xfId="11" applyNumberFormat="1" applyFont="1" applyBorder="1" applyAlignment="1">
      <alignment vertical="center"/>
    </xf>
    <xf numFmtId="175" fontId="19" fillId="0" borderId="0" xfId="0" quotePrefix="1" applyNumberFormat="1" applyFont="1" applyAlignment="1">
      <alignment vertical="center" wrapText="1"/>
    </xf>
    <xf numFmtId="175" fontId="19" fillId="0" borderId="9" xfId="0" quotePrefix="1" applyNumberFormat="1" applyFont="1" applyBorder="1" applyAlignment="1">
      <alignment vertical="center" wrapText="1"/>
    </xf>
    <xf numFmtId="166" fontId="23" fillId="0" borderId="7" xfId="0" applyNumberFormat="1" applyFont="1" applyBorder="1" applyAlignment="1">
      <alignment vertical="center"/>
    </xf>
    <xf numFmtId="0" fontId="19" fillId="0" borderId="0" xfId="0" applyFont="1" applyAlignment="1">
      <alignment vertical="center"/>
    </xf>
    <xf numFmtId="41" fontId="10" fillId="0" borderId="0" xfId="15" applyFont="1" applyBorder="1" applyAlignment="1">
      <alignment vertical="center"/>
    </xf>
    <xf numFmtId="176" fontId="13" fillId="3" borderId="42" xfId="0" applyNumberFormat="1" applyFont="1" applyFill="1" applyBorder="1" applyAlignment="1">
      <alignment horizontal="center" vertical="center"/>
    </xf>
    <xf numFmtId="0" fontId="13" fillId="2" borderId="15" xfId="0" applyFont="1" applyFill="1" applyBorder="1" applyAlignment="1">
      <alignment horizontal="center" vertical="center" wrapText="1"/>
    </xf>
    <xf numFmtId="41" fontId="13" fillId="2" borderId="15" xfId="15" applyFont="1" applyFill="1" applyBorder="1" applyAlignment="1">
      <alignment horizontal="center" vertical="center" wrapText="1"/>
    </xf>
    <xf numFmtId="166" fontId="13" fillId="0" borderId="15" xfId="16" applyNumberFormat="1" applyFont="1" applyFill="1" applyBorder="1" applyAlignment="1">
      <alignment horizontal="right" vertical="center"/>
    </xf>
    <xf numFmtId="0" fontId="10" fillId="0" borderId="15" xfId="0" applyFont="1" applyBorder="1" applyAlignment="1">
      <alignment horizontal="center" vertical="center"/>
    </xf>
    <xf numFmtId="170" fontId="13" fillId="0" borderId="15" xfId="16" applyFont="1" applyFill="1" applyBorder="1" applyAlignment="1">
      <alignment horizontal="center" vertical="center"/>
    </xf>
    <xf numFmtId="170" fontId="10" fillId="0" borderId="15" xfId="16" applyFont="1" applyFill="1" applyBorder="1" applyAlignment="1">
      <alignment horizontal="center" vertical="center"/>
    </xf>
    <xf numFmtId="166" fontId="13" fillId="2" borderId="15" xfId="15" applyNumberFormat="1" applyFont="1" applyFill="1" applyBorder="1" applyAlignment="1">
      <alignment vertical="center"/>
    </xf>
    <xf numFmtId="170" fontId="13" fillId="2" borderId="15" xfId="15" applyNumberFormat="1" applyFont="1" applyFill="1" applyBorder="1" applyAlignment="1">
      <alignment vertical="center"/>
    </xf>
    <xf numFmtId="166" fontId="13" fillId="2" borderId="15" xfId="16" applyNumberFormat="1" applyFont="1" applyFill="1" applyBorder="1" applyAlignment="1">
      <alignment horizontal="right" vertical="center"/>
    </xf>
    <xf numFmtId="0" fontId="13" fillId="2" borderId="15" xfId="0" applyFont="1" applyFill="1" applyBorder="1" applyAlignment="1">
      <alignment horizontal="center" vertical="center"/>
    </xf>
    <xf numFmtId="170" fontId="13" fillId="2" borderId="15" xfId="16" applyFont="1" applyFill="1" applyBorder="1" applyAlignment="1">
      <alignment horizontal="center" vertical="center"/>
    </xf>
    <xf numFmtId="41" fontId="13" fillId="0" borderId="0" xfId="15" applyFont="1" applyFill="1" applyBorder="1" applyAlignment="1">
      <alignment horizontal="center" vertical="center"/>
    </xf>
    <xf numFmtId="170" fontId="13" fillId="0" borderId="0" xfId="15" applyNumberFormat="1" applyFont="1" applyFill="1" applyBorder="1" applyAlignment="1">
      <alignment vertical="center"/>
    </xf>
    <xf numFmtId="0" fontId="10" fillId="2" borderId="15" xfId="0" applyFont="1" applyFill="1" applyBorder="1" applyAlignment="1">
      <alignment horizontal="center" vertical="center"/>
    </xf>
    <xf numFmtId="0" fontId="10" fillId="14" borderId="15" xfId="0" applyFont="1" applyFill="1" applyBorder="1" applyAlignment="1">
      <alignment horizontal="center" vertical="center"/>
    </xf>
    <xf numFmtId="170" fontId="13" fillId="14" borderId="15" xfId="16" applyFont="1" applyFill="1" applyBorder="1" applyAlignment="1">
      <alignment horizontal="center" vertical="center"/>
    </xf>
    <xf numFmtId="41" fontId="13" fillId="14" borderId="15" xfId="15" applyFont="1" applyFill="1" applyBorder="1" applyAlignment="1">
      <alignment vertical="center"/>
    </xf>
    <xf numFmtId="167" fontId="13" fillId="14" borderId="15" xfId="0" applyNumberFormat="1" applyFont="1" applyFill="1" applyBorder="1" applyAlignment="1">
      <alignment horizontal="center" vertical="center"/>
    </xf>
    <xf numFmtId="166" fontId="21" fillId="0" borderId="0" xfId="15" applyNumberFormat="1" applyFont="1" applyFill="1" applyBorder="1" applyAlignment="1">
      <alignment vertical="center"/>
    </xf>
    <xf numFmtId="166" fontId="21" fillId="0" borderId="0" xfId="15" applyNumberFormat="1" applyFont="1" applyFill="1" applyBorder="1" applyAlignment="1">
      <alignment horizontal="center" vertical="center"/>
    </xf>
    <xf numFmtId="170" fontId="21" fillId="0" borderId="0" xfId="15" applyNumberFormat="1" applyFont="1" applyFill="1" applyBorder="1" applyAlignment="1">
      <alignment vertical="center"/>
    </xf>
    <xf numFmtId="41" fontId="21" fillId="3" borderId="0" xfId="15" applyFont="1" applyFill="1" applyBorder="1" applyAlignment="1">
      <alignment horizontal="center" vertical="center" wrapText="1"/>
    </xf>
    <xf numFmtId="0" fontId="21" fillId="0" borderId="0" xfId="0" applyFont="1" applyAlignment="1">
      <alignment horizontal="center" vertical="center"/>
    </xf>
    <xf numFmtId="41" fontId="19" fillId="0" borderId="0" xfId="15" applyFont="1" applyAlignment="1">
      <alignment vertical="center"/>
    </xf>
    <xf numFmtId="0" fontId="19" fillId="0" borderId="0" xfId="0" applyFont="1" applyAlignment="1">
      <alignment horizontal="center" vertical="center"/>
    </xf>
    <xf numFmtId="177" fontId="19" fillId="0" borderId="0" xfId="0" applyNumberFormat="1" applyFont="1"/>
    <xf numFmtId="0" fontId="7" fillId="4" borderId="48" xfId="5" applyFont="1" applyFill="1" applyBorder="1" applyAlignment="1" applyProtection="1">
      <alignment horizontal="center" vertical="center"/>
      <protection hidden="1"/>
    </xf>
    <xf numFmtId="0" fontId="10" fillId="0" borderId="49" xfId="5" applyFont="1" applyBorder="1" applyAlignment="1" applyProtection="1">
      <alignment vertical="center"/>
      <protection locked="0" hidden="1"/>
    </xf>
    <xf numFmtId="0" fontId="10" fillId="0" borderId="50" xfId="5" applyFont="1" applyBorder="1" applyAlignment="1" applyProtection="1">
      <alignment vertical="center"/>
      <protection locked="0" hidden="1"/>
    </xf>
    <xf numFmtId="0" fontId="7" fillId="4" borderId="7" xfId="5" applyFont="1" applyFill="1" applyBorder="1" applyAlignment="1" applyProtection="1">
      <alignment horizontal="center" vertical="center"/>
      <protection hidden="1"/>
    </xf>
    <xf numFmtId="0" fontId="7" fillId="4" borderId="7" xfId="5" applyFont="1" applyFill="1" applyBorder="1" applyAlignment="1" applyProtection="1">
      <alignment horizontal="center" vertical="center" wrapText="1"/>
      <protection hidden="1"/>
    </xf>
    <xf numFmtId="14" fontId="7" fillId="4" borderId="7" xfId="5" applyNumberFormat="1" applyFont="1" applyFill="1" applyBorder="1" applyAlignment="1" applyProtection="1">
      <alignment horizontal="center" vertical="center" wrapText="1"/>
      <protection hidden="1"/>
    </xf>
    <xf numFmtId="14" fontId="7" fillId="4" borderId="7" xfId="5" applyNumberFormat="1" applyFont="1" applyFill="1" applyBorder="1" applyAlignment="1" applyProtection="1">
      <alignment horizontal="center" vertical="center"/>
      <protection hidden="1"/>
    </xf>
    <xf numFmtId="0" fontId="8" fillId="4" borderId="7" xfId="0" applyFont="1" applyFill="1" applyBorder="1" applyAlignment="1">
      <alignment horizontal="center" vertical="center"/>
    </xf>
    <xf numFmtId="0" fontId="10" fillId="0" borderId="7" xfId="5" applyFont="1" applyBorder="1" applyAlignment="1" applyProtection="1">
      <alignment vertical="center"/>
      <protection locked="0" hidden="1"/>
    </xf>
    <xf numFmtId="0" fontId="10" fillId="0" borderId="7" xfId="5" applyFont="1" applyBorder="1" applyAlignment="1" applyProtection="1">
      <alignment horizontal="center" vertical="center"/>
      <protection locked="0" hidden="1"/>
    </xf>
    <xf numFmtId="14" fontId="9" fillId="0" borderId="7" xfId="0" applyNumberFormat="1" applyFont="1" applyBorder="1" applyAlignment="1">
      <alignment horizontal="center" vertical="center"/>
    </xf>
    <xf numFmtId="0" fontId="10" fillId="0" borderId="7" xfId="5" applyFont="1" applyBorder="1" applyAlignment="1" applyProtection="1">
      <alignment wrapText="1"/>
      <protection locked="0" hidden="1"/>
    </xf>
    <xf numFmtId="165" fontId="10" fillId="0" borderId="7" xfId="6" applyFont="1" applyBorder="1" applyAlignment="1" applyProtection="1">
      <alignment horizontal="center" vertical="center"/>
      <protection locked="0" hidden="1"/>
    </xf>
    <xf numFmtId="168" fontId="9" fillId="0" borderId="7" xfId="7" applyNumberFormat="1" applyFont="1" applyFill="1" applyBorder="1" applyAlignment="1">
      <alignment horizontal="center" vertical="center"/>
    </xf>
    <xf numFmtId="0" fontId="6" fillId="4" borderId="7" xfId="5" applyFill="1" applyBorder="1"/>
    <xf numFmtId="0" fontId="12" fillId="4" borderId="7" xfId="5" applyFont="1" applyFill="1" applyBorder="1" applyAlignment="1">
      <alignment horizontal="center"/>
    </xf>
    <xf numFmtId="169" fontId="12" fillId="4" borderId="7" xfId="5" applyNumberFormat="1" applyFont="1" applyFill="1" applyBorder="1" applyAlignment="1">
      <alignment horizontal="center"/>
    </xf>
    <xf numFmtId="178" fontId="12" fillId="4" borderId="7" xfId="1" applyNumberFormat="1" applyFont="1" applyFill="1" applyBorder="1" applyAlignment="1">
      <alignment horizontal="center"/>
    </xf>
    <xf numFmtId="170" fontId="30" fillId="15" borderId="15" xfId="15" applyNumberFormat="1" applyFont="1" applyFill="1" applyBorder="1" applyAlignment="1">
      <alignment vertical="center"/>
    </xf>
    <xf numFmtId="166" fontId="30" fillId="15" borderId="15" xfId="15" applyNumberFormat="1" applyFont="1" applyFill="1" applyBorder="1" applyAlignment="1">
      <alignment vertical="center"/>
    </xf>
    <xf numFmtId="166" fontId="39" fillId="0" borderId="15" xfId="15" applyNumberFormat="1" applyFont="1" applyFill="1" applyBorder="1" applyAlignment="1">
      <alignment vertical="center"/>
    </xf>
    <xf numFmtId="166" fontId="39" fillId="0" borderId="15" xfId="15" applyNumberFormat="1" applyFont="1" applyFill="1" applyBorder="1" applyAlignment="1">
      <alignment horizontal="center" vertical="center"/>
    </xf>
    <xf numFmtId="170" fontId="39" fillId="0" borderId="15" xfId="16" applyFont="1" applyFill="1" applyBorder="1" applyAlignment="1">
      <alignment horizontal="center" vertical="center"/>
    </xf>
    <xf numFmtId="170" fontId="39" fillId="0" borderId="15" xfId="15" applyNumberFormat="1" applyFont="1" applyFill="1" applyBorder="1" applyAlignment="1">
      <alignment vertical="center"/>
    </xf>
    <xf numFmtId="2" fontId="26" fillId="16" borderId="15" xfId="0" applyNumberFormat="1" applyFont="1" applyFill="1" applyBorder="1" applyAlignment="1">
      <alignment horizontal="center" vertical="center" wrapText="1"/>
    </xf>
    <xf numFmtId="0" fontId="41" fillId="9" borderId="15" xfId="0" applyFont="1" applyFill="1" applyBorder="1" applyAlignment="1">
      <alignment vertical="center" wrapText="1"/>
    </xf>
    <xf numFmtId="0" fontId="40" fillId="0" borderId="15" xfId="0" applyFont="1" applyBorder="1" applyAlignment="1">
      <alignment horizontal="center" vertical="center" wrapText="1"/>
    </xf>
    <xf numFmtId="0" fontId="26" fillId="0" borderId="47" xfId="0" applyFont="1" applyBorder="1" applyAlignment="1">
      <alignment horizontal="left" vertical="center" wrapText="1"/>
    </xf>
    <xf numFmtId="0" fontId="41" fillId="9" borderId="15" xfId="0" applyFont="1" applyFill="1" applyBorder="1" applyAlignment="1">
      <alignment horizontal="left" vertical="center" wrapText="1"/>
    </xf>
    <xf numFmtId="177" fontId="26" fillId="9" borderId="15" xfId="0" applyNumberFormat="1" applyFont="1" applyFill="1" applyBorder="1" applyAlignment="1">
      <alignment horizontal="center" vertical="center"/>
    </xf>
    <xf numFmtId="0" fontId="26" fillId="17" borderId="15" xfId="0" applyFont="1" applyFill="1" applyBorder="1" applyAlignment="1">
      <alignment horizontal="center" vertical="center" wrapText="1"/>
    </xf>
    <xf numFmtId="166" fontId="13" fillId="18" borderId="15" xfId="15" applyNumberFormat="1" applyFont="1" applyFill="1" applyBorder="1" applyAlignment="1">
      <alignment vertical="center"/>
    </xf>
    <xf numFmtId="0" fontId="13" fillId="18" borderId="15" xfId="0" applyFont="1" applyFill="1" applyBorder="1" applyAlignment="1">
      <alignment horizontal="center" vertical="center" wrapText="1"/>
    </xf>
    <xf numFmtId="41" fontId="13" fillId="18" borderId="15" xfId="15" applyFont="1" applyFill="1" applyBorder="1" applyAlignment="1">
      <alignment horizontal="center" vertical="center" wrapText="1"/>
    </xf>
    <xf numFmtId="167" fontId="30" fillId="18" borderId="15" xfId="0" applyNumberFormat="1" applyFont="1" applyFill="1" applyBorder="1" applyAlignment="1">
      <alignment horizontal="center" vertical="center"/>
    </xf>
    <xf numFmtId="0" fontId="10" fillId="18" borderId="15" xfId="0" applyFont="1" applyFill="1" applyBorder="1" applyAlignment="1">
      <alignment horizontal="center" vertical="center"/>
    </xf>
    <xf numFmtId="170" fontId="13" fillId="18" borderId="15" xfId="16" applyFont="1" applyFill="1" applyBorder="1" applyAlignment="1">
      <alignment horizontal="center" vertical="center"/>
    </xf>
    <xf numFmtId="0" fontId="37" fillId="0" borderId="0" xfId="0" applyFont="1" applyAlignment="1">
      <alignment vertical="center"/>
    </xf>
    <xf numFmtId="1" fontId="10" fillId="0" borderId="17" xfId="5" applyNumberFormat="1" applyFont="1" applyBorder="1" applyAlignment="1" applyProtection="1">
      <alignment horizontal="center" vertical="center"/>
      <protection locked="0" hidden="1"/>
    </xf>
    <xf numFmtId="1" fontId="10" fillId="0" borderId="17" xfId="7" applyNumberFormat="1" applyFont="1" applyBorder="1" applyAlignment="1" applyProtection="1">
      <alignment horizontal="center" vertical="center"/>
      <protection locked="0" hidden="1"/>
    </xf>
    <xf numFmtId="0" fontId="10" fillId="0" borderId="7" xfId="5" quotePrefix="1" applyFont="1" applyBorder="1" applyAlignment="1" applyProtection="1">
      <alignment horizontal="center" vertical="center"/>
      <protection locked="0" hidden="1"/>
    </xf>
    <xf numFmtId="166" fontId="13" fillId="18" borderId="15" xfId="15" applyNumberFormat="1" applyFont="1" applyFill="1" applyBorder="1" applyAlignment="1">
      <alignment horizontal="center" vertical="center"/>
    </xf>
    <xf numFmtId="179" fontId="36" fillId="16" borderId="15" xfId="15" applyNumberFormat="1" applyFont="1" applyFill="1" applyBorder="1" applyAlignment="1">
      <alignment vertical="center"/>
    </xf>
    <xf numFmtId="41" fontId="21" fillId="0" borderId="0" xfId="15" applyFont="1" applyFill="1" applyAlignment="1">
      <alignment vertical="center"/>
    </xf>
    <xf numFmtId="41" fontId="19" fillId="0" borderId="0" xfId="15" applyFont="1" applyFill="1" applyAlignment="1">
      <alignment vertical="center"/>
    </xf>
    <xf numFmtId="41" fontId="19" fillId="0" borderId="0" xfId="15" applyFont="1" applyFill="1" applyBorder="1" applyAlignment="1">
      <alignment vertical="center"/>
    </xf>
    <xf numFmtId="179" fontId="36" fillId="0" borderId="51" xfId="15" applyNumberFormat="1" applyFont="1" applyFill="1" applyBorder="1" applyAlignment="1">
      <alignment vertical="center"/>
    </xf>
    <xf numFmtId="0" fontId="7" fillId="4" borderId="16" xfId="5" applyFont="1" applyFill="1" applyBorder="1" applyAlignment="1" applyProtection="1">
      <alignment horizontal="center" vertical="center" wrapText="1"/>
      <protection hidden="1"/>
    </xf>
    <xf numFmtId="14" fontId="7" fillId="4" borderId="16" xfId="5" applyNumberFormat="1" applyFont="1" applyFill="1" applyBorder="1" applyAlignment="1" applyProtection="1">
      <alignment horizontal="center" vertical="center" wrapText="1"/>
      <protection hidden="1"/>
    </xf>
    <xf numFmtId="14" fontId="7" fillId="4" borderId="16" xfId="5" applyNumberFormat="1" applyFont="1" applyFill="1" applyBorder="1" applyAlignment="1" applyProtection="1">
      <alignment horizontal="center" vertical="center"/>
      <protection hidden="1"/>
    </xf>
    <xf numFmtId="0" fontId="8" fillId="4" borderId="16" xfId="0" applyFont="1" applyFill="1" applyBorder="1" applyAlignment="1">
      <alignment horizontal="center" vertical="center"/>
    </xf>
    <xf numFmtId="0" fontId="10" fillId="0" borderId="17" xfId="5" applyFont="1" applyBorder="1" applyAlignment="1" applyProtection="1">
      <alignment vertical="center"/>
      <protection locked="0" hidden="1"/>
    </xf>
    <xf numFmtId="0" fontId="10" fillId="0" borderId="17" xfId="5" applyFont="1" applyBorder="1" applyAlignment="1" applyProtection="1">
      <alignment wrapText="1"/>
      <protection locked="0" hidden="1"/>
    </xf>
    <xf numFmtId="168" fontId="9" fillId="0" borderId="17" xfId="7" applyNumberFormat="1" applyFont="1" applyFill="1" applyBorder="1" applyAlignment="1">
      <alignment horizontal="center" vertical="center"/>
    </xf>
    <xf numFmtId="0" fontId="10" fillId="0" borderId="18" xfId="5" applyFont="1" applyBorder="1" applyAlignment="1" applyProtection="1">
      <alignment vertical="center"/>
      <protection locked="0" hidden="1"/>
    </xf>
    <xf numFmtId="0" fontId="10" fillId="0" borderId="18" xfId="5" applyFont="1" applyBorder="1" applyAlignment="1" applyProtection="1">
      <alignment wrapText="1"/>
      <protection locked="0" hidden="1"/>
    </xf>
    <xf numFmtId="0" fontId="12" fillId="4" borderId="3" xfId="5" applyFont="1" applyFill="1" applyBorder="1" applyAlignment="1">
      <alignment horizontal="center"/>
    </xf>
    <xf numFmtId="168" fontId="42" fillId="4" borderId="3" xfId="7" applyNumberFormat="1" applyFont="1" applyFill="1" applyBorder="1" applyAlignment="1">
      <alignment horizontal="center" vertical="center"/>
    </xf>
    <xf numFmtId="0" fontId="9" fillId="19" borderId="18" xfId="0" applyFont="1" applyFill="1" applyBorder="1" applyAlignment="1">
      <alignment horizontal="center" vertical="center"/>
    </xf>
    <xf numFmtId="0" fontId="9" fillId="0" borderId="6" xfId="0" applyFont="1" applyBorder="1" applyAlignment="1">
      <alignment horizontal="center" vertical="center"/>
    </xf>
    <xf numFmtId="178" fontId="10" fillId="0" borderId="7" xfId="1" quotePrefix="1" applyNumberFormat="1" applyFont="1" applyFill="1" applyBorder="1" applyAlignment="1" applyProtection="1">
      <alignment horizontal="center" vertical="center"/>
      <protection locked="0" hidden="1"/>
    </xf>
    <xf numFmtId="0" fontId="9" fillId="0" borderId="18" xfId="0" applyFont="1" applyBorder="1" applyAlignment="1">
      <alignment horizontal="center" vertical="center"/>
    </xf>
    <xf numFmtId="0" fontId="7" fillId="0" borderId="16" xfId="5" applyFont="1" applyBorder="1" applyAlignment="1" applyProtection="1">
      <alignment horizontal="center" vertical="center"/>
      <protection hidden="1"/>
    </xf>
    <xf numFmtId="0" fontId="21" fillId="0" borderId="25" xfId="0" applyFont="1" applyBorder="1" applyAlignment="1">
      <alignment horizontal="center" vertical="center"/>
    </xf>
    <xf numFmtId="0" fontId="21" fillId="14" borderId="25" xfId="0" applyFont="1" applyFill="1" applyBorder="1" applyAlignment="1">
      <alignment horizontal="center" vertical="center" wrapText="1"/>
    </xf>
    <xf numFmtId="0" fontId="21" fillId="3" borderId="25" xfId="0" applyFont="1" applyFill="1" applyBorder="1" applyAlignment="1">
      <alignment horizontal="center" vertical="center"/>
    </xf>
    <xf numFmtId="170" fontId="13" fillId="0" borderId="0" xfId="15" applyNumberFormat="1" applyFont="1" applyFill="1" applyBorder="1" applyAlignment="1">
      <alignment horizontal="right" vertical="center"/>
    </xf>
    <xf numFmtId="0" fontId="33" fillId="0" borderId="9" xfId="0" applyFont="1" applyBorder="1" applyAlignment="1">
      <alignment horizontal="center" vertical="center"/>
    </xf>
    <xf numFmtId="0" fontId="33" fillId="0" borderId="0" xfId="0" applyFont="1" applyAlignment="1">
      <alignment horizontal="center" vertical="center"/>
    </xf>
    <xf numFmtId="0" fontId="33" fillId="0" borderId="10" xfId="0" applyFont="1" applyBorder="1" applyAlignment="1">
      <alignment horizontal="center" vertical="center"/>
    </xf>
    <xf numFmtId="0" fontId="13" fillId="0" borderId="9" xfId="0" applyFont="1" applyBorder="1" applyAlignment="1">
      <alignment horizontal="center" vertical="center"/>
    </xf>
    <xf numFmtId="0" fontId="13" fillId="0" borderId="0" xfId="0" applyFont="1" applyAlignment="1">
      <alignment horizontal="center" vertical="center"/>
    </xf>
    <xf numFmtId="0" fontId="13" fillId="0" borderId="10" xfId="0" applyFont="1" applyBorder="1" applyAlignment="1">
      <alignment horizontal="center" vertical="center"/>
    </xf>
    <xf numFmtId="0" fontId="10" fillId="0" borderId="0" xfId="0" applyFont="1" applyAlignment="1">
      <alignment vertical="center"/>
    </xf>
    <xf numFmtId="41" fontId="10" fillId="0" borderId="10" xfId="15" applyFont="1" applyBorder="1" applyAlignment="1">
      <alignment vertical="center"/>
    </xf>
    <xf numFmtId="0" fontId="13" fillId="0" borderId="48" xfId="0" applyFont="1" applyBorder="1" applyAlignment="1">
      <alignment vertical="center"/>
    </xf>
    <xf numFmtId="0" fontId="13" fillId="0" borderId="54" xfId="0" applyFont="1" applyBorder="1" applyAlignment="1">
      <alignment vertical="center"/>
    </xf>
    <xf numFmtId="0" fontId="13" fillId="0" borderId="1" xfId="0" applyFont="1" applyBorder="1" applyAlignment="1">
      <alignment vertical="center"/>
    </xf>
    <xf numFmtId="1" fontId="13" fillId="0" borderId="0" xfId="0" applyNumberFormat="1" applyFont="1" applyAlignment="1">
      <alignment horizontal="center" vertical="center"/>
    </xf>
    <xf numFmtId="14" fontId="10" fillId="0" borderId="10" xfId="15" applyNumberFormat="1" applyFont="1" applyBorder="1" applyAlignment="1">
      <alignment vertical="center"/>
    </xf>
    <xf numFmtId="0" fontId="13" fillId="2" borderId="35" xfId="0" applyFont="1" applyFill="1" applyBorder="1" applyAlignment="1">
      <alignment horizontal="center" vertical="center" wrapText="1"/>
    </xf>
    <xf numFmtId="41" fontId="34" fillId="2" borderId="30" xfId="15" applyFont="1" applyFill="1" applyBorder="1" applyAlignment="1">
      <alignment horizontal="center" vertical="center" wrapText="1"/>
    </xf>
    <xf numFmtId="0" fontId="13" fillId="0" borderId="35" xfId="0" applyFont="1" applyBorder="1" applyAlignment="1">
      <alignment horizontal="left" vertical="center"/>
    </xf>
    <xf numFmtId="170" fontId="13" fillId="0" borderId="30" xfId="16" applyFont="1" applyFill="1" applyBorder="1" applyAlignment="1">
      <alignment horizontal="right" vertical="center"/>
    </xf>
    <xf numFmtId="41" fontId="10" fillId="0" borderId="35" xfId="15" applyFont="1" applyFill="1" applyBorder="1" applyAlignment="1">
      <alignment horizontal="left" vertical="center"/>
    </xf>
    <xf numFmtId="170" fontId="10" fillId="0" borderId="30" xfId="16" applyFont="1" applyFill="1" applyBorder="1" applyAlignment="1">
      <alignment horizontal="right" vertical="center"/>
    </xf>
    <xf numFmtId="41" fontId="34" fillId="0" borderId="35" xfId="15" applyFont="1" applyFill="1" applyBorder="1" applyAlignment="1">
      <alignment vertical="center"/>
    </xf>
    <xf numFmtId="170" fontId="34" fillId="0" borderId="30" xfId="15" applyNumberFormat="1" applyFont="1" applyFill="1" applyBorder="1" applyAlignment="1">
      <alignment horizontal="right" vertical="center"/>
    </xf>
    <xf numFmtId="41" fontId="13" fillId="2" borderId="35" xfId="15" applyFont="1" applyFill="1" applyBorder="1" applyAlignment="1">
      <alignment vertical="center"/>
    </xf>
    <xf numFmtId="170" fontId="13" fillId="2" borderId="30" xfId="15" applyNumberFormat="1" applyFont="1" applyFill="1" applyBorder="1" applyAlignment="1">
      <alignment vertical="center"/>
    </xf>
    <xf numFmtId="0" fontId="13" fillId="2" borderId="35" xfId="0" applyFont="1" applyFill="1" applyBorder="1" applyAlignment="1">
      <alignment horizontal="left" vertical="center"/>
    </xf>
    <xf numFmtId="170" fontId="13" fillId="2" borderId="30" xfId="16" applyFont="1" applyFill="1" applyBorder="1" applyAlignment="1">
      <alignment horizontal="right" vertical="center"/>
    </xf>
    <xf numFmtId="170" fontId="13" fillId="0" borderId="30" xfId="15" applyNumberFormat="1" applyFont="1" applyFill="1" applyBorder="1" applyAlignment="1">
      <alignment horizontal="right" vertical="center"/>
    </xf>
    <xf numFmtId="41" fontId="34" fillId="0" borderId="35" xfId="15" applyFont="1" applyFill="1" applyBorder="1" applyAlignment="1">
      <alignment vertical="center" wrapText="1"/>
    </xf>
    <xf numFmtId="170" fontId="30" fillId="15" borderId="30" xfId="15" applyNumberFormat="1" applyFont="1" applyFill="1" applyBorder="1" applyAlignment="1">
      <alignment vertical="center"/>
    </xf>
    <xf numFmtId="41" fontId="13" fillId="0" borderId="9" xfId="15" applyFont="1" applyFill="1" applyBorder="1" applyAlignment="1">
      <alignment horizontal="center" vertical="center"/>
    </xf>
    <xf numFmtId="170" fontId="13" fillId="0" borderId="10" xfId="15" applyNumberFormat="1" applyFont="1" applyFill="1" applyBorder="1" applyAlignment="1">
      <alignment vertical="center"/>
    </xf>
    <xf numFmtId="0" fontId="13" fillId="18" borderId="35" xfId="0" applyFont="1" applyFill="1" applyBorder="1" applyAlignment="1">
      <alignment horizontal="center" vertical="center" wrapText="1"/>
    </xf>
    <xf numFmtId="170" fontId="13" fillId="2" borderId="30" xfId="15" applyNumberFormat="1" applyFont="1" applyFill="1" applyBorder="1" applyAlignment="1">
      <alignment horizontal="right" vertical="center"/>
    </xf>
    <xf numFmtId="0" fontId="13" fillId="2" borderId="35" xfId="0" applyFont="1" applyFill="1" applyBorder="1" applyAlignment="1">
      <alignment horizontal="left" vertical="center" wrapText="1"/>
    </xf>
    <xf numFmtId="166" fontId="30" fillId="15" borderId="30" xfId="15" applyNumberFormat="1" applyFont="1" applyFill="1" applyBorder="1" applyAlignment="1">
      <alignment vertical="center"/>
    </xf>
    <xf numFmtId="41" fontId="34" fillId="18" borderId="30" xfId="15" applyFont="1" applyFill="1" applyBorder="1" applyAlignment="1">
      <alignment horizontal="center" vertical="center" wrapText="1"/>
    </xf>
    <xf numFmtId="0" fontId="13" fillId="18" borderId="35" xfId="0" applyFont="1" applyFill="1" applyBorder="1" applyAlignment="1">
      <alignment horizontal="left" vertical="center"/>
    </xf>
    <xf numFmtId="41" fontId="13" fillId="14" borderId="35" xfId="15" applyFont="1" applyFill="1" applyBorder="1" applyAlignment="1">
      <alignment horizontal="left" vertical="center"/>
    </xf>
    <xf numFmtId="170" fontId="13" fillId="14" borderId="30" xfId="15" applyNumberFormat="1" applyFont="1" applyFill="1" applyBorder="1" applyAlignment="1">
      <alignment horizontal="right" vertical="center"/>
    </xf>
    <xf numFmtId="41" fontId="13" fillId="14" borderId="35" xfId="15" applyFont="1" applyFill="1" applyBorder="1" applyAlignment="1">
      <alignment horizontal="left" vertical="center" wrapText="1"/>
    </xf>
    <xf numFmtId="170" fontId="13" fillId="14" borderId="30" xfId="16" applyFont="1" applyFill="1" applyBorder="1" applyAlignment="1">
      <alignment horizontal="right" vertical="center"/>
    </xf>
    <xf numFmtId="166" fontId="13" fillId="2" borderId="30" xfId="15" applyNumberFormat="1" applyFont="1" applyFill="1" applyBorder="1" applyAlignment="1">
      <alignment vertical="center"/>
    </xf>
    <xf numFmtId="41" fontId="21" fillId="0" borderId="55" xfId="15" applyFont="1" applyFill="1" applyBorder="1" applyAlignment="1">
      <alignment vertical="center"/>
    </xf>
    <xf numFmtId="170" fontId="21" fillId="0" borderId="10" xfId="15" applyNumberFormat="1" applyFont="1" applyFill="1" applyBorder="1" applyAlignment="1">
      <alignment vertical="center"/>
    </xf>
    <xf numFmtId="0" fontId="21" fillId="3" borderId="56" xfId="0" applyFont="1" applyFill="1" applyBorder="1" applyAlignment="1">
      <alignment horizontal="center" vertical="center" wrapText="1"/>
    </xf>
    <xf numFmtId="0" fontId="21" fillId="3" borderId="0" xfId="0" applyFont="1" applyFill="1" applyAlignment="1">
      <alignment horizontal="center" vertical="center" wrapText="1"/>
    </xf>
    <xf numFmtId="41" fontId="21" fillId="3" borderId="10" xfId="15" applyFont="1" applyFill="1" applyBorder="1" applyAlignment="1">
      <alignment horizontal="center" vertical="center" wrapText="1"/>
    </xf>
    <xf numFmtId="179" fontId="36" fillId="16" borderId="30" xfId="15" applyNumberFormat="1" applyFont="1" applyFill="1" applyBorder="1" applyAlignment="1">
      <alignment vertical="center"/>
    </xf>
    <xf numFmtId="0" fontId="37" fillId="0" borderId="9" xfId="0" applyFont="1" applyBorder="1" applyAlignment="1">
      <alignment vertical="center"/>
    </xf>
    <xf numFmtId="41" fontId="21" fillId="0" borderId="0" xfId="15" applyFont="1" applyFill="1" applyBorder="1" applyAlignment="1">
      <alignment vertical="center"/>
    </xf>
    <xf numFmtId="179" fontId="36" fillId="0" borderId="57" xfId="15" applyNumberFormat="1" applyFont="1" applyFill="1" applyBorder="1" applyAlignment="1">
      <alignment vertical="center"/>
    </xf>
    <xf numFmtId="0" fontId="19" fillId="0" borderId="4" xfId="0" applyFont="1" applyBorder="1" applyAlignment="1">
      <alignment vertical="center"/>
    </xf>
    <xf numFmtId="0" fontId="19" fillId="0" borderId="5" xfId="0" applyFont="1" applyBorder="1"/>
    <xf numFmtId="41" fontId="19" fillId="0" borderId="5" xfId="15" applyFont="1" applyFill="1" applyBorder="1" applyAlignment="1">
      <alignment vertical="center"/>
    </xf>
    <xf numFmtId="41" fontId="19" fillId="0" borderId="6" xfId="15" applyFont="1" applyFill="1" applyBorder="1" applyAlignment="1">
      <alignment vertical="center"/>
    </xf>
    <xf numFmtId="0" fontId="2" fillId="2" borderId="27" xfId="0" applyFont="1" applyFill="1" applyBorder="1" applyAlignment="1">
      <alignment vertical="center"/>
    </xf>
    <xf numFmtId="0" fontId="2" fillId="2" borderId="29" xfId="8" quotePrefix="1" applyFont="1" applyFill="1" applyBorder="1" applyAlignment="1">
      <alignment horizontal="left" vertical="center" wrapText="1"/>
    </xf>
    <xf numFmtId="0" fontId="2" fillId="2" borderId="15" xfId="8" quotePrefix="1" applyFont="1" applyFill="1" applyBorder="1" applyAlignment="1">
      <alignment horizontal="left" vertical="center" wrapText="1"/>
    </xf>
    <xf numFmtId="0" fontId="43" fillId="0" borderId="0" xfId="0" applyFont="1" applyAlignment="1">
      <alignment vertical="center"/>
    </xf>
    <xf numFmtId="169" fontId="10" fillId="0" borderId="7" xfId="6" applyNumberFormat="1" applyFont="1" applyFill="1" applyBorder="1" applyAlignment="1" applyProtection="1">
      <alignment horizontal="center" vertical="center"/>
      <protection locked="0" hidden="1"/>
    </xf>
    <xf numFmtId="14" fontId="9" fillId="0" borderId="17" xfId="0" applyNumberFormat="1" applyFont="1" applyBorder="1" applyAlignment="1">
      <alignment horizontal="center" vertical="center"/>
    </xf>
    <xf numFmtId="168" fontId="42" fillId="0" borderId="6" xfId="7" applyNumberFormat="1" applyFont="1" applyFill="1" applyBorder="1" applyAlignment="1">
      <alignment horizontal="center" vertical="center"/>
    </xf>
    <xf numFmtId="178" fontId="12" fillId="4" borderId="7" xfId="1" applyNumberFormat="1" applyFont="1" applyFill="1" applyBorder="1" applyAlignment="1">
      <alignment horizontal="center" vertical="center"/>
    </xf>
    <xf numFmtId="169" fontId="12" fillId="4" borderId="7" xfId="5" applyNumberFormat="1" applyFont="1" applyFill="1" applyBorder="1" applyAlignment="1">
      <alignment horizontal="center" vertical="center"/>
    </xf>
    <xf numFmtId="1" fontId="44" fillId="0" borderId="7" xfId="0" applyNumberFormat="1" applyFont="1" applyBorder="1" applyAlignment="1">
      <alignment horizontal="center" vertical="center"/>
    </xf>
    <xf numFmtId="0" fontId="40" fillId="0" borderId="41" xfId="0" applyFont="1" applyBorder="1" applyAlignment="1">
      <alignment horizontal="center" vertical="center"/>
    </xf>
    <xf numFmtId="4" fontId="26" fillId="9" borderId="15" xfId="0" applyNumberFormat="1" applyFont="1" applyFill="1" applyBorder="1" applyAlignment="1">
      <alignment horizontal="center" vertical="center" wrapText="1"/>
    </xf>
    <xf numFmtId="4" fontId="40" fillId="9" borderId="15" xfId="0" applyNumberFormat="1" applyFont="1" applyFill="1" applyBorder="1" applyAlignment="1">
      <alignment horizontal="center" vertical="center" wrapText="1"/>
    </xf>
    <xf numFmtId="4" fontId="26" fillId="9" borderId="15" xfId="0" applyNumberFormat="1" applyFont="1" applyFill="1" applyBorder="1" applyAlignment="1">
      <alignment horizontal="center" vertical="center"/>
    </xf>
    <xf numFmtId="2" fontId="30" fillId="0" borderId="15" xfId="0" applyNumberFormat="1" applyFont="1" applyBorder="1" applyAlignment="1">
      <alignment horizontal="center" vertical="center"/>
    </xf>
    <xf numFmtId="2" fontId="31" fillId="0" borderId="15" xfId="0" applyNumberFormat="1" applyFont="1" applyBorder="1" applyAlignment="1">
      <alignment horizontal="center" vertical="center"/>
    </xf>
    <xf numFmtId="2" fontId="30" fillId="2" borderId="15" xfId="0" applyNumberFormat="1" applyFont="1" applyFill="1" applyBorder="1" applyAlignment="1">
      <alignment horizontal="center" vertical="center"/>
    </xf>
    <xf numFmtId="2" fontId="30" fillId="14" borderId="15" xfId="0" applyNumberFormat="1" applyFont="1" applyFill="1" applyBorder="1" applyAlignment="1">
      <alignment horizontal="center" vertical="center"/>
    </xf>
    <xf numFmtId="0" fontId="0" fillId="0" borderId="15" xfId="0" applyBorder="1" applyAlignment="1">
      <alignment vertical="center"/>
    </xf>
    <xf numFmtId="0" fontId="0" fillId="0" borderId="15" xfId="0" applyBorder="1" applyAlignment="1">
      <alignment vertical="center" wrapText="1"/>
    </xf>
    <xf numFmtId="4" fontId="26" fillId="0" borderId="15" xfId="0" applyNumberFormat="1" applyFont="1" applyBorder="1" applyAlignment="1">
      <alignment horizontal="center" vertical="center" wrapText="1"/>
    </xf>
    <xf numFmtId="0" fontId="45" fillId="0" borderId="0" xfId="0" applyFont="1" applyAlignment="1">
      <alignment vertical="center"/>
    </xf>
    <xf numFmtId="0" fontId="2" fillId="0" borderId="0" xfId="11" applyFont="1" applyAlignment="1">
      <alignment vertical="center"/>
    </xf>
    <xf numFmtId="0" fontId="23" fillId="3" borderId="0" xfId="12" applyFont="1" applyFill="1" applyAlignment="1">
      <alignment horizontal="center" vertical="center"/>
    </xf>
    <xf numFmtId="0" fontId="23" fillId="0" borderId="0" xfId="11" applyFont="1" applyAlignment="1">
      <alignment horizontal="center" vertical="center"/>
    </xf>
    <xf numFmtId="0" fontId="23" fillId="0" borderId="0" xfId="11" applyFont="1" applyAlignment="1">
      <alignment vertical="center"/>
    </xf>
    <xf numFmtId="0" fontId="47" fillId="9" borderId="7" xfId="0" applyFont="1" applyFill="1" applyBorder="1" applyAlignment="1">
      <alignment horizontal="center" vertical="center"/>
    </xf>
    <xf numFmtId="0" fontId="47" fillId="9" borderId="3" xfId="0" applyFont="1" applyFill="1" applyBorder="1" applyAlignment="1">
      <alignment horizontal="center" vertical="center"/>
    </xf>
    <xf numFmtId="173" fontId="24" fillId="9" borderId="28" xfId="8" applyNumberFormat="1" applyFont="1" applyFill="1" applyBorder="1" applyAlignment="1">
      <alignment horizontal="center" vertical="center" wrapText="1"/>
    </xf>
    <xf numFmtId="0" fontId="47" fillId="0" borderId="8" xfId="0" applyFont="1" applyBorder="1" applyAlignment="1">
      <alignment horizontal="right" vertical="center"/>
    </xf>
    <xf numFmtId="0" fontId="47" fillId="0" borderId="6" xfId="0" applyFont="1" applyBorder="1" applyAlignment="1">
      <alignment horizontal="right" vertical="center"/>
    </xf>
    <xf numFmtId="0" fontId="47" fillId="0" borderId="6" xfId="0" applyFont="1" applyBorder="1" applyAlignment="1">
      <alignment vertical="center"/>
    </xf>
    <xf numFmtId="14" fontId="47" fillId="0" borderId="6" xfId="0" applyNumberFormat="1" applyFont="1" applyBorder="1" applyAlignment="1">
      <alignment horizontal="right" vertical="center"/>
    </xf>
    <xf numFmtId="169" fontId="47" fillId="0" borderId="0" xfId="13" applyNumberFormat="1" applyFont="1" applyBorder="1" applyAlignment="1">
      <alignment horizontal="right" vertical="center"/>
    </xf>
    <xf numFmtId="169" fontId="2" fillId="0" borderId="30" xfId="11" applyNumberFormat="1" applyFont="1" applyBorder="1" applyAlignment="1">
      <alignment horizontal="right" vertical="center"/>
    </xf>
    <xf numFmtId="0" fontId="2" fillId="0" borderId="19" xfId="11" applyFont="1" applyBorder="1" applyAlignment="1">
      <alignment horizontal="center" vertical="center"/>
    </xf>
    <xf numFmtId="0" fontId="2" fillId="0" borderId="33" xfId="11" applyFont="1" applyBorder="1" applyAlignment="1">
      <alignment horizontal="center" vertical="center"/>
    </xf>
    <xf numFmtId="0" fontId="23" fillId="0" borderId="20" xfId="11" applyFont="1" applyBorder="1" applyAlignment="1">
      <alignment horizontal="center" vertical="center"/>
    </xf>
    <xf numFmtId="169" fontId="23" fillId="0" borderId="20" xfId="11" applyNumberFormat="1" applyFont="1" applyBorder="1" applyAlignment="1">
      <alignment horizontal="right" vertical="center"/>
    </xf>
    <xf numFmtId="0" fontId="48" fillId="0" borderId="5" xfId="0" applyFont="1" applyBorder="1" applyAlignment="1">
      <alignment vertical="center"/>
    </xf>
    <xf numFmtId="169" fontId="2" fillId="0" borderId="0" xfId="11" applyNumberFormat="1" applyFont="1" applyAlignment="1">
      <alignment vertical="center"/>
    </xf>
    <xf numFmtId="0" fontId="2" fillId="11" borderId="11" xfId="11" applyFont="1" applyFill="1" applyBorder="1" applyAlignment="1">
      <alignment vertical="center"/>
    </xf>
    <xf numFmtId="0" fontId="2" fillId="11" borderId="36" xfId="11" applyFont="1" applyFill="1" applyBorder="1" applyAlignment="1">
      <alignment vertical="center"/>
    </xf>
    <xf numFmtId="0" fontId="2" fillId="11" borderId="40" xfId="11" applyFont="1" applyFill="1" applyBorder="1" applyAlignment="1">
      <alignment vertical="center"/>
    </xf>
    <xf numFmtId="169" fontId="2" fillId="11" borderId="40" xfId="11" applyNumberFormat="1" applyFont="1" applyFill="1" applyBorder="1" applyAlignment="1">
      <alignment vertical="center"/>
    </xf>
    <xf numFmtId="169" fontId="2" fillId="11" borderId="43" xfId="11" applyNumberFormat="1" applyFont="1" applyFill="1" applyBorder="1" applyAlignment="1">
      <alignment vertical="center"/>
    </xf>
    <xf numFmtId="0" fontId="19" fillId="11" borderId="9" xfId="0" applyFont="1" applyFill="1" applyBorder="1"/>
    <xf numFmtId="0" fontId="19" fillId="11" borderId="52" xfId="0" applyFont="1" applyFill="1" applyBorder="1"/>
    <xf numFmtId="0" fontId="19" fillId="11" borderId="46" xfId="0" applyFont="1" applyFill="1" applyBorder="1"/>
    <xf numFmtId="169" fontId="19" fillId="11" borderId="46" xfId="0" applyNumberFormat="1" applyFont="1" applyFill="1" applyBorder="1"/>
    <xf numFmtId="169" fontId="21" fillId="11" borderId="53" xfId="0" applyNumberFormat="1" applyFont="1" applyFill="1" applyBorder="1"/>
    <xf numFmtId="0" fontId="19" fillId="11" borderId="4" xfId="0" applyFont="1" applyFill="1" applyBorder="1"/>
    <xf numFmtId="0" fontId="19" fillId="11" borderId="5" xfId="0" applyFont="1" applyFill="1" applyBorder="1"/>
    <xf numFmtId="4" fontId="19" fillId="11" borderId="6" xfId="0" applyNumberFormat="1" applyFont="1" applyFill="1" applyBorder="1"/>
    <xf numFmtId="0" fontId="23" fillId="0" borderId="1" xfId="11" applyFont="1" applyBorder="1" applyAlignment="1">
      <alignment vertical="center"/>
    </xf>
    <xf numFmtId="0" fontId="23" fillId="0" borderId="2" xfId="11" applyFont="1" applyBorder="1" applyAlignment="1">
      <alignment vertical="center"/>
    </xf>
    <xf numFmtId="0" fontId="23" fillId="0" borderId="3" xfId="11" applyFont="1" applyBorder="1" applyAlignment="1">
      <alignment vertical="center"/>
    </xf>
    <xf numFmtId="170" fontId="30" fillId="12" borderId="22" xfId="0" applyNumberFormat="1" applyFont="1" applyFill="1" applyBorder="1" applyAlignment="1">
      <alignment vertical="center" wrapText="1"/>
    </xf>
    <xf numFmtId="166" fontId="30" fillId="12" borderId="38" xfId="0" applyNumberFormat="1" applyFont="1" applyFill="1" applyBorder="1" applyAlignment="1">
      <alignment vertical="center" wrapText="1"/>
    </xf>
    <xf numFmtId="170" fontId="30" fillId="12" borderId="14" xfId="0" applyNumberFormat="1" applyFont="1" applyFill="1" applyBorder="1" applyAlignment="1">
      <alignment vertical="center" wrapText="1"/>
    </xf>
    <xf numFmtId="172" fontId="19" fillId="18" borderId="15" xfId="9" applyNumberFormat="1" applyFont="1" applyFill="1" applyBorder="1" applyAlignment="1">
      <alignment vertical="center" wrapText="1"/>
    </xf>
    <xf numFmtId="43" fontId="19" fillId="0" borderId="0" xfId="1" applyFont="1" applyAlignment="1">
      <alignment vertical="center" wrapText="1"/>
    </xf>
    <xf numFmtId="178" fontId="19" fillId="0" borderId="0" xfId="1" applyNumberFormat="1" applyFont="1" applyAlignment="1">
      <alignment vertical="center" wrapText="1"/>
    </xf>
    <xf numFmtId="178" fontId="19" fillId="0" borderId="0" xfId="0" applyNumberFormat="1" applyFont="1" applyAlignment="1">
      <alignment vertical="center" wrapText="1"/>
    </xf>
    <xf numFmtId="166" fontId="25" fillId="18" borderId="28" xfId="10" applyNumberFormat="1" applyFont="1" applyFill="1" applyBorder="1" applyAlignment="1">
      <alignment vertical="center"/>
    </xf>
    <xf numFmtId="166" fontId="25" fillId="2" borderId="58" xfId="10" applyNumberFormat="1" applyFont="1" applyFill="1" applyBorder="1" applyAlignment="1">
      <alignment vertical="center"/>
    </xf>
    <xf numFmtId="166" fontId="25" fillId="0" borderId="39" xfId="10" applyNumberFormat="1" applyFont="1" applyFill="1" applyBorder="1" applyAlignment="1">
      <alignment vertical="center"/>
    </xf>
    <xf numFmtId="166" fontId="23" fillId="0" borderId="9" xfId="0" applyNumberFormat="1" applyFont="1" applyBorder="1" applyAlignment="1">
      <alignment vertical="center"/>
    </xf>
    <xf numFmtId="166" fontId="23" fillId="0" borderId="12" xfId="0" applyNumberFormat="1" applyFont="1" applyBorder="1" applyAlignment="1">
      <alignment vertical="center"/>
    </xf>
    <xf numFmtId="178" fontId="19" fillId="0" borderId="0" xfId="1" applyNumberFormat="1" applyFont="1" applyBorder="1" applyAlignment="1">
      <alignment vertical="center" wrapText="1"/>
    </xf>
    <xf numFmtId="178" fontId="23" fillId="0" borderId="0" xfId="0" applyNumberFormat="1" applyFont="1" applyAlignment="1">
      <alignment vertical="center"/>
    </xf>
    <xf numFmtId="166" fontId="2" fillId="0" borderId="25" xfId="14" applyNumberFormat="1" applyFont="1" applyBorder="1" applyAlignment="1">
      <alignment vertical="center"/>
    </xf>
    <xf numFmtId="166" fontId="2" fillId="0" borderId="36" xfId="14" applyNumberFormat="1" applyFont="1" applyBorder="1" applyAlignment="1">
      <alignment vertical="center"/>
    </xf>
    <xf numFmtId="0" fontId="49" fillId="0" borderId="15" xfId="0" applyFont="1" applyBorder="1" applyAlignment="1">
      <alignment vertical="center"/>
    </xf>
    <xf numFmtId="169" fontId="10" fillId="0" borderId="7" xfId="6" applyNumberFormat="1" applyFont="1" applyBorder="1" applyAlignment="1" applyProtection="1">
      <alignment horizontal="center" vertical="center"/>
      <protection locked="0" hidden="1"/>
    </xf>
    <xf numFmtId="166" fontId="13" fillId="0" borderId="15" xfId="15" applyNumberFormat="1" applyFont="1" applyFill="1" applyBorder="1" applyAlignment="1">
      <alignment vertical="center"/>
    </xf>
    <xf numFmtId="4" fontId="26" fillId="0" borderId="15" xfId="0" applyNumberFormat="1" applyFont="1" applyBorder="1" applyAlignment="1">
      <alignment horizontal="center" vertical="center"/>
    </xf>
    <xf numFmtId="0" fontId="40" fillId="0" borderId="35" xfId="0" applyFont="1" applyBorder="1" applyAlignment="1">
      <alignment vertical="center" wrapText="1"/>
    </xf>
    <xf numFmtId="169" fontId="23" fillId="20" borderId="20" xfId="11" applyNumberFormat="1" applyFont="1" applyFill="1" applyBorder="1" applyAlignment="1">
      <alignment horizontal="right" vertical="center"/>
    </xf>
    <xf numFmtId="166" fontId="10" fillId="20" borderId="15" xfId="15" applyNumberFormat="1" applyFont="1" applyFill="1" applyBorder="1" applyAlignment="1">
      <alignment vertical="center"/>
    </xf>
    <xf numFmtId="172" fontId="19" fillId="20" borderId="15" xfId="9" applyNumberFormat="1" applyFont="1" applyFill="1" applyBorder="1" applyAlignment="1">
      <alignment vertical="center" wrapText="1"/>
    </xf>
    <xf numFmtId="166" fontId="30" fillId="20" borderId="39" xfId="0" applyNumberFormat="1" applyFont="1" applyFill="1" applyBorder="1" applyAlignment="1">
      <alignment vertical="center" wrapText="1"/>
    </xf>
    <xf numFmtId="166" fontId="3" fillId="20" borderId="30" xfId="11" applyNumberFormat="1" applyFont="1" applyFill="1" applyBorder="1" applyAlignment="1">
      <alignment vertical="center"/>
    </xf>
    <xf numFmtId="166" fontId="13" fillId="20" borderId="15" xfId="15" applyNumberFormat="1" applyFont="1" applyFill="1" applyBorder="1" applyAlignment="1">
      <alignment vertical="center"/>
    </xf>
    <xf numFmtId="166" fontId="10" fillId="20" borderId="15" xfId="16" applyNumberFormat="1" applyFont="1" applyFill="1" applyBorder="1" applyAlignment="1">
      <alignment horizontal="right" vertical="center"/>
    </xf>
    <xf numFmtId="41" fontId="13" fillId="20" borderId="15" xfId="15" applyFont="1" applyFill="1" applyBorder="1" applyAlignment="1">
      <alignment vertical="center"/>
    </xf>
    <xf numFmtId="0" fontId="49" fillId="3" borderId="15" xfId="0" applyFont="1" applyFill="1" applyBorder="1" applyAlignment="1">
      <alignment vertical="center"/>
    </xf>
    <xf numFmtId="0" fontId="56" fillId="3" borderId="15" xfId="0" applyFont="1" applyFill="1" applyBorder="1" applyAlignment="1">
      <alignment horizontal="left" vertical="center" wrapText="1"/>
    </xf>
    <xf numFmtId="0" fontId="57" fillId="3" borderId="15" xfId="0" applyFont="1" applyFill="1" applyBorder="1" applyAlignment="1">
      <alignment vertical="center"/>
    </xf>
    <xf numFmtId="0" fontId="49" fillId="0" borderId="15" xfId="0" applyFont="1" applyBorder="1" applyAlignment="1">
      <alignment vertical="center" wrapText="1"/>
    </xf>
    <xf numFmtId="0" fontId="40" fillId="0" borderId="15" xfId="0" applyFont="1" applyBorder="1" applyAlignment="1">
      <alignment horizontal="left" vertical="center" wrapText="1"/>
    </xf>
    <xf numFmtId="2" fontId="7" fillId="4" borderId="16" xfId="5" applyNumberFormat="1" applyFont="1" applyFill="1" applyBorder="1" applyAlignment="1" applyProtection="1">
      <alignment horizontal="center" vertical="center" wrapText="1"/>
      <protection hidden="1"/>
    </xf>
    <xf numFmtId="1" fontId="9" fillId="0" borderId="17" xfId="0" applyNumberFormat="1" applyFont="1" applyBorder="1" applyAlignment="1">
      <alignment horizontal="center" vertical="center"/>
    </xf>
    <xf numFmtId="0" fontId="58" fillId="3" borderId="0" xfId="5" applyFont="1" applyFill="1"/>
    <xf numFmtId="0" fontId="58" fillId="20" borderId="0" xfId="5" applyFont="1" applyFill="1"/>
    <xf numFmtId="0" fontId="6" fillId="20" borderId="0" xfId="5" applyFill="1"/>
    <xf numFmtId="0" fontId="12" fillId="20" borderId="0" xfId="5" applyFont="1" applyFill="1"/>
    <xf numFmtId="178" fontId="12" fillId="20" borderId="0" xfId="1" applyNumberFormat="1" applyFont="1" applyFill="1"/>
    <xf numFmtId="178" fontId="6" fillId="20" borderId="0" xfId="1" applyNumberFormat="1" applyFont="1" applyFill="1"/>
    <xf numFmtId="14" fontId="9" fillId="9" borderId="7" xfId="0" applyNumberFormat="1" applyFont="1" applyFill="1" applyBorder="1" applyAlignment="1">
      <alignment horizontal="center" vertical="center"/>
    </xf>
    <xf numFmtId="179" fontId="19" fillId="0" borderId="0" xfId="0" applyNumberFormat="1" applyFont="1" applyAlignment="1">
      <alignment vertical="center"/>
    </xf>
    <xf numFmtId="0" fontId="34" fillId="0" borderId="1" xfId="0" applyFont="1" applyBorder="1" applyAlignment="1">
      <alignment horizontal="left" vertical="center" wrapText="1"/>
    </xf>
    <xf numFmtId="0" fontId="34" fillId="0" borderId="2" xfId="0" applyFont="1" applyBorder="1" applyAlignment="1">
      <alignment horizontal="left" vertical="center" wrapText="1"/>
    </xf>
    <xf numFmtId="0" fontId="34" fillId="0" borderId="3" xfId="0" applyFont="1" applyBorder="1" applyAlignment="1">
      <alignment horizontal="left" vertical="center" wrapText="1"/>
    </xf>
    <xf numFmtId="0" fontId="32" fillId="5" borderId="11" xfId="0" applyFont="1" applyFill="1" applyBorder="1" applyAlignment="1">
      <alignment horizontal="center" vertical="center" wrapText="1"/>
    </xf>
    <xf numFmtId="0" fontId="32" fillId="5" borderId="12" xfId="0" applyFont="1" applyFill="1" applyBorder="1" applyAlignment="1">
      <alignment horizontal="center" vertical="center" wrapText="1"/>
    </xf>
    <xf numFmtId="0" fontId="32" fillId="5" borderId="13" xfId="0" applyFont="1" applyFill="1" applyBorder="1" applyAlignment="1">
      <alignment horizontal="center" vertical="center" wrapText="1"/>
    </xf>
    <xf numFmtId="0" fontId="13" fillId="0" borderId="9" xfId="0" applyFont="1" applyBorder="1" applyAlignment="1">
      <alignment horizontal="center" vertical="center"/>
    </xf>
    <xf numFmtId="0" fontId="13" fillId="0" borderId="0" xfId="0" applyFont="1" applyAlignment="1">
      <alignment horizontal="center" vertical="center"/>
    </xf>
    <xf numFmtId="0" fontId="13" fillId="0" borderId="10" xfId="0" applyFont="1" applyBorder="1" applyAlignment="1">
      <alignment horizontal="center" vertical="center"/>
    </xf>
    <xf numFmtId="0" fontId="34" fillId="2" borderId="1" xfId="0" applyFont="1" applyFill="1" applyBorder="1" applyAlignment="1">
      <alignment horizontal="center" vertical="center"/>
    </xf>
    <xf numFmtId="0" fontId="34" fillId="2" borderId="2" xfId="0" applyFont="1" applyFill="1" applyBorder="1" applyAlignment="1">
      <alignment horizontal="center" vertical="center"/>
    </xf>
    <xf numFmtId="0" fontId="34" fillId="2" borderId="3" xfId="0" applyFont="1" applyFill="1" applyBorder="1" applyAlignment="1">
      <alignment horizontal="center" vertical="center"/>
    </xf>
    <xf numFmtId="0" fontId="35" fillId="13" borderId="4" xfId="0" applyFont="1" applyFill="1" applyBorder="1" applyAlignment="1">
      <alignment horizontal="center" vertical="center" wrapText="1"/>
    </xf>
    <xf numFmtId="0" fontId="35" fillId="13" borderId="6" xfId="0" applyFont="1" applyFill="1" applyBorder="1" applyAlignment="1">
      <alignment horizontal="center" vertical="center" wrapText="1"/>
    </xf>
    <xf numFmtId="41" fontId="30" fillId="15" borderId="35" xfId="15" applyFont="1" applyFill="1" applyBorder="1" applyAlignment="1">
      <alignment horizontal="center" vertical="center"/>
    </xf>
    <xf numFmtId="41" fontId="30" fillId="15" borderId="15" xfId="15" applyFont="1" applyFill="1" applyBorder="1" applyAlignment="1">
      <alignment horizontal="center" vertical="center"/>
    </xf>
    <xf numFmtId="0" fontId="35" fillId="13" borderId="1" xfId="0" applyFont="1" applyFill="1" applyBorder="1" applyAlignment="1">
      <alignment horizontal="center" vertical="center" wrapText="1"/>
    </xf>
    <xf numFmtId="0" fontId="35" fillId="13" borderId="3" xfId="0" applyFont="1" applyFill="1" applyBorder="1" applyAlignment="1">
      <alignment horizontal="center" vertical="center" wrapText="1"/>
    </xf>
    <xf numFmtId="41" fontId="30" fillId="15" borderId="49" xfId="15" applyFont="1" applyFill="1" applyBorder="1" applyAlignment="1">
      <alignment horizontal="center" vertical="center"/>
    </xf>
    <xf numFmtId="41" fontId="30" fillId="15" borderId="45" xfId="15" applyFont="1" applyFill="1" applyBorder="1" applyAlignment="1">
      <alignment horizontal="center" vertical="center"/>
    </xf>
    <xf numFmtId="41" fontId="30" fillId="15" borderId="44" xfId="15" applyFont="1" applyFill="1" applyBorder="1" applyAlignment="1">
      <alignment horizontal="center" vertical="center"/>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0" fillId="0" borderId="15" xfId="0" applyFont="1" applyBorder="1" applyAlignment="1">
      <alignment horizontal="center" vertical="center"/>
    </xf>
    <xf numFmtId="166" fontId="13" fillId="2" borderId="15" xfId="15" applyNumberFormat="1" applyFont="1" applyFill="1" applyBorder="1" applyAlignment="1">
      <alignment horizontal="center" vertical="center"/>
    </xf>
    <xf numFmtId="0" fontId="21" fillId="0" borderId="25" xfId="0" applyFont="1" applyBorder="1" applyAlignment="1">
      <alignment horizontal="center" vertical="center"/>
    </xf>
    <xf numFmtId="41" fontId="36" fillId="16" borderId="35" xfId="15" applyFont="1" applyFill="1" applyBorder="1" applyAlignment="1">
      <alignment horizontal="center" vertical="center"/>
    </xf>
    <xf numFmtId="41" fontId="36" fillId="16" borderId="15" xfId="15" applyFont="1" applyFill="1" applyBorder="1" applyAlignment="1">
      <alignment horizontal="center" vertical="center"/>
    </xf>
    <xf numFmtId="0" fontId="26" fillId="0" borderId="31" xfId="0" applyFont="1" applyBorder="1" applyAlignment="1">
      <alignment horizontal="center" vertical="center" wrapText="1"/>
    </xf>
    <xf numFmtId="0" fontId="0" fillId="0" borderId="38" xfId="0" applyBorder="1" applyAlignment="1">
      <alignment horizontal="center" vertical="center" wrapText="1"/>
    </xf>
    <xf numFmtId="0" fontId="26" fillId="3" borderId="31" xfId="0" applyFont="1" applyFill="1" applyBorder="1" applyAlignment="1">
      <alignment horizontal="center" vertical="center" wrapText="1"/>
    </xf>
    <xf numFmtId="0" fontId="40" fillId="0" borderId="41" xfId="0" applyFont="1" applyBorder="1" applyAlignment="1">
      <alignment horizontal="center" vertical="center"/>
    </xf>
    <xf numFmtId="4" fontId="26" fillId="0" borderId="31" xfId="0" applyNumberFormat="1" applyFont="1" applyBorder="1" applyAlignment="1">
      <alignment horizontal="center" vertical="center" wrapText="1"/>
    </xf>
    <xf numFmtId="4" fontId="0" fillId="0" borderId="38" xfId="0" applyNumberFormat="1" applyBorder="1" applyAlignment="1">
      <alignment horizontal="center" vertical="center" wrapText="1"/>
    </xf>
    <xf numFmtId="2" fontId="26" fillId="9" borderId="31" xfId="0" applyNumberFormat="1" applyFont="1" applyFill="1" applyBorder="1" applyAlignment="1">
      <alignment horizontal="center" vertical="center" wrapText="1"/>
    </xf>
    <xf numFmtId="2" fontId="50" fillId="0" borderId="38" xfId="0" applyNumberFormat="1" applyFont="1" applyBorder="1" applyAlignment="1">
      <alignment horizontal="center" vertical="center" wrapText="1"/>
    </xf>
    <xf numFmtId="167" fontId="26" fillId="0" borderId="31" xfId="0" applyNumberFormat="1" applyFont="1" applyBorder="1" applyAlignment="1">
      <alignment horizontal="center" vertical="center" wrapText="1"/>
    </xf>
    <xf numFmtId="2" fontId="55" fillId="9" borderId="15" xfId="0" applyNumberFormat="1" applyFont="1" applyFill="1" applyBorder="1" applyAlignment="1">
      <alignment horizontal="center" vertical="center" wrapText="1"/>
    </xf>
    <xf numFmtId="167" fontId="26" fillId="0" borderId="15" xfId="0" applyNumberFormat="1" applyFont="1" applyBorder="1" applyAlignment="1">
      <alignment horizontal="center" vertical="center" wrapText="1"/>
    </xf>
    <xf numFmtId="0" fontId="26" fillId="0" borderId="41" xfId="0" applyFont="1" applyBorder="1" applyAlignment="1">
      <alignment horizontal="center" vertical="center" wrapText="1"/>
    </xf>
    <xf numFmtId="0" fontId="0" fillId="0" borderId="41" xfId="0" applyBorder="1" applyAlignment="1">
      <alignment horizontal="center" vertical="center" wrapText="1"/>
    </xf>
    <xf numFmtId="4" fontId="26" fillId="0" borderId="15" xfId="0" applyNumberFormat="1" applyFont="1" applyBorder="1" applyAlignment="1">
      <alignment horizontal="center" vertical="center" wrapText="1"/>
    </xf>
    <xf numFmtId="2" fontId="26" fillId="9" borderId="15" xfId="0" applyNumberFormat="1" applyFont="1" applyFill="1" applyBorder="1" applyAlignment="1">
      <alignment horizontal="center" vertical="center" wrapText="1"/>
    </xf>
    <xf numFmtId="0" fontId="26" fillId="0" borderId="15" xfId="0" applyFont="1" applyBorder="1" applyAlignment="1">
      <alignment horizontal="center" vertical="center" wrapText="1"/>
    </xf>
    <xf numFmtId="4" fontId="54" fillId="0" borderId="31" xfId="0" applyNumberFormat="1" applyFont="1" applyBorder="1" applyAlignment="1">
      <alignment horizontal="center" vertical="center"/>
    </xf>
    <xf numFmtId="4" fontId="54" fillId="0" borderId="38" xfId="0" applyNumberFormat="1" applyFont="1" applyBorder="1" applyAlignment="1">
      <alignment horizontal="center" vertical="center"/>
    </xf>
    <xf numFmtId="0" fontId="32" fillId="5" borderId="15" xfId="0" applyFont="1" applyFill="1" applyBorder="1" applyAlignment="1">
      <alignment horizontal="center" vertical="center" wrapText="1"/>
    </xf>
    <xf numFmtId="0" fontId="19" fillId="0" borderId="25" xfId="0" applyFont="1" applyBorder="1" applyAlignment="1">
      <alignment horizontal="center"/>
    </xf>
    <xf numFmtId="0" fontId="19" fillId="0" borderId="45" xfId="0" applyFont="1" applyBorder="1" applyAlignment="1">
      <alignment horizontal="center"/>
    </xf>
    <xf numFmtId="0" fontId="19" fillId="0" borderId="44" xfId="0" applyFont="1" applyBorder="1" applyAlignment="1">
      <alignment horizontal="center"/>
    </xf>
    <xf numFmtId="0" fontId="38" fillId="0" borderId="15" xfId="0" applyFont="1" applyBorder="1" applyAlignment="1">
      <alignment horizontal="center" vertical="center"/>
    </xf>
    <xf numFmtId="165" fontId="26" fillId="16" borderId="15" xfId="13" applyFont="1" applyFill="1" applyBorder="1" applyAlignment="1">
      <alignment horizontal="center" vertical="center" wrapText="1"/>
    </xf>
    <xf numFmtId="165" fontId="27" fillId="16" borderId="31" xfId="13" applyFont="1" applyFill="1" applyBorder="1" applyAlignment="1">
      <alignment horizontal="center" vertical="center" wrapText="1"/>
    </xf>
    <xf numFmtId="165" fontId="27" fillId="16" borderId="38" xfId="13" applyFont="1" applyFill="1" applyBorder="1" applyAlignment="1">
      <alignment horizontal="center" vertical="center" wrapText="1"/>
    </xf>
    <xf numFmtId="0" fontId="26" fillId="16" borderId="15" xfId="0" applyFont="1" applyFill="1" applyBorder="1" applyAlignment="1">
      <alignment horizontal="center" vertical="center" wrapText="1"/>
    </xf>
    <xf numFmtId="2" fontId="26" fillId="16" borderId="15" xfId="0" applyNumberFormat="1" applyFont="1" applyFill="1" applyBorder="1" applyAlignment="1">
      <alignment horizontal="center" vertical="center" wrapText="1"/>
    </xf>
    <xf numFmtId="2" fontId="26" fillId="17" borderId="15" xfId="0" applyNumberFormat="1" applyFont="1" applyFill="1" applyBorder="1" applyAlignment="1">
      <alignment horizontal="center" vertical="center" wrapText="1"/>
    </xf>
    <xf numFmtId="2" fontId="51" fillId="9" borderId="15" xfId="0" applyNumberFormat="1" applyFont="1" applyFill="1" applyBorder="1" applyAlignment="1">
      <alignment horizontal="center" vertical="center" wrapText="1"/>
    </xf>
    <xf numFmtId="4" fontId="54" fillId="0" borderId="15" xfId="0" applyNumberFormat="1" applyFont="1" applyBorder="1" applyAlignment="1">
      <alignment horizontal="center" vertical="center" wrapText="1"/>
    </xf>
    <xf numFmtId="2" fontId="54" fillId="9" borderId="15" xfId="0" applyNumberFormat="1" applyFont="1" applyFill="1" applyBorder="1" applyAlignment="1">
      <alignment horizontal="center" vertical="center" wrapText="1"/>
    </xf>
    <xf numFmtId="0" fontId="54" fillId="9" borderId="15" xfId="0" applyFont="1" applyFill="1" applyBorder="1" applyAlignment="1">
      <alignment horizontal="center" vertical="center" wrapText="1"/>
    </xf>
    <xf numFmtId="167" fontId="40" fillId="0" borderId="15" xfId="0" applyNumberFormat="1" applyFont="1" applyBorder="1" applyAlignment="1">
      <alignment horizontal="center" vertical="center" wrapText="1"/>
    </xf>
    <xf numFmtId="0" fontId="40" fillId="0" borderId="15" xfId="0" applyFont="1" applyBorder="1" applyAlignment="1">
      <alignment horizontal="center" vertical="center" wrapText="1"/>
    </xf>
    <xf numFmtId="167" fontId="54" fillId="9" borderId="31" xfId="0" applyNumberFormat="1" applyFont="1" applyFill="1" applyBorder="1" applyAlignment="1">
      <alignment horizontal="center" vertical="center" wrapText="1"/>
    </xf>
    <xf numFmtId="167" fontId="54" fillId="9" borderId="38" xfId="0" applyNumberFormat="1" applyFont="1" applyFill="1" applyBorder="1" applyAlignment="1">
      <alignment horizontal="center" vertical="center" wrapText="1"/>
    </xf>
    <xf numFmtId="167" fontId="26" fillId="9" borderId="15" xfId="0" applyNumberFormat="1" applyFont="1" applyFill="1" applyBorder="1" applyAlignment="1">
      <alignment horizontal="center" vertical="center" wrapText="1"/>
    </xf>
    <xf numFmtId="0" fontId="26" fillId="0" borderId="15" xfId="0" applyFont="1" applyBorder="1" applyAlignment="1">
      <alignment horizontal="center" vertical="center"/>
    </xf>
    <xf numFmtId="0" fontId="20" fillId="5" borderId="0" xfId="0" applyFont="1" applyFill="1" applyAlignment="1">
      <alignment horizontal="center" vertical="center" wrapText="1"/>
    </xf>
    <xf numFmtId="0" fontId="21" fillId="0" borderId="0" xfId="0" applyFont="1" applyAlignment="1">
      <alignment horizontal="center" vertical="center" wrapText="1"/>
    </xf>
    <xf numFmtId="0" fontId="22" fillId="6" borderId="0" xfId="0" applyFont="1" applyFill="1" applyAlignment="1">
      <alignment horizontal="center" vertical="center" wrapText="1"/>
    </xf>
    <xf numFmtId="0" fontId="21" fillId="6" borderId="0" xfId="0" applyFont="1" applyFill="1" applyAlignment="1">
      <alignment horizontal="center" vertical="center" wrapText="1"/>
    </xf>
    <xf numFmtId="0" fontId="28" fillId="5" borderId="0" xfId="0" applyFont="1" applyFill="1" applyAlignment="1">
      <alignment horizontal="center" vertical="center" wrapText="1"/>
    </xf>
    <xf numFmtId="0" fontId="3" fillId="0" borderId="0" xfId="11" applyFont="1" applyAlignment="1">
      <alignment horizontal="center"/>
    </xf>
    <xf numFmtId="0" fontId="3" fillId="10" borderId="0" xfId="12" applyFont="1" applyFill="1" applyAlignment="1">
      <alignment horizontal="center" vertical="center"/>
    </xf>
    <xf numFmtId="0" fontId="11" fillId="9" borderId="11" xfId="8" applyFont="1" applyFill="1" applyBorder="1" applyAlignment="1">
      <alignment horizontal="center" vertical="center" wrapText="1"/>
    </xf>
    <xf numFmtId="0" fontId="11" fillId="9" borderId="12" xfId="8" applyFont="1" applyFill="1" applyBorder="1" applyAlignment="1">
      <alignment horizontal="center" vertical="center" wrapText="1"/>
    </xf>
    <xf numFmtId="0" fontId="11" fillId="9" borderId="13" xfId="8" applyFont="1" applyFill="1" applyBorder="1" applyAlignment="1">
      <alignment horizontal="center" vertical="center" wrapText="1"/>
    </xf>
    <xf numFmtId="166" fontId="30" fillId="12" borderId="24" xfId="0" applyNumberFormat="1" applyFont="1" applyFill="1" applyBorder="1" applyAlignment="1">
      <alignment horizontal="center" vertical="center" wrapText="1"/>
    </xf>
    <xf numFmtId="166" fontId="30" fillId="12" borderId="37" xfId="0" applyNumberFormat="1" applyFont="1" applyFill="1" applyBorder="1" applyAlignment="1">
      <alignment horizontal="center" vertical="center" wrapText="1"/>
    </xf>
    <xf numFmtId="0" fontId="46" fillId="5" borderId="0" xfId="0" applyFont="1" applyFill="1" applyAlignment="1">
      <alignment horizontal="center" vertical="center" wrapText="1"/>
    </xf>
    <xf numFmtId="0" fontId="23" fillId="10" borderId="0" xfId="12" applyFont="1" applyFill="1" applyAlignment="1">
      <alignment horizontal="center" vertical="center"/>
    </xf>
    <xf numFmtId="0" fontId="3" fillId="0" borderId="0" xfId="11" applyFont="1" applyAlignment="1">
      <alignment horizontal="center" vertical="center"/>
    </xf>
    <xf numFmtId="170" fontId="29" fillId="12" borderId="24" xfId="0" applyNumberFormat="1" applyFont="1" applyFill="1" applyBorder="1" applyAlignment="1">
      <alignment horizontal="center" vertical="center" wrapText="1"/>
    </xf>
    <xf numFmtId="170" fontId="29" fillId="12" borderId="37" xfId="0" applyNumberFormat="1" applyFont="1" applyFill="1" applyBorder="1" applyAlignment="1">
      <alignment horizontal="center" vertical="center" wrapText="1"/>
    </xf>
    <xf numFmtId="0" fontId="12" fillId="4" borderId="7" xfId="5" applyFont="1" applyFill="1" applyBorder="1" applyAlignment="1">
      <alignment horizontal="center" vertical="center"/>
    </xf>
    <xf numFmtId="0" fontId="14" fillId="3" borderId="0" xfId="5" applyFont="1" applyFill="1" applyAlignment="1">
      <alignment horizontal="center"/>
    </xf>
    <xf numFmtId="0" fontId="15" fillId="3" borderId="0" xfId="5" applyFont="1" applyFill="1" applyAlignment="1">
      <alignment horizontal="center"/>
    </xf>
    <xf numFmtId="0" fontId="16" fillId="3" borderId="0" xfId="5" applyFont="1" applyFill="1" applyAlignment="1" applyProtection="1">
      <alignment horizontal="center"/>
      <protection hidden="1"/>
    </xf>
    <xf numFmtId="0" fontId="12" fillId="4" borderId="1" xfId="5" applyFont="1" applyFill="1" applyBorder="1" applyAlignment="1">
      <alignment horizontal="center"/>
    </xf>
    <xf numFmtId="0" fontId="12" fillId="4" borderId="2" xfId="5" applyFont="1" applyFill="1" applyBorder="1" applyAlignment="1">
      <alignment horizontal="center"/>
    </xf>
    <xf numFmtId="0" fontId="12" fillId="4" borderId="3" xfId="5" applyFont="1" applyFill="1" applyBorder="1" applyAlignment="1">
      <alignment horizontal="center"/>
    </xf>
    <xf numFmtId="20" fontId="9" fillId="9" borderId="17" xfId="0" applyNumberFormat="1" applyFont="1" applyFill="1" applyBorder="1" applyAlignment="1">
      <alignment horizontal="center" vertical="center"/>
    </xf>
    <xf numFmtId="1" fontId="9" fillId="9" borderId="17" xfId="0" applyNumberFormat="1" applyFont="1" applyFill="1" applyBorder="1" applyAlignment="1">
      <alignment horizontal="center" vertical="center"/>
    </xf>
    <xf numFmtId="0" fontId="10" fillId="9" borderId="17" xfId="5" applyFont="1" applyFill="1" applyBorder="1" applyAlignment="1" applyProtection="1">
      <alignment vertical="center"/>
      <protection locked="0" hidden="1"/>
    </xf>
    <xf numFmtId="0" fontId="10" fillId="9" borderId="17" xfId="5" applyFont="1" applyFill="1" applyBorder="1" applyAlignment="1" applyProtection="1">
      <alignment wrapText="1"/>
      <protection locked="0" hidden="1"/>
    </xf>
    <xf numFmtId="0" fontId="10" fillId="9" borderId="17" xfId="5" applyFont="1" applyFill="1" applyBorder="1" applyAlignment="1" applyProtection="1">
      <alignment horizontal="center" vertical="center"/>
      <protection locked="0" hidden="1"/>
    </xf>
    <xf numFmtId="168" fontId="9" fillId="9" borderId="17" xfId="7" applyNumberFormat="1" applyFont="1" applyFill="1" applyBorder="1" applyAlignment="1">
      <alignment horizontal="center" vertical="center"/>
    </xf>
  </cellXfs>
  <cellStyles count="18">
    <cellStyle name="Millares" xfId="1" builtinId="3"/>
    <cellStyle name="Millares [0]" xfId="15" builtinId="6"/>
    <cellStyle name="Millares 10 3" xfId="13" xr:uid="{C5F99307-C1F2-4AA5-AF96-C52F2136BC06}"/>
    <cellStyle name="Millares 2" xfId="6" xr:uid="{F01C5C54-6F1F-48D9-972C-CAB93DAC3B15}"/>
    <cellStyle name="Millares 39 2" xfId="10" xr:uid="{5E177048-6C67-4B88-BC18-E12175CAB086}"/>
    <cellStyle name="Moneda [0] 2" xfId="16" xr:uid="{C0E7EFF8-B020-4FC3-BF67-877BFE70AC11}"/>
    <cellStyle name="Moneda 15" xfId="14" xr:uid="{F8432900-D670-4944-A45B-09D7B6822EB1}"/>
    <cellStyle name="Moneda 15 2" xfId="7" xr:uid="{1939F9EC-ED7C-4CBF-927A-8679389343EA}"/>
    <cellStyle name="Moneda 2" xfId="4" xr:uid="{AFCDC127-41D0-4898-946C-44446087F280}"/>
    <cellStyle name="Moneda 3" xfId="9" xr:uid="{38857786-7149-4A31-BFBF-A7B7533E8402}"/>
    <cellStyle name="Normal" xfId="0" builtinId="0"/>
    <cellStyle name="Normal 10" xfId="2" xr:uid="{9ED5810A-6217-4D99-A60F-194F35CA2796}"/>
    <cellStyle name="Normal 2" xfId="3" xr:uid="{39E248A4-9838-4B75-B280-CF67CC4ED227}"/>
    <cellStyle name="Normal 2 69" xfId="5" xr:uid="{43D0B59A-2602-4BA5-9B19-B38DF87B6B7A}"/>
    <cellStyle name="Normal 3" xfId="17" xr:uid="{8DA4E8AF-8D7F-45DB-AE48-5420F619E445}"/>
    <cellStyle name="Normal 5 2" xfId="12" xr:uid="{85FFA42F-A618-42A2-A2C0-EC5E5E6B5EFD}"/>
    <cellStyle name="Normal 50" xfId="11" xr:uid="{DEFBCF50-21F0-4E37-B152-5B642A0F8542}"/>
    <cellStyle name="Normal 50 3" xfId="8" xr:uid="{B6CAE0CF-2CBD-4B1A-86B4-45D07B1D5478}"/>
  </cellStyles>
  <dxfs count="0"/>
  <tableStyles count="0" defaultTableStyle="TableStyleMedium2" defaultPivotStyle="PivotStyleLight16"/>
  <colors>
    <mruColors>
      <color rgb="FFFFFFCC"/>
      <color rgb="FFFFFF00"/>
      <color rgb="FFFF6699"/>
      <color rgb="FF008000"/>
      <color rgb="FFDAF2D0"/>
      <color rgb="FFCCFFCC"/>
      <color rgb="FFB8D3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sv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sv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xdr:col>
      <xdr:colOff>333375</xdr:colOff>
      <xdr:row>2</xdr:row>
      <xdr:rowOff>108248</xdr:rowOff>
    </xdr:from>
    <xdr:to>
      <xdr:col>3</xdr:col>
      <xdr:colOff>3426199</xdr:colOff>
      <xdr:row>5</xdr:row>
      <xdr:rowOff>568809</xdr:rowOff>
    </xdr:to>
    <xdr:pic>
      <xdr:nvPicPr>
        <xdr:cNvPr id="2" name="Gráfico 240724825">
          <a:extLst>
            <a:ext uri="{FF2B5EF4-FFF2-40B4-BE49-F238E27FC236}">
              <a16:creationId xmlns:a16="http://schemas.microsoft.com/office/drawing/2014/main" id="{B49D3153-A841-451F-98EC-8857780C87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2500" y="527348"/>
          <a:ext cx="3087532" cy="1041587"/>
        </a:xfrm>
        <a:prstGeom prst="rect">
          <a:avLst/>
        </a:prstGeom>
      </xdr:spPr>
    </xdr:pic>
    <xdr:clientData/>
  </xdr:twoCellAnchor>
  <xdr:oneCellAnchor>
    <xdr:from>
      <xdr:col>8</xdr:col>
      <xdr:colOff>497417</xdr:colOff>
      <xdr:row>4</xdr:row>
      <xdr:rowOff>21166</xdr:rowOff>
    </xdr:from>
    <xdr:ext cx="1123950" cy="497182"/>
    <xdr:pic>
      <xdr:nvPicPr>
        <xdr:cNvPr id="3" name="image3.jpeg">
          <a:extLst>
            <a:ext uri="{FF2B5EF4-FFF2-40B4-BE49-F238E27FC236}">
              <a16:creationId xmlns:a16="http://schemas.microsoft.com/office/drawing/2014/main" id="{44908197-64FB-441D-8224-32808446195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469967" y="811741"/>
          <a:ext cx="1123950" cy="497182"/>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114300</xdr:colOff>
      <xdr:row>1</xdr:row>
      <xdr:rowOff>161925</xdr:rowOff>
    </xdr:from>
    <xdr:to>
      <xdr:col>1</xdr:col>
      <xdr:colOff>3207124</xdr:colOff>
      <xdr:row>1</xdr:row>
      <xdr:rowOff>996017</xdr:rowOff>
    </xdr:to>
    <xdr:pic>
      <xdr:nvPicPr>
        <xdr:cNvPr id="2" name="Gráfico 240724825">
          <a:extLst>
            <a:ext uri="{FF2B5EF4-FFF2-40B4-BE49-F238E27FC236}">
              <a16:creationId xmlns:a16="http://schemas.microsoft.com/office/drawing/2014/main" id="{8760E67B-6F6C-491D-B90C-5D6EDBF9A9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00050" y="533400"/>
          <a:ext cx="3092824" cy="834092"/>
        </a:xfrm>
        <a:prstGeom prst="rect">
          <a:avLst/>
        </a:prstGeom>
      </xdr:spPr>
    </xdr:pic>
    <xdr:clientData/>
  </xdr:twoCellAnchor>
  <xdr:oneCellAnchor>
    <xdr:from>
      <xdr:col>6</xdr:col>
      <xdr:colOff>545944</xdr:colOff>
      <xdr:row>1</xdr:row>
      <xdr:rowOff>348475</xdr:rowOff>
    </xdr:from>
    <xdr:ext cx="1123950" cy="497182"/>
    <xdr:pic>
      <xdr:nvPicPr>
        <xdr:cNvPr id="3" name="image3.jpeg">
          <a:extLst>
            <a:ext uri="{FF2B5EF4-FFF2-40B4-BE49-F238E27FC236}">
              <a16:creationId xmlns:a16="http://schemas.microsoft.com/office/drawing/2014/main" id="{AC0890F4-FD66-4627-9DB7-34AD52B9CFD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442669" y="719950"/>
          <a:ext cx="1123950" cy="49718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571500</xdr:colOff>
      <xdr:row>0</xdr:row>
      <xdr:rowOff>71438</xdr:rowOff>
    </xdr:from>
    <xdr:to>
      <xdr:col>1</xdr:col>
      <xdr:colOff>1397635</xdr:colOff>
      <xdr:row>1</xdr:row>
      <xdr:rowOff>738822</xdr:rowOff>
    </xdr:to>
    <xdr:pic>
      <xdr:nvPicPr>
        <xdr:cNvPr id="2" name="Imagen 1" descr="Logotipo&#10;&#10;El contenido generado por IA puede ser incorrecto.">
          <a:extLst>
            <a:ext uri="{FF2B5EF4-FFF2-40B4-BE49-F238E27FC236}">
              <a16:creationId xmlns:a16="http://schemas.microsoft.com/office/drawing/2014/main" id="{1FC1E0DA-DACA-4619-BAEB-20E8051B64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3925" y="71438"/>
          <a:ext cx="826135" cy="8293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535781</xdr:colOff>
      <xdr:row>1</xdr:row>
      <xdr:rowOff>95250</xdr:rowOff>
    </xdr:from>
    <xdr:ext cx="1123950" cy="497182"/>
    <xdr:pic>
      <xdr:nvPicPr>
        <xdr:cNvPr id="2" name="image3.jpeg">
          <a:extLst>
            <a:ext uri="{FF2B5EF4-FFF2-40B4-BE49-F238E27FC236}">
              <a16:creationId xmlns:a16="http://schemas.microsoft.com/office/drawing/2014/main" id="{9653F08F-6AD4-46DE-8E74-95E5A908D3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41256" y="276225"/>
          <a:ext cx="1123950" cy="497182"/>
        </a:xfrm>
        <a:prstGeom prst="rect">
          <a:avLst/>
        </a:prstGeom>
      </xdr:spPr>
    </xdr:pic>
    <xdr:clientData/>
  </xdr:oneCellAnchor>
  <xdr:twoCellAnchor editAs="oneCell">
    <xdr:from>
      <xdr:col>2</xdr:col>
      <xdr:colOff>0</xdr:colOff>
      <xdr:row>1</xdr:row>
      <xdr:rowOff>0</xdr:rowOff>
    </xdr:from>
    <xdr:to>
      <xdr:col>2</xdr:col>
      <xdr:colOff>826135</xdr:colOff>
      <xdr:row>3</xdr:row>
      <xdr:rowOff>635</xdr:rowOff>
    </xdr:to>
    <xdr:pic>
      <xdr:nvPicPr>
        <xdr:cNvPr id="3" name="Imagen 2" descr="Logotipo&#10;&#10;El contenido generado por IA puede ser incorrecto.">
          <a:extLst>
            <a:ext uri="{FF2B5EF4-FFF2-40B4-BE49-F238E27FC236}">
              <a16:creationId xmlns:a16="http://schemas.microsoft.com/office/drawing/2014/main" id="{2DA77690-B7B7-4D1E-9CA5-914951BCDB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5325" y="180975"/>
          <a:ext cx="826135" cy="82931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976313</xdr:colOff>
      <xdr:row>0</xdr:row>
      <xdr:rowOff>1</xdr:rowOff>
    </xdr:from>
    <xdr:to>
      <xdr:col>3</xdr:col>
      <xdr:colOff>1802448</xdr:colOff>
      <xdr:row>5</xdr:row>
      <xdr:rowOff>635</xdr:rowOff>
    </xdr:to>
    <xdr:pic>
      <xdr:nvPicPr>
        <xdr:cNvPr id="2" name="Imagen 1" descr="Logotipo&#10;&#10;El contenido generado por IA puede ser incorrecto.">
          <a:extLst>
            <a:ext uri="{FF2B5EF4-FFF2-40B4-BE49-F238E27FC236}">
              <a16:creationId xmlns:a16="http://schemas.microsoft.com/office/drawing/2014/main" id="{54803678-2EFC-4B08-A26C-5D7160541A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14538" y="1"/>
          <a:ext cx="826135" cy="81025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52916</xdr:colOff>
      <xdr:row>0</xdr:row>
      <xdr:rowOff>137583</xdr:rowOff>
    </xdr:from>
    <xdr:to>
      <xdr:col>2</xdr:col>
      <xdr:colOff>2627157</xdr:colOff>
      <xdr:row>3</xdr:row>
      <xdr:rowOff>10583</xdr:rowOff>
    </xdr:to>
    <xdr:pic>
      <xdr:nvPicPr>
        <xdr:cNvPr id="2" name="Gráfico 240724825">
          <a:extLst>
            <a:ext uri="{FF2B5EF4-FFF2-40B4-BE49-F238E27FC236}">
              <a16:creationId xmlns:a16="http://schemas.microsoft.com/office/drawing/2014/main" id="{0552F892-F30E-4BAE-8143-744C0D9272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01083" y="137583"/>
          <a:ext cx="3092824" cy="75141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331520</xdr:colOff>
      <xdr:row>1</xdr:row>
      <xdr:rowOff>123825</xdr:rowOff>
    </xdr:from>
    <xdr:to>
      <xdr:col>18</xdr:col>
      <xdr:colOff>1220548</xdr:colOff>
      <xdr:row>3</xdr:row>
      <xdr:rowOff>81915</xdr:rowOff>
    </xdr:to>
    <xdr:pic>
      <xdr:nvPicPr>
        <xdr:cNvPr id="2" name="Imagen 1" descr="jargu papel phaser c100 m30">
          <a:extLst>
            <a:ext uri="{FF2B5EF4-FFF2-40B4-BE49-F238E27FC236}">
              <a16:creationId xmlns:a16="http://schemas.microsoft.com/office/drawing/2014/main" id="{46E746D1-AF18-41D5-BC2D-462B66F46C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704995" y="314325"/>
          <a:ext cx="1689128" cy="748665"/>
        </a:xfrm>
        <a:prstGeom prst="rect">
          <a:avLst/>
        </a:prstGeom>
        <a:noFill/>
      </xdr:spPr>
    </xdr:pic>
    <xdr:clientData/>
  </xdr:twoCellAnchor>
  <xdr:twoCellAnchor editAs="oneCell">
    <xdr:from>
      <xdr:col>1</xdr:col>
      <xdr:colOff>400050</xdr:colOff>
      <xdr:row>1</xdr:row>
      <xdr:rowOff>228600</xdr:rowOff>
    </xdr:from>
    <xdr:to>
      <xdr:col>4</xdr:col>
      <xdr:colOff>559174</xdr:colOff>
      <xdr:row>3</xdr:row>
      <xdr:rowOff>200025</xdr:rowOff>
    </xdr:to>
    <xdr:pic>
      <xdr:nvPicPr>
        <xdr:cNvPr id="3" name="Gráfico 240724825">
          <a:extLst>
            <a:ext uri="{FF2B5EF4-FFF2-40B4-BE49-F238E27FC236}">
              <a16:creationId xmlns:a16="http://schemas.microsoft.com/office/drawing/2014/main" id="{A5EA0E15-2F0C-4D39-83C8-F66D0AE2F2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733425" y="419100"/>
          <a:ext cx="3092824" cy="762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20</xdr:col>
      <xdr:colOff>1169720</xdr:colOff>
      <xdr:row>2</xdr:row>
      <xdr:rowOff>0</xdr:rowOff>
    </xdr:from>
    <xdr:to>
      <xdr:col>22</xdr:col>
      <xdr:colOff>668098</xdr:colOff>
      <xdr:row>4</xdr:row>
      <xdr:rowOff>72390</xdr:rowOff>
    </xdr:to>
    <xdr:pic>
      <xdr:nvPicPr>
        <xdr:cNvPr id="2" name="Imagen 1" descr="jargu papel phaser c100 m30">
          <a:extLst>
            <a:ext uri="{FF2B5EF4-FFF2-40B4-BE49-F238E27FC236}">
              <a16:creationId xmlns:a16="http://schemas.microsoft.com/office/drawing/2014/main" id="{89EE811D-5D82-48C0-ABFE-41DD098D64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00520" y="552450"/>
          <a:ext cx="1797078" cy="745490"/>
        </a:xfrm>
        <a:prstGeom prst="rect">
          <a:avLst/>
        </a:prstGeom>
        <a:noFill/>
      </xdr:spPr>
    </xdr:pic>
    <xdr:clientData/>
  </xdr:twoCellAnchor>
  <xdr:twoCellAnchor editAs="oneCell">
    <xdr:from>
      <xdr:col>1</xdr:col>
      <xdr:colOff>400050</xdr:colOff>
      <xdr:row>1</xdr:row>
      <xdr:rowOff>228600</xdr:rowOff>
    </xdr:from>
    <xdr:to>
      <xdr:col>5</xdr:col>
      <xdr:colOff>746499</xdr:colOff>
      <xdr:row>3</xdr:row>
      <xdr:rowOff>200025</xdr:rowOff>
    </xdr:to>
    <xdr:pic>
      <xdr:nvPicPr>
        <xdr:cNvPr id="3" name="Gráfico 240724825">
          <a:extLst>
            <a:ext uri="{FF2B5EF4-FFF2-40B4-BE49-F238E27FC236}">
              <a16:creationId xmlns:a16="http://schemas.microsoft.com/office/drawing/2014/main" id="{06BBD9DE-7922-4ED0-953D-E07A8D14AA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749300" y="412750"/>
          <a:ext cx="3213474" cy="7588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7.11.13\tecnico\Users\DIANA%20CHIA\Downloads\simulador_amp_segurosvehiculos2g_v18_31-10-2022%20(SIC).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7.11.13\tecnico\10.17.11.13\tecnico\Users\DIANA%20CHIA\Downloads\simulador_amp_segurosvehiculos2g_v18_31-10-2022%20(SI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Fasecolda"/>
      <sheetName val="Guia"/>
      <sheetName val="SolCotizacion"/>
      <sheetName val="Accesorios"/>
      <sheetName val="Fasecolda"/>
      <sheetName val="TablaDinamica"/>
      <sheetName val="ResumenCotizacion"/>
      <sheetName val="Cotizacion"/>
      <sheetName val="solCotizacionCSV"/>
      <sheetName val="Listas"/>
      <sheetName val="ConsolidadoAmparos"/>
      <sheetName val="AmparosFiltrados"/>
    </sheetNames>
    <sheetDataSet>
      <sheetData sheetId="0"/>
      <sheetData sheetId="1"/>
      <sheetData sheetId="2"/>
      <sheetData sheetId="3"/>
      <sheetData sheetId="4">
        <row r="1">
          <cell r="A1" t="str">
            <v>Codigo</v>
          </cell>
        </row>
      </sheetData>
      <sheetData sheetId="5"/>
      <sheetData sheetId="6"/>
      <sheetData sheetId="7"/>
      <sheetData sheetId="8"/>
      <sheetData sheetId="9">
        <row r="2">
          <cell r="A2" t="str">
            <v>Propio</v>
          </cell>
          <cell r="C2" t="str">
            <v>Automóvil</v>
          </cell>
          <cell r="G2" t="str">
            <v>Uniformado</v>
          </cell>
        </row>
        <row r="3">
          <cell r="C3" t="str">
            <v>Buses y busetas de servicio público urbano</v>
          </cell>
          <cell r="G3" t="str">
            <v>Blindado</v>
          </cell>
        </row>
        <row r="4">
          <cell r="C4" t="str">
            <v>Camión</v>
          </cell>
          <cell r="G4" t="str">
            <v>Publico Urbano</v>
          </cell>
        </row>
        <row r="5">
          <cell r="C5" t="str">
            <v>Camionetas</v>
          </cell>
          <cell r="G5" t="str">
            <v>Publico Intermunicipal</v>
          </cell>
        </row>
        <row r="6">
          <cell r="C6" t="str">
            <v>Camperos</v>
          </cell>
          <cell r="G6" t="str">
            <v>Particular</v>
          </cell>
        </row>
        <row r="7">
          <cell r="C7" t="str">
            <v>Microbus</v>
          </cell>
          <cell r="G7" t="str">
            <v>Diplomaticos</v>
          </cell>
        </row>
        <row r="8">
          <cell r="C8" t="str">
            <v>Motocicletas</v>
          </cell>
          <cell r="G8" t="str">
            <v>Trabajo Agroindustrial</v>
          </cell>
        </row>
        <row r="9">
          <cell r="C9" t="str">
            <v>Tractocamión</v>
          </cell>
          <cell r="G9" t="str">
            <v>Ensenanza Automotriz</v>
          </cell>
        </row>
        <row r="10">
          <cell r="C10" t="str">
            <v>Volqueta y maquinaria industrial</v>
          </cell>
          <cell r="G10" t="str">
            <v>Carro Funebre</v>
          </cell>
        </row>
        <row r="11">
          <cell r="G11" t="str">
            <v>Ambulancia</v>
          </cell>
        </row>
        <row r="12">
          <cell r="G12" t="str">
            <v>Bomberos</v>
          </cell>
        </row>
        <row r="13">
          <cell r="G13" t="str">
            <v>Transporte De Valores</v>
          </cell>
        </row>
        <row r="14">
          <cell r="G14" t="str">
            <v>Fuerzas Militares Especiales</v>
          </cell>
        </row>
        <row r="15">
          <cell r="G15" t="str">
            <v>Oficiales</v>
          </cell>
        </row>
        <row r="16">
          <cell r="G16" t="str">
            <v>Particular Escolar</v>
          </cell>
        </row>
        <row r="17">
          <cell r="G17" t="str">
            <v>Oficial Escolar</v>
          </cell>
        </row>
      </sheetData>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C5CB24F-19EF-4DD2-8230-391DF2F73E2A}">
  <we:reference id="WA200005502" version="1.0.0.12" store="es-ES" storeType="omex"/>
  <we:alternateReferences>
    <we:reference id="WA200005502" version="1.0.0.12" store="es-ES" storeType="omex"/>
  </we:alternateReferences>
  <we:properties>
    <we:property name="docId" value="&quot;rUfqKQb61-IFPJteLEYcn&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C38B4-0496-4D05-81A4-FCEB9A6B9400}">
  <sheetPr>
    <tabColor rgb="FF00B0F0"/>
  </sheetPr>
  <dimension ref="C1:L60"/>
  <sheetViews>
    <sheetView showGridLines="0" view="pageBreakPreview" topLeftCell="D33" zoomScale="90" zoomScaleNormal="80" zoomScaleSheetLayoutView="90" workbookViewId="0">
      <selection activeCell="J38" sqref="J38"/>
    </sheetView>
  </sheetViews>
  <sheetFormatPr baseColWidth="10" defaultColWidth="12.42578125" defaultRowHeight="12.75" x14ac:dyDescent="0.25"/>
  <cols>
    <col min="1" max="1" width="4" style="75" customWidth="1"/>
    <col min="2" max="2" width="1" style="75" customWidth="1"/>
    <col min="3" max="3" width="9.42578125" style="100" customWidth="1"/>
    <col min="4" max="4" width="53.5703125" style="75" customWidth="1"/>
    <col min="5" max="5" width="25.7109375" style="75" customWidth="1"/>
    <col min="6" max="6" width="10.5703125" style="75" customWidth="1"/>
    <col min="7" max="7" width="9.5703125" style="102" bestFit="1" customWidth="1"/>
    <col min="8" max="8" width="21.85546875" style="101" customWidth="1"/>
    <col min="9" max="9" width="18" style="101" customWidth="1"/>
    <col min="10" max="10" width="21.5703125" style="101" customWidth="1"/>
    <col min="11" max="11" width="1.85546875" style="75" customWidth="1"/>
    <col min="12" max="12" width="14.85546875" style="75" bestFit="1" customWidth="1"/>
    <col min="13" max="16384" width="12.42578125" style="75"/>
  </cols>
  <sheetData>
    <row r="1" spans="3:11" ht="13.5" thickBot="1" x14ac:dyDescent="0.3"/>
    <row r="2" spans="3:11" ht="27" customHeight="1" x14ac:dyDescent="0.25">
      <c r="C2" s="167"/>
      <c r="D2" s="329" t="s">
        <v>58</v>
      </c>
      <c r="E2" s="330"/>
      <c r="F2" s="330"/>
      <c r="G2" s="330"/>
      <c r="H2" s="330"/>
      <c r="I2" s="330"/>
      <c r="J2" s="331"/>
    </row>
    <row r="3" spans="3:11" x14ac:dyDescent="0.25">
      <c r="C3" s="167"/>
      <c r="D3" s="171"/>
      <c r="E3" s="172"/>
      <c r="F3" s="172"/>
      <c r="G3" s="172"/>
      <c r="H3" s="172"/>
      <c r="I3" s="172"/>
      <c r="J3" s="173"/>
    </row>
    <row r="4" spans="3:11" ht="16.5" x14ac:dyDescent="0.25">
      <c r="C4" s="167"/>
      <c r="D4" s="332" t="s">
        <v>186</v>
      </c>
      <c r="E4" s="333"/>
      <c r="F4" s="333"/>
      <c r="G4" s="333"/>
      <c r="H4" s="333"/>
      <c r="I4" s="333"/>
      <c r="J4" s="334"/>
    </row>
    <row r="5" spans="3:11" ht="16.5" x14ac:dyDescent="0.25">
      <c r="C5" s="167"/>
      <c r="D5" s="332" t="s">
        <v>187</v>
      </c>
      <c r="E5" s="333"/>
      <c r="F5" s="333"/>
      <c r="G5" s="333"/>
      <c r="H5" s="333"/>
      <c r="I5" s="333"/>
      <c r="J5" s="334"/>
    </row>
    <row r="6" spans="3:11" ht="50.45" customHeight="1" thickBot="1" x14ac:dyDescent="0.3">
      <c r="C6" s="167"/>
      <c r="D6" s="174"/>
      <c r="E6" s="175"/>
      <c r="F6" s="175"/>
      <c r="G6" s="175"/>
      <c r="H6" s="175"/>
      <c r="I6" s="175"/>
      <c r="J6" s="176"/>
    </row>
    <row r="7" spans="3:11" ht="28.5" customHeight="1" thickBot="1" x14ac:dyDescent="0.3">
      <c r="C7" s="167"/>
      <c r="D7" s="335" t="s">
        <v>321</v>
      </c>
      <c r="E7" s="336"/>
      <c r="F7" s="336"/>
      <c r="G7" s="336"/>
      <c r="H7" s="336"/>
      <c r="I7" s="336"/>
      <c r="J7" s="337"/>
    </row>
    <row r="8" spans="3:11" ht="18.75" customHeight="1" thickBot="1" x14ac:dyDescent="0.3">
      <c r="C8" s="167"/>
      <c r="D8" s="338" t="s">
        <v>188</v>
      </c>
      <c r="E8" s="339"/>
      <c r="F8" s="177"/>
      <c r="G8" s="175"/>
      <c r="H8" s="76"/>
      <c r="I8" s="76"/>
      <c r="J8" s="178"/>
    </row>
    <row r="9" spans="3:11" ht="17.25" thickBot="1" x14ac:dyDescent="0.3">
      <c r="C9" s="167"/>
      <c r="D9" s="179" t="s">
        <v>237</v>
      </c>
      <c r="E9" s="77">
        <v>46352</v>
      </c>
      <c r="F9" s="326"/>
      <c r="G9" s="327"/>
      <c r="H9" s="327"/>
      <c r="I9" s="327"/>
      <c r="J9" s="328"/>
    </row>
    <row r="10" spans="3:11" ht="17.25" thickBot="1" x14ac:dyDescent="0.3">
      <c r="C10" s="167"/>
      <c r="D10" s="180" t="s">
        <v>239</v>
      </c>
      <c r="E10" s="77">
        <v>46434</v>
      </c>
      <c r="F10" s="347"/>
      <c r="G10" s="348"/>
      <c r="H10" s="348"/>
      <c r="I10" s="348"/>
      <c r="J10" s="349"/>
    </row>
    <row r="11" spans="3:11" ht="28.5" customHeight="1" thickBot="1" x14ac:dyDescent="0.3">
      <c r="C11" s="167"/>
      <c r="D11" s="181" t="s">
        <v>189</v>
      </c>
      <c r="E11" s="234">
        <f>E10-E9</f>
        <v>82</v>
      </c>
      <c r="F11" s="246" t="s">
        <v>318</v>
      </c>
      <c r="G11" s="182"/>
      <c r="H11" s="76"/>
      <c r="I11" s="76"/>
      <c r="J11" s="183"/>
    </row>
    <row r="12" spans="3:11" ht="33.75" customHeight="1" x14ac:dyDescent="0.25">
      <c r="C12" s="168" t="s">
        <v>107</v>
      </c>
      <c r="D12" s="184" t="s">
        <v>0</v>
      </c>
      <c r="E12" s="78" t="s">
        <v>1</v>
      </c>
      <c r="F12" s="78" t="s">
        <v>190</v>
      </c>
      <c r="G12" s="78" t="s">
        <v>191</v>
      </c>
      <c r="H12" s="79" t="s">
        <v>243</v>
      </c>
      <c r="I12" s="79" t="s">
        <v>2</v>
      </c>
      <c r="J12" s="185" t="s">
        <v>34</v>
      </c>
    </row>
    <row r="13" spans="3:11" ht="24.95" customHeight="1" x14ac:dyDescent="0.25">
      <c r="C13" s="167">
        <v>1</v>
      </c>
      <c r="D13" s="186" t="s">
        <v>193</v>
      </c>
      <c r="E13" s="80">
        <f>'VRES ASEGURADOS TRDM ACTUAL'!C19</f>
        <v>44947125528.94516</v>
      </c>
      <c r="F13" s="239">
        <f>TASASPROMEDIO!I6</f>
        <v>1.5307199999999999</v>
      </c>
      <c r="G13" s="350" t="s">
        <v>194</v>
      </c>
      <c r="H13" s="82">
        <f>ROUND((E13*F13/1000)/365*E11,0)</f>
        <v>15456767</v>
      </c>
      <c r="I13" s="82">
        <f>ROUND(H13*19/100,0)</f>
        <v>2936786</v>
      </c>
      <c r="J13" s="187">
        <f>H13+I13</f>
        <v>18393553</v>
      </c>
    </row>
    <row r="14" spans="3:11" ht="18" customHeight="1" x14ac:dyDescent="0.25">
      <c r="C14" s="167">
        <v>1.1000000000000001</v>
      </c>
      <c r="D14" s="188" t="s">
        <v>195</v>
      </c>
      <c r="E14" s="304">
        <f>'VRES ASEGURADOS TRDM ACTUAL'!C20</f>
        <v>333853283.43081313</v>
      </c>
      <c r="F14" s="240">
        <f>ROUND(F13/2,3)</f>
        <v>0.76500000000000001</v>
      </c>
      <c r="G14" s="350"/>
      <c r="H14" s="83">
        <f>ROUND((E14*F14/1000),0)</f>
        <v>255398</v>
      </c>
      <c r="I14" s="83">
        <f>ROUND(H14*19/100,0)</f>
        <v>48526</v>
      </c>
      <c r="J14" s="189">
        <f>H14+I14</f>
        <v>303924</v>
      </c>
    </row>
    <row r="15" spans="3:11" ht="24.95" customHeight="1" x14ac:dyDescent="0.25">
      <c r="C15" s="167">
        <v>1.2</v>
      </c>
      <c r="D15" s="190" t="s">
        <v>196</v>
      </c>
      <c r="E15" s="124"/>
      <c r="F15" s="125"/>
      <c r="G15" s="125"/>
      <c r="H15" s="127">
        <v>0</v>
      </c>
      <c r="I15" s="127">
        <v>0</v>
      </c>
      <c r="J15" s="191">
        <v>0</v>
      </c>
      <c r="K15" s="170"/>
    </row>
    <row r="16" spans="3:11" ht="24.95" customHeight="1" x14ac:dyDescent="0.25">
      <c r="C16" s="167"/>
      <c r="D16" s="192" t="s">
        <v>197</v>
      </c>
      <c r="E16" s="84">
        <f>E13+E14</f>
        <v>45280978812.375977</v>
      </c>
      <c r="F16" s="351"/>
      <c r="G16" s="351"/>
      <c r="H16" s="85">
        <f>SUM(H13:H15)</f>
        <v>15712165</v>
      </c>
      <c r="I16" s="85">
        <f>SUM(I13:I15)</f>
        <v>2985312</v>
      </c>
      <c r="J16" s="193">
        <f>SUM(J13:J15)</f>
        <v>18697477</v>
      </c>
    </row>
    <row r="17" spans="3:11" ht="24.95" customHeight="1" x14ac:dyDescent="0.25">
      <c r="C17" s="169">
        <v>2</v>
      </c>
      <c r="D17" s="194" t="s">
        <v>56</v>
      </c>
      <c r="E17" s="86">
        <v>700000001</v>
      </c>
      <c r="F17" s="241">
        <f>TASASPROMEDIO!F11</f>
        <v>4.0198</v>
      </c>
      <c r="G17" s="87" t="s">
        <v>3</v>
      </c>
      <c r="H17" s="88">
        <f>ROUND((E17*F17/100)/365*E11,0)</f>
        <v>6321549</v>
      </c>
      <c r="I17" s="88">
        <f>ROUND(H17*19/100,0)</f>
        <v>1201094</v>
      </c>
      <c r="J17" s="195">
        <f t="shared" ref="J17:J22" si="0">H17+I17</f>
        <v>7522643</v>
      </c>
    </row>
    <row r="18" spans="3:11" ht="24.95" customHeight="1" x14ac:dyDescent="0.25">
      <c r="C18" s="169">
        <v>3</v>
      </c>
      <c r="D18" s="194" t="s">
        <v>198</v>
      </c>
      <c r="E18" s="86">
        <v>5000000001</v>
      </c>
      <c r="F18" s="241">
        <f>TASASPROMEDIO!F16</f>
        <v>0.19800000000000001</v>
      </c>
      <c r="G18" s="87" t="s">
        <v>3</v>
      </c>
      <c r="H18" s="88">
        <f>ROUND((E18*F18/100)/365*E11,0)</f>
        <v>2224110</v>
      </c>
      <c r="I18" s="88">
        <f>ROUND(H18*19/100,0)</f>
        <v>422581</v>
      </c>
      <c r="J18" s="195">
        <f t="shared" si="0"/>
        <v>2646691</v>
      </c>
    </row>
    <row r="19" spans="3:11" ht="24.95" customHeight="1" x14ac:dyDescent="0.25">
      <c r="C19" s="169">
        <v>4</v>
      </c>
      <c r="D19" s="194" t="s">
        <v>231</v>
      </c>
      <c r="E19" s="86">
        <v>40000000</v>
      </c>
      <c r="F19" s="241">
        <f>TASASPROMEDIO!F21</f>
        <v>0.33600000000000002</v>
      </c>
      <c r="G19" s="87" t="s">
        <v>3</v>
      </c>
      <c r="H19" s="88">
        <f>ROUND((E19*F19/100)/365*E11,0)</f>
        <v>30194</v>
      </c>
      <c r="I19" s="88">
        <f>ROUND(H19*19/100,0)</f>
        <v>5737</v>
      </c>
      <c r="J19" s="195">
        <f t="shared" si="0"/>
        <v>35931</v>
      </c>
    </row>
    <row r="20" spans="3:11" ht="24.95" customHeight="1" x14ac:dyDescent="0.25">
      <c r="C20" s="169">
        <v>5</v>
      </c>
      <c r="D20" s="194" t="s">
        <v>230</v>
      </c>
      <c r="E20" s="86">
        <v>200000000</v>
      </c>
      <c r="F20" s="241">
        <f>TASASPROMEDIO!F26</f>
        <v>0.33250000000000002</v>
      </c>
      <c r="G20" s="87" t="s">
        <v>3</v>
      </c>
      <c r="H20" s="88">
        <f>ROUND((E20*F20/100)/365*E11,0)</f>
        <v>149397</v>
      </c>
      <c r="I20" s="88">
        <f>ROUND(H20*19/100,0)</f>
        <v>28385</v>
      </c>
      <c r="J20" s="195">
        <f t="shared" si="0"/>
        <v>177782</v>
      </c>
    </row>
    <row r="21" spans="3:11" ht="24.95" customHeight="1" x14ac:dyDescent="0.25">
      <c r="C21" s="167">
        <v>6</v>
      </c>
      <c r="D21" s="186" t="s">
        <v>200</v>
      </c>
      <c r="E21" s="80">
        <f>'R. BIENES EYM'!I29</f>
        <v>13504490731.21583</v>
      </c>
      <c r="F21" s="239">
        <f>TASASPROMEDIO!F30</f>
        <v>8.6710000000000012</v>
      </c>
      <c r="G21" s="81" t="s">
        <v>194</v>
      </c>
      <c r="H21" s="82">
        <f>(E21*F21/1000)/365*E11</f>
        <v>26306821.941617925</v>
      </c>
      <c r="I21" s="82">
        <f t="shared" ref="I21:I23" si="1">H21*19/100</f>
        <v>4998296.1689074058</v>
      </c>
      <c r="J21" s="196">
        <f t="shared" si="0"/>
        <v>31305118.110525332</v>
      </c>
    </row>
    <row r="22" spans="3:11" ht="15" customHeight="1" x14ac:dyDescent="0.25">
      <c r="C22" s="167">
        <v>6.1</v>
      </c>
      <c r="D22" s="188" t="s">
        <v>201</v>
      </c>
      <c r="E22" s="309">
        <f>'R. BIENES EYM'!J29</f>
        <v>303388559.53972602</v>
      </c>
      <c r="F22" s="240">
        <f>ROUND(F21/2,3)</f>
        <v>4.3360000000000003</v>
      </c>
      <c r="G22" s="81" t="s">
        <v>194</v>
      </c>
      <c r="H22" s="83">
        <f>ROUND((E22*F22/1000),0)</f>
        <v>1315493</v>
      </c>
      <c r="I22" s="83">
        <f>ROUND(H22*19/100,0)</f>
        <v>249944</v>
      </c>
      <c r="J22" s="189">
        <f t="shared" si="0"/>
        <v>1565437</v>
      </c>
    </row>
    <row r="23" spans="3:11" ht="24.95" customHeight="1" x14ac:dyDescent="0.25">
      <c r="C23" s="167">
        <v>6.3</v>
      </c>
      <c r="D23" s="197" t="s">
        <v>240</v>
      </c>
      <c r="E23" s="124">
        <v>0</v>
      </c>
      <c r="F23" s="125">
        <v>0</v>
      </c>
      <c r="G23" s="125"/>
      <c r="H23" s="126">
        <f>E23*F23/100</f>
        <v>0</v>
      </c>
      <c r="I23" s="126">
        <f t="shared" si="1"/>
        <v>0</v>
      </c>
      <c r="J23" s="191">
        <v>0</v>
      </c>
      <c r="K23" s="170"/>
    </row>
    <row r="24" spans="3:11" ht="24.95" customHeight="1" x14ac:dyDescent="0.25">
      <c r="C24" s="167"/>
      <c r="D24" s="192" t="s">
        <v>202</v>
      </c>
      <c r="E24" s="84">
        <f>E21+E22</f>
        <v>13807879290.755556</v>
      </c>
      <c r="F24" s="351"/>
      <c r="G24" s="351"/>
      <c r="H24" s="85">
        <f>H21+H22+H23</f>
        <v>27622314.941617925</v>
      </c>
      <c r="I24" s="85">
        <f>I21+I22+I23</f>
        <v>5248240.1689074058</v>
      </c>
      <c r="J24" s="85">
        <f>J21+J22+J23</f>
        <v>32870555.110525332</v>
      </c>
    </row>
    <row r="25" spans="3:11" ht="24.95" customHeight="1" x14ac:dyDescent="0.25">
      <c r="C25" s="167">
        <v>7.1</v>
      </c>
      <c r="D25" s="192" t="s">
        <v>330</v>
      </c>
      <c r="E25" s="84">
        <f>AUTOS!S18</f>
        <v>2035300000</v>
      </c>
      <c r="F25" s="241">
        <f>TASASPROMEDIO!F35</f>
        <v>3.5575999999999999</v>
      </c>
      <c r="G25" s="87" t="s">
        <v>3</v>
      </c>
      <c r="H25" s="88">
        <f>ROUND((E25*F25/100)/365*E11,0)</f>
        <v>16266965</v>
      </c>
      <c r="I25" s="88">
        <f>ROUND(H25*19/100,0)</f>
        <v>3090723</v>
      </c>
      <c r="J25" s="195">
        <f>H25+I25</f>
        <v>19357688</v>
      </c>
    </row>
    <row r="26" spans="3:11" ht="24.95" customHeight="1" x14ac:dyDescent="0.25">
      <c r="C26" s="167"/>
      <c r="D26" s="340" t="s">
        <v>203</v>
      </c>
      <c r="E26" s="341"/>
      <c r="F26" s="341"/>
      <c r="G26" s="341"/>
      <c r="H26" s="122">
        <f>H16+H17+H18+H19+H20+H24+H25</f>
        <v>68326694.941617921</v>
      </c>
      <c r="I26" s="122">
        <f>I16+I17+I18+I19+I20+I24+I25</f>
        <v>12982072.168907406</v>
      </c>
      <c r="J26" s="122">
        <f>J16+J17+J18+J19+J20+J24+J25</f>
        <v>81308767.11052534</v>
      </c>
    </row>
    <row r="27" spans="3:11" ht="6.75" customHeight="1" thickBot="1" x14ac:dyDescent="0.3">
      <c r="C27" s="167"/>
      <c r="D27" s="199"/>
      <c r="E27" s="89"/>
      <c r="F27" s="89"/>
      <c r="G27" s="89"/>
      <c r="H27" s="90"/>
      <c r="I27" s="90"/>
      <c r="J27" s="200"/>
    </row>
    <row r="28" spans="3:11" ht="16.5" customHeight="1" thickBot="1" x14ac:dyDescent="0.3">
      <c r="C28" s="169"/>
      <c r="D28" s="342" t="s">
        <v>204</v>
      </c>
      <c r="E28" s="343"/>
      <c r="F28" s="89"/>
      <c r="G28" s="89"/>
      <c r="H28" s="90"/>
      <c r="I28" s="90"/>
      <c r="J28" s="200"/>
    </row>
    <row r="29" spans="3:11" ht="24.95" customHeight="1" x14ac:dyDescent="0.25">
      <c r="C29" s="167"/>
      <c r="D29" s="201" t="s">
        <v>0</v>
      </c>
      <c r="E29" s="136" t="s">
        <v>1</v>
      </c>
      <c r="F29" s="136" t="s">
        <v>190</v>
      </c>
      <c r="G29" s="136" t="s">
        <v>191</v>
      </c>
      <c r="H29" s="137" t="s">
        <v>192</v>
      </c>
      <c r="I29" s="137" t="s">
        <v>2</v>
      </c>
      <c r="J29" s="185" t="s">
        <v>34</v>
      </c>
    </row>
    <row r="30" spans="3:11" ht="24.95" customHeight="1" x14ac:dyDescent="0.25">
      <c r="C30" s="167">
        <v>8</v>
      </c>
      <c r="D30" s="194" t="s">
        <v>205</v>
      </c>
      <c r="E30" s="135">
        <v>6600000001</v>
      </c>
      <c r="F30" s="241">
        <f>TASASPROMEDIO!F40</f>
        <v>2.8584800000000001</v>
      </c>
      <c r="G30" s="91" t="s">
        <v>3</v>
      </c>
      <c r="H30" s="88">
        <f>ROUND((E30*F30/100)/365*E11,0)</f>
        <v>42383819</v>
      </c>
      <c r="I30" s="88">
        <f>ROUND(H30*19/100,0)</f>
        <v>8052926</v>
      </c>
      <c r="J30" s="202">
        <f>H30+I30</f>
        <v>50436745</v>
      </c>
    </row>
    <row r="31" spans="3:11" ht="24.95" customHeight="1" x14ac:dyDescent="0.25">
      <c r="C31" s="167">
        <v>9</v>
      </c>
      <c r="D31" s="194" t="s">
        <v>4</v>
      </c>
      <c r="E31" s="135">
        <v>4000000000</v>
      </c>
      <c r="F31" s="241">
        <f>TASASPROMEDIO!F45</f>
        <v>1.6448</v>
      </c>
      <c r="G31" s="91" t="s">
        <v>3</v>
      </c>
      <c r="H31" s="88">
        <f>ROUND((E31*F31/100)/365*E11,0)</f>
        <v>14780668</v>
      </c>
      <c r="I31" s="88">
        <f>ROUND(H31*19/100,0)</f>
        <v>2808327</v>
      </c>
      <c r="J31" s="202">
        <f>H31+I31</f>
        <v>17588995</v>
      </c>
    </row>
    <row r="32" spans="3:11" ht="32.1" customHeight="1" x14ac:dyDescent="0.25">
      <c r="C32" s="167"/>
      <c r="D32" s="203" t="s">
        <v>214</v>
      </c>
      <c r="E32" s="86">
        <v>6000000000</v>
      </c>
      <c r="F32" s="241">
        <f>TASASPROMEDIO!E50</f>
        <v>3.4998999999999998</v>
      </c>
      <c r="G32" s="91" t="s">
        <v>3</v>
      </c>
      <c r="H32" s="88">
        <f>ROUND((E32*F32/100)/365*E11,0)</f>
        <v>47176734</v>
      </c>
      <c r="I32" s="88">
        <f>ROUND(H32*19/100,0)</f>
        <v>8963579</v>
      </c>
      <c r="J32" s="202">
        <f>H32+I32</f>
        <v>56140313</v>
      </c>
    </row>
    <row r="33" spans="3:10" ht="24.95" customHeight="1" x14ac:dyDescent="0.25">
      <c r="C33" s="169"/>
      <c r="D33" s="344" t="s">
        <v>206</v>
      </c>
      <c r="E33" s="345"/>
      <c r="F33" s="345"/>
      <c r="G33" s="346"/>
      <c r="H33" s="123">
        <f>SUM(H30:H32)</f>
        <v>104341221</v>
      </c>
      <c r="I33" s="123">
        <f>SUM(I30:I32)</f>
        <v>19824832</v>
      </c>
      <c r="J33" s="204">
        <f>SUM(J30:J32)</f>
        <v>124166053</v>
      </c>
    </row>
    <row r="34" spans="3:10" ht="10.5" customHeight="1" thickBot="1" x14ac:dyDescent="0.3">
      <c r="C34" s="169"/>
      <c r="D34" s="199"/>
      <c r="E34" s="89"/>
      <c r="F34" s="89"/>
      <c r="G34" s="89"/>
      <c r="H34" s="90"/>
      <c r="I34" s="90"/>
      <c r="J34" s="200"/>
    </row>
    <row r="35" spans="3:10" ht="24.95" customHeight="1" thickBot="1" x14ac:dyDescent="0.3">
      <c r="C35" s="169"/>
      <c r="D35" s="342" t="s">
        <v>207</v>
      </c>
      <c r="E35" s="343"/>
      <c r="F35" s="89"/>
      <c r="G35" s="89"/>
      <c r="H35" s="90"/>
      <c r="I35" s="90"/>
      <c r="J35" s="200"/>
    </row>
    <row r="36" spans="3:10" ht="24.95" customHeight="1" x14ac:dyDescent="0.25">
      <c r="C36" s="167"/>
      <c r="D36" s="201" t="s">
        <v>0</v>
      </c>
      <c r="E36" s="136" t="s">
        <v>1</v>
      </c>
      <c r="F36" s="136" t="s">
        <v>190</v>
      </c>
      <c r="G36" s="136" t="s">
        <v>191</v>
      </c>
      <c r="H36" s="137" t="s">
        <v>192</v>
      </c>
      <c r="I36" s="137" t="s">
        <v>2</v>
      </c>
      <c r="J36" s="205" t="s">
        <v>34</v>
      </c>
    </row>
    <row r="37" spans="3:10" ht="24.95" customHeight="1" x14ac:dyDescent="0.25">
      <c r="C37" s="352">
        <v>10</v>
      </c>
      <c r="D37" s="186" t="s">
        <v>209</v>
      </c>
      <c r="E37" s="300">
        <f>'R. BIENES TRIAN.T TROCV'!D26</f>
        <v>344713687901.95624</v>
      </c>
      <c r="F37" s="239">
        <f>TASASPROMEDIO!I52</f>
        <v>5.28</v>
      </c>
      <c r="G37" s="81" t="s">
        <v>194</v>
      </c>
      <c r="H37" s="82">
        <f>ROUND((E37*F37/1000)/365*E11,0)</f>
        <v>408896543</v>
      </c>
      <c r="I37" s="82">
        <f>ROUND(H37*19/100,0)</f>
        <v>77690343</v>
      </c>
      <c r="J37" s="196">
        <f>H37+I37</f>
        <v>486586886</v>
      </c>
    </row>
    <row r="38" spans="3:10" ht="24.95" customHeight="1" x14ac:dyDescent="0.25">
      <c r="C38" s="352"/>
      <c r="D38" s="207" t="s">
        <v>195</v>
      </c>
      <c r="E38" s="310">
        <f>'R. BIENES TRIAN.T TROCV'!E30</f>
        <v>3872126357.2548513</v>
      </c>
      <c r="F38" s="242">
        <f>ROUND(F37/2,3)</f>
        <v>2.64</v>
      </c>
      <c r="G38" s="92" t="s">
        <v>194</v>
      </c>
      <c r="H38" s="93">
        <f>ROUND((E38*F38/1000),0)</f>
        <v>10222414</v>
      </c>
      <c r="I38" s="93">
        <f>ROUND(H38*19/100,0)</f>
        <v>1942259</v>
      </c>
      <c r="J38" s="208">
        <f>H38+I38</f>
        <v>12164673</v>
      </c>
    </row>
    <row r="39" spans="3:10" ht="39" customHeight="1" x14ac:dyDescent="0.25">
      <c r="C39" s="352"/>
      <c r="D39" s="209" t="s">
        <v>242</v>
      </c>
      <c r="E39" s="94">
        <f>'R. BIENES TRIAN.T TROCV'!D27</f>
        <v>34326892117.647533</v>
      </c>
      <c r="F39" s="242">
        <f>TASASPROMEDIO!I52</f>
        <v>5.28</v>
      </c>
      <c r="G39" s="92" t="s">
        <v>194</v>
      </c>
      <c r="H39" s="93">
        <f>ROUND((E39*F39/1000)/365*E11,0)</f>
        <v>40718277</v>
      </c>
      <c r="I39" s="93">
        <f>ROUND(H39*19/100,0)</f>
        <v>7736473</v>
      </c>
      <c r="J39" s="208">
        <f>H39+I39</f>
        <v>48454750</v>
      </c>
    </row>
    <row r="40" spans="3:10" ht="36.75" customHeight="1" x14ac:dyDescent="0.25">
      <c r="C40" s="352"/>
      <c r="D40" s="209" t="s">
        <v>241</v>
      </c>
      <c r="E40" s="94">
        <f>'R. BIENES TRIAN.T TROCV'!D28</f>
        <v>17163446058.823767</v>
      </c>
      <c r="F40" s="242">
        <f>TASASPROMEDIO!I52</f>
        <v>5.28</v>
      </c>
      <c r="G40" s="92" t="s">
        <v>194</v>
      </c>
      <c r="H40" s="93">
        <f>ROUND((E40*F40/1000)/365*E11,0)</f>
        <v>20359139</v>
      </c>
      <c r="I40" s="93">
        <f>ROUND(H40*19/100,0)</f>
        <v>3868236</v>
      </c>
      <c r="J40" s="208">
        <f>H40+I40</f>
        <v>24227375</v>
      </c>
    </row>
    <row r="41" spans="3:10" ht="24.95" customHeight="1" x14ac:dyDescent="0.25">
      <c r="C41" s="352"/>
      <c r="D41" s="209" t="s">
        <v>210</v>
      </c>
      <c r="E41" s="94">
        <v>0</v>
      </c>
      <c r="F41" s="95"/>
      <c r="G41" s="92"/>
      <c r="H41" s="93">
        <v>0</v>
      </c>
      <c r="I41" s="93">
        <v>0</v>
      </c>
      <c r="J41" s="210">
        <v>0</v>
      </c>
    </row>
    <row r="42" spans="3:10" ht="24.95" customHeight="1" x14ac:dyDescent="0.25">
      <c r="C42" s="352"/>
      <c r="D42" s="192" t="s">
        <v>211</v>
      </c>
      <c r="E42" s="84">
        <f>SUM(E37:E41)</f>
        <v>400076152435.68237</v>
      </c>
      <c r="F42" s="351"/>
      <c r="G42" s="351"/>
      <c r="H42" s="84">
        <f>SUM(H37:H41)</f>
        <v>480196373</v>
      </c>
      <c r="I42" s="84">
        <f>SUM(I37:I41)</f>
        <v>91237311</v>
      </c>
      <c r="J42" s="211">
        <f>SUM(J37:J41)</f>
        <v>571433684</v>
      </c>
    </row>
    <row r="43" spans="3:10" ht="24.95" customHeight="1" x14ac:dyDescent="0.25">
      <c r="C43" s="352">
        <v>11</v>
      </c>
      <c r="D43" s="186" t="s">
        <v>212</v>
      </c>
      <c r="E43" s="300">
        <v>19835926</v>
      </c>
      <c r="F43" s="239">
        <f>TASASPROMEDIO!F54</f>
        <v>7.0317600000000002</v>
      </c>
      <c r="G43" s="81" t="s">
        <v>3</v>
      </c>
      <c r="H43" s="82">
        <f>ROUND((E43*F43/100)/365*E11,0)</f>
        <v>313356</v>
      </c>
      <c r="I43" s="82">
        <f>ROUND(H43*19/100,0)</f>
        <v>59538</v>
      </c>
      <c r="J43" s="196">
        <f>H43+I43</f>
        <v>372894</v>
      </c>
    </row>
    <row r="44" spans="3:10" ht="24.95" customHeight="1" x14ac:dyDescent="0.25">
      <c r="C44" s="352"/>
      <c r="D44" s="207" t="s">
        <v>213</v>
      </c>
      <c r="E44" s="308">
        <f>'R. BIENES CASCO'!E13</f>
        <v>222814.51319759674</v>
      </c>
      <c r="F44" s="242">
        <f>ROUND(F43/2,3)</f>
        <v>3.516</v>
      </c>
      <c r="G44" s="92" t="s">
        <v>3</v>
      </c>
      <c r="H44" s="93">
        <f>ROUND((E44*F44/100),0)</f>
        <v>7834</v>
      </c>
      <c r="I44" s="93">
        <f>ROUND(H44*19/100,0)</f>
        <v>1488</v>
      </c>
      <c r="J44" s="208">
        <f>H44+I44</f>
        <v>9322</v>
      </c>
    </row>
    <row r="45" spans="3:10" ht="24.95" customHeight="1" x14ac:dyDescent="0.25">
      <c r="C45" s="352"/>
      <c r="D45" s="192" t="s">
        <v>57</v>
      </c>
      <c r="E45" s="84">
        <f>SUM(E43:E44)</f>
        <v>20058740.513197597</v>
      </c>
      <c r="F45" s="351"/>
      <c r="G45" s="351"/>
      <c r="H45" s="84">
        <f>SUM(H43:H44)</f>
        <v>321190</v>
      </c>
      <c r="I45" s="84">
        <f>SUM(I43:I44)</f>
        <v>61026</v>
      </c>
      <c r="J45" s="195">
        <f>SUM(J43:J44)</f>
        <v>382216</v>
      </c>
    </row>
    <row r="46" spans="3:10" ht="34.5" customHeight="1" thickBot="1" x14ac:dyDescent="0.3">
      <c r="C46" s="167"/>
      <c r="D46" s="344" t="s">
        <v>270</v>
      </c>
      <c r="E46" s="345"/>
      <c r="F46" s="345"/>
      <c r="G46" s="346"/>
      <c r="H46" s="122">
        <f>H42+H45</f>
        <v>480517563</v>
      </c>
      <c r="I46" s="122">
        <f>I42+I45</f>
        <v>91298337</v>
      </c>
      <c r="J46" s="198">
        <f>J42+J45</f>
        <v>571815900</v>
      </c>
    </row>
    <row r="47" spans="3:10" ht="23.25" customHeight="1" thickBot="1" x14ac:dyDescent="0.3">
      <c r="C47" s="167"/>
      <c r="D47" s="342" t="s">
        <v>269</v>
      </c>
      <c r="E47" s="343"/>
      <c r="F47" s="89"/>
      <c r="G47" s="89"/>
      <c r="H47" s="90"/>
      <c r="I47" s="90"/>
      <c r="J47" s="200"/>
    </row>
    <row r="48" spans="3:10" ht="34.5" customHeight="1" x14ac:dyDescent="0.25">
      <c r="C48" s="167"/>
      <c r="D48" s="201" t="s">
        <v>0</v>
      </c>
      <c r="E48" s="136" t="s">
        <v>1</v>
      </c>
      <c r="F48" s="136" t="s">
        <v>190</v>
      </c>
      <c r="G48" s="136" t="s">
        <v>191</v>
      </c>
      <c r="H48" s="137" t="s">
        <v>192</v>
      </c>
      <c r="I48" s="137" t="s">
        <v>2</v>
      </c>
      <c r="J48" s="205" t="s">
        <v>34</v>
      </c>
    </row>
    <row r="49" spans="3:12" ht="34.5" customHeight="1" x14ac:dyDescent="0.25">
      <c r="C49" s="167"/>
      <c r="D49" s="206" t="s">
        <v>271</v>
      </c>
      <c r="E49" s="145" t="s">
        <v>265</v>
      </c>
      <c r="F49" s="138" t="s">
        <v>265</v>
      </c>
      <c r="G49" s="139" t="s">
        <v>3</v>
      </c>
      <c r="H49" s="140">
        <f>'SOAT ESTUD MERCADO'!W16</f>
        <v>10108300</v>
      </c>
      <c r="I49" s="84">
        <f>SUM(I47:I48)</f>
        <v>0</v>
      </c>
      <c r="J49" s="195">
        <f>H49</f>
        <v>10108300</v>
      </c>
    </row>
    <row r="50" spans="3:12" ht="24.95" customHeight="1" x14ac:dyDescent="0.25">
      <c r="C50" s="169"/>
      <c r="D50" s="344" t="s">
        <v>268</v>
      </c>
      <c r="E50" s="345"/>
      <c r="F50" s="345"/>
      <c r="G50" s="346"/>
      <c r="H50" s="122">
        <f>H49</f>
        <v>10108300</v>
      </c>
      <c r="I50" s="84">
        <f>SUM(I48:I49)</f>
        <v>0</v>
      </c>
      <c r="J50" s="122">
        <f>J49</f>
        <v>10108300</v>
      </c>
    </row>
    <row r="51" spans="3:12" ht="18.75" customHeight="1" x14ac:dyDescent="0.25">
      <c r="C51" s="169"/>
      <c r="D51" s="212"/>
      <c r="E51" s="96"/>
      <c r="F51" s="97"/>
      <c r="G51" s="97"/>
      <c r="H51" s="98"/>
      <c r="I51" s="98"/>
      <c r="J51" s="213"/>
    </row>
    <row r="52" spans="3:12" ht="24.75" hidden="1" customHeight="1" x14ac:dyDescent="0.25">
      <c r="C52" s="167"/>
      <c r="D52" s="214"/>
      <c r="E52" s="215"/>
      <c r="F52" s="215"/>
      <c r="G52" s="215"/>
      <c r="H52" s="99"/>
      <c r="I52" s="99"/>
      <c r="J52" s="216"/>
    </row>
    <row r="53" spans="3:12" ht="24.95" customHeight="1" x14ac:dyDescent="0.25">
      <c r="C53" s="167"/>
      <c r="D53" s="353" t="s">
        <v>317</v>
      </c>
      <c r="E53" s="354"/>
      <c r="F53" s="354"/>
      <c r="G53" s="354"/>
      <c r="H53" s="146">
        <f>H26+H33+H46+H50</f>
        <v>663293778.94161797</v>
      </c>
      <c r="I53" s="146">
        <f>I26+I33+I46+I50</f>
        <v>124105241.1689074</v>
      </c>
      <c r="J53" s="217">
        <f>J26+J33+J46+J50</f>
        <v>787399020.11052537</v>
      </c>
      <c r="L53" s="325"/>
    </row>
    <row r="54" spans="3:12" ht="15.75" customHeight="1" x14ac:dyDescent="0.2">
      <c r="D54" s="218" t="s">
        <v>336</v>
      </c>
      <c r="F54" s="32"/>
      <c r="G54" s="32"/>
      <c r="H54" s="32"/>
      <c r="I54" s="219"/>
      <c r="J54" s="220"/>
    </row>
    <row r="55" spans="3:12" ht="3.75" customHeight="1" thickBot="1" x14ac:dyDescent="0.25">
      <c r="D55" s="221"/>
      <c r="E55" s="222"/>
      <c r="F55" s="222"/>
      <c r="G55" s="222"/>
      <c r="H55" s="222"/>
      <c r="I55" s="223"/>
      <c r="J55" s="224"/>
    </row>
    <row r="56" spans="3:12" hidden="1" x14ac:dyDescent="0.2">
      <c r="H56" s="32"/>
      <c r="I56" s="148"/>
      <c r="J56" s="149"/>
    </row>
    <row r="57" spans="3:12" hidden="1" x14ac:dyDescent="0.25">
      <c r="I57" s="148"/>
      <c r="J57" s="149"/>
    </row>
    <row r="58" spans="3:12" ht="15.75" hidden="1" x14ac:dyDescent="0.25">
      <c r="I58" s="147"/>
      <c r="J58" s="150"/>
    </row>
    <row r="59" spans="3:12" hidden="1" x14ac:dyDescent="0.25"/>
    <row r="60" spans="3:12" ht="15.75" customHeight="1" x14ac:dyDescent="0.25"/>
  </sheetData>
  <mergeCells count="22">
    <mergeCell ref="C43:C45"/>
    <mergeCell ref="F45:G45"/>
    <mergeCell ref="D50:G50"/>
    <mergeCell ref="D53:G53"/>
    <mergeCell ref="D35:E35"/>
    <mergeCell ref="C37:C42"/>
    <mergeCell ref="F42:G42"/>
    <mergeCell ref="D47:E47"/>
    <mergeCell ref="D46:G46"/>
    <mergeCell ref="D26:G26"/>
    <mergeCell ref="D28:E28"/>
    <mergeCell ref="D33:G33"/>
    <mergeCell ref="F10:J10"/>
    <mergeCell ref="G13:G14"/>
    <mergeCell ref="F16:G16"/>
    <mergeCell ref="F24:G24"/>
    <mergeCell ref="F9:J9"/>
    <mergeCell ref="D2:J2"/>
    <mergeCell ref="D4:J4"/>
    <mergeCell ref="D5:J5"/>
    <mergeCell ref="D7:J7"/>
    <mergeCell ref="D8:E8"/>
  </mergeCells>
  <printOptions horizontalCentered="1" verticalCentered="1"/>
  <pageMargins left="0.11811023622047245" right="0.11811023622047245" top="0.15748031496062992" bottom="0.15748031496062992" header="0.31496062992125984" footer="0.31496062992125984"/>
  <pageSetup scale="59" orientation="portrait" r:id="rId1"/>
  <rowBreaks count="1" manualBreakCount="1">
    <brk id="34" min="1" max="10"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84A21-E8AC-47C2-ADFE-9E55707161D9}">
  <sheetPr>
    <tabColor rgb="FFFFFF00"/>
  </sheetPr>
  <dimension ref="B1:I62"/>
  <sheetViews>
    <sheetView showGridLines="0" view="pageBreakPreview" topLeftCell="C52" zoomScaleNormal="80" zoomScaleSheetLayoutView="100" workbookViewId="0">
      <selection activeCell="H6" sqref="H6:H10"/>
    </sheetView>
  </sheetViews>
  <sheetFormatPr baseColWidth="10" defaultColWidth="11.42578125" defaultRowHeight="12.75" x14ac:dyDescent="0.2"/>
  <cols>
    <col min="1" max="1" width="4.28515625" style="32" customWidth="1"/>
    <col min="2" max="2" width="63.28515625" style="32" customWidth="1"/>
    <col min="3" max="3" width="62.85546875" style="32" customWidth="1"/>
    <col min="4" max="4" width="20.7109375" style="32" customWidth="1"/>
    <col min="5" max="5" width="11.42578125" style="32"/>
    <col min="6" max="6" width="12.42578125" style="32" customWidth="1"/>
    <col min="7" max="7" width="11.42578125" style="32"/>
    <col min="8" max="8" width="18.28515625" style="32" customWidth="1"/>
    <col min="9" max="9" width="15.7109375" style="32" customWidth="1"/>
    <col min="10" max="16384" width="11.42578125" style="32"/>
  </cols>
  <sheetData>
    <row r="1" spans="2:9" ht="29.25" customHeight="1" x14ac:dyDescent="0.2">
      <c r="B1" s="373" t="s">
        <v>58</v>
      </c>
      <c r="C1" s="373"/>
      <c r="D1" s="373"/>
      <c r="E1" s="373"/>
      <c r="F1" s="373"/>
      <c r="G1" s="373"/>
      <c r="H1" s="373"/>
      <c r="I1" s="373"/>
    </row>
    <row r="2" spans="2:9" ht="97.15" customHeight="1" x14ac:dyDescent="0.2">
      <c r="B2" s="374"/>
      <c r="C2" s="375"/>
      <c r="D2" s="375"/>
      <c r="E2" s="375"/>
      <c r="F2" s="375"/>
      <c r="G2" s="375"/>
      <c r="H2" s="375"/>
      <c r="I2" s="376"/>
    </row>
    <row r="3" spans="2:9" ht="33" customHeight="1" x14ac:dyDescent="0.2">
      <c r="B3" s="377" t="s">
        <v>290</v>
      </c>
      <c r="C3" s="377"/>
      <c r="D3" s="377"/>
      <c r="E3" s="377"/>
      <c r="F3" s="377"/>
      <c r="G3" s="377"/>
      <c r="H3" s="377"/>
      <c r="I3" s="377"/>
    </row>
    <row r="4" spans="2:9" x14ac:dyDescent="0.2">
      <c r="B4" s="378" t="s">
        <v>215</v>
      </c>
      <c r="C4" s="379" t="s">
        <v>216</v>
      </c>
      <c r="D4" s="381" t="s">
        <v>0</v>
      </c>
      <c r="E4" s="382" t="s">
        <v>217</v>
      </c>
      <c r="F4" s="381" t="s">
        <v>218</v>
      </c>
      <c r="G4" s="381"/>
      <c r="H4" s="383" t="s">
        <v>335</v>
      </c>
      <c r="I4" s="383" t="s">
        <v>334</v>
      </c>
    </row>
    <row r="5" spans="2:9" ht="51" customHeight="1" x14ac:dyDescent="0.2">
      <c r="B5" s="378"/>
      <c r="C5" s="380"/>
      <c r="D5" s="381"/>
      <c r="E5" s="382"/>
      <c r="F5" s="128" t="s">
        <v>333</v>
      </c>
      <c r="G5" s="134" t="s">
        <v>219</v>
      </c>
      <c r="H5" s="383"/>
      <c r="I5" s="383"/>
    </row>
    <row r="6" spans="2:9" ht="30" customHeight="1" x14ac:dyDescent="0.2">
      <c r="B6" s="129" t="s">
        <v>58</v>
      </c>
      <c r="C6" s="132" t="s">
        <v>341</v>
      </c>
      <c r="D6" s="370" t="s">
        <v>193</v>
      </c>
      <c r="E6" s="236">
        <v>1.29</v>
      </c>
      <c r="F6" s="384">
        <f>AVERAGE(E6:E10)</f>
        <v>1.2755999999999998</v>
      </c>
      <c r="G6" s="370" t="s">
        <v>194</v>
      </c>
      <c r="H6" s="385">
        <v>0.2</v>
      </c>
      <c r="I6" s="386">
        <f>F6*1.2</f>
        <v>1.5307199999999999</v>
      </c>
    </row>
    <row r="7" spans="2:9" ht="30" customHeight="1" x14ac:dyDescent="0.2">
      <c r="B7" s="243" t="s">
        <v>227</v>
      </c>
      <c r="C7" s="243" t="s">
        <v>302</v>
      </c>
      <c r="D7" s="370"/>
      <c r="E7" s="245">
        <v>0.98</v>
      </c>
      <c r="F7" s="384"/>
      <c r="G7" s="370"/>
      <c r="H7" s="385"/>
      <c r="I7" s="387"/>
    </row>
    <row r="8" spans="2:9" ht="30" customHeight="1" x14ac:dyDescent="0.2">
      <c r="B8" s="298" t="s">
        <v>322</v>
      </c>
      <c r="C8" s="298" t="s">
        <v>323</v>
      </c>
      <c r="D8" s="370"/>
      <c r="E8" s="245">
        <v>1.24</v>
      </c>
      <c r="F8" s="384"/>
      <c r="G8" s="370"/>
      <c r="H8" s="385"/>
      <c r="I8" s="387"/>
    </row>
    <row r="9" spans="2:9" ht="30" customHeight="1" x14ac:dyDescent="0.2">
      <c r="B9" s="298" t="s">
        <v>308</v>
      </c>
      <c r="C9" s="298" t="s">
        <v>309</v>
      </c>
      <c r="D9" s="370"/>
      <c r="E9" s="245">
        <v>1.6</v>
      </c>
      <c r="F9" s="384"/>
      <c r="G9" s="370"/>
      <c r="H9" s="385"/>
      <c r="I9" s="387"/>
    </row>
    <row r="10" spans="2:9" ht="30" customHeight="1" x14ac:dyDescent="0.2">
      <c r="B10" s="243" t="s">
        <v>298</v>
      </c>
      <c r="C10" s="243" t="s">
        <v>299</v>
      </c>
      <c r="D10" s="370"/>
      <c r="E10" s="245">
        <v>1.268</v>
      </c>
      <c r="F10" s="384"/>
      <c r="G10" s="370"/>
      <c r="H10" s="385"/>
      <c r="I10" s="387"/>
    </row>
    <row r="11" spans="2:9" ht="30" customHeight="1" x14ac:dyDescent="0.2">
      <c r="B11" s="132" t="s">
        <v>58</v>
      </c>
      <c r="C11" s="132" t="s">
        <v>341</v>
      </c>
      <c r="D11" s="370" t="s">
        <v>220</v>
      </c>
      <c r="E11" s="236">
        <v>4</v>
      </c>
      <c r="F11" s="369">
        <f>AVERAGE(E11:E15)</f>
        <v>4.0198</v>
      </c>
      <c r="G11" s="370" t="s">
        <v>3</v>
      </c>
      <c r="H11" s="370" t="s">
        <v>208</v>
      </c>
      <c r="I11" s="370" t="s">
        <v>208</v>
      </c>
    </row>
    <row r="12" spans="2:9" ht="30" customHeight="1" x14ac:dyDescent="0.2">
      <c r="B12" s="243" t="s">
        <v>298</v>
      </c>
      <c r="C12" s="243" t="s">
        <v>299</v>
      </c>
      <c r="D12" s="370"/>
      <c r="E12" s="245">
        <v>4.3739999999999997</v>
      </c>
      <c r="F12" s="369"/>
      <c r="G12" s="370"/>
      <c r="H12" s="370"/>
      <c r="I12" s="370"/>
    </row>
    <row r="13" spans="2:9" ht="30" customHeight="1" x14ac:dyDescent="0.2">
      <c r="B13" s="244" t="s">
        <v>303</v>
      </c>
      <c r="C13" s="243" t="s">
        <v>304</v>
      </c>
      <c r="D13" s="370"/>
      <c r="E13" s="245">
        <v>4.3</v>
      </c>
      <c r="F13" s="369"/>
      <c r="G13" s="370"/>
      <c r="H13" s="370"/>
      <c r="I13" s="370"/>
    </row>
    <row r="14" spans="2:9" ht="30" customHeight="1" x14ac:dyDescent="0.2">
      <c r="B14" s="243" t="s">
        <v>300</v>
      </c>
      <c r="C14" s="243" t="s">
        <v>301</v>
      </c>
      <c r="D14" s="370"/>
      <c r="E14" s="245">
        <v>4.3</v>
      </c>
      <c r="F14" s="369"/>
      <c r="G14" s="370"/>
      <c r="H14" s="370"/>
      <c r="I14" s="370"/>
    </row>
    <row r="15" spans="2:9" ht="30" customHeight="1" x14ac:dyDescent="0.2">
      <c r="B15" s="243" t="s">
        <v>305</v>
      </c>
      <c r="C15" s="244" t="s">
        <v>306</v>
      </c>
      <c r="D15" s="370"/>
      <c r="E15" s="245">
        <v>3.125</v>
      </c>
      <c r="F15" s="369"/>
      <c r="G15" s="370"/>
      <c r="H15" s="370"/>
      <c r="I15" s="370"/>
    </row>
    <row r="16" spans="2:9" ht="30" customHeight="1" x14ac:dyDescent="0.2">
      <c r="B16" s="132" t="s">
        <v>58</v>
      </c>
      <c r="C16" s="132" t="s">
        <v>314</v>
      </c>
      <c r="D16" s="370" t="s">
        <v>221</v>
      </c>
      <c r="E16" s="236">
        <v>0.2</v>
      </c>
      <c r="F16" s="369">
        <f>AVERAGE(E16:E20)</f>
        <v>0.19800000000000001</v>
      </c>
      <c r="G16" s="370" t="s">
        <v>3</v>
      </c>
      <c r="H16" s="370" t="s">
        <v>208</v>
      </c>
      <c r="I16" s="370" t="s">
        <v>208</v>
      </c>
    </row>
    <row r="17" spans="2:9" ht="30" customHeight="1" x14ac:dyDescent="0.2">
      <c r="B17" s="298" t="s">
        <v>227</v>
      </c>
      <c r="C17" s="298" t="s">
        <v>302</v>
      </c>
      <c r="D17" s="370"/>
      <c r="E17" s="245">
        <v>0.19</v>
      </c>
      <c r="F17" s="369"/>
      <c r="G17" s="370"/>
      <c r="H17" s="370"/>
      <c r="I17" s="370"/>
    </row>
    <row r="18" spans="2:9" ht="30" customHeight="1" x14ac:dyDescent="0.2">
      <c r="B18" s="243" t="s">
        <v>308</v>
      </c>
      <c r="C18" s="243" t="s">
        <v>309</v>
      </c>
      <c r="D18" s="370"/>
      <c r="E18" s="245">
        <v>0.22</v>
      </c>
      <c r="F18" s="369"/>
      <c r="G18" s="370"/>
      <c r="H18" s="370"/>
      <c r="I18" s="370"/>
    </row>
    <row r="19" spans="2:9" ht="30" customHeight="1" x14ac:dyDescent="0.2">
      <c r="B19" s="298" t="s">
        <v>324</v>
      </c>
      <c r="C19" s="298" t="s">
        <v>325</v>
      </c>
      <c r="D19" s="370"/>
      <c r="E19" s="245">
        <v>0.19</v>
      </c>
      <c r="F19" s="369"/>
      <c r="G19" s="370"/>
      <c r="H19" s="370"/>
      <c r="I19" s="370"/>
    </row>
    <row r="20" spans="2:9" ht="30" customHeight="1" x14ac:dyDescent="0.2">
      <c r="B20" s="298" t="s">
        <v>305</v>
      </c>
      <c r="C20" s="298" t="s">
        <v>306</v>
      </c>
      <c r="D20" s="370"/>
      <c r="E20" s="245">
        <v>0.19</v>
      </c>
      <c r="F20" s="369"/>
      <c r="G20" s="370"/>
      <c r="H20" s="370"/>
      <c r="I20" s="370"/>
    </row>
    <row r="21" spans="2:9" ht="30" customHeight="1" x14ac:dyDescent="0.2">
      <c r="B21" s="132" t="s">
        <v>58</v>
      </c>
      <c r="C21" s="132" t="s">
        <v>314</v>
      </c>
      <c r="D21" s="370" t="s">
        <v>199</v>
      </c>
      <c r="E21" s="236">
        <v>0.37</v>
      </c>
      <c r="F21" s="384">
        <f>AVERAGE(E21:E25)</f>
        <v>0.33600000000000002</v>
      </c>
      <c r="G21" s="370" t="s">
        <v>3</v>
      </c>
      <c r="H21" s="370" t="s">
        <v>208</v>
      </c>
      <c r="I21" s="370" t="s">
        <v>208</v>
      </c>
    </row>
    <row r="22" spans="2:9" ht="30" customHeight="1" x14ac:dyDescent="0.2">
      <c r="B22" s="298" t="s">
        <v>298</v>
      </c>
      <c r="C22" s="298" t="s">
        <v>299</v>
      </c>
      <c r="D22" s="370"/>
      <c r="E22" s="245">
        <v>0.24</v>
      </c>
      <c r="F22" s="384"/>
      <c r="G22" s="370"/>
      <c r="H22" s="370"/>
      <c r="I22" s="370"/>
    </row>
    <row r="23" spans="2:9" ht="30" customHeight="1" x14ac:dyDescent="0.2">
      <c r="B23" s="298" t="s">
        <v>326</v>
      </c>
      <c r="C23" s="298" t="s">
        <v>327</v>
      </c>
      <c r="D23" s="370"/>
      <c r="E23" s="245">
        <v>0.2</v>
      </c>
      <c r="F23" s="384"/>
      <c r="G23" s="370"/>
      <c r="H23" s="370"/>
      <c r="I23" s="370"/>
    </row>
    <row r="24" spans="2:9" ht="30" customHeight="1" x14ac:dyDescent="0.2">
      <c r="B24" s="298" t="s">
        <v>313</v>
      </c>
      <c r="C24" s="298" t="s">
        <v>310</v>
      </c>
      <c r="D24" s="370"/>
      <c r="E24" s="245">
        <v>0.12</v>
      </c>
      <c r="F24" s="384"/>
      <c r="G24" s="370"/>
      <c r="H24" s="370"/>
      <c r="I24" s="370"/>
    </row>
    <row r="25" spans="2:9" ht="30" customHeight="1" x14ac:dyDescent="0.2">
      <c r="B25" s="298" t="s">
        <v>328</v>
      </c>
      <c r="C25" s="314" t="s">
        <v>329</v>
      </c>
      <c r="D25" s="370"/>
      <c r="E25" s="245">
        <v>0.75</v>
      </c>
      <c r="F25" s="384"/>
      <c r="G25" s="370"/>
      <c r="H25" s="370"/>
      <c r="I25" s="370"/>
    </row>
    <row r="26" spans="2:9" ht="30" customHeight="1" x14ac:dyDescent="0.2">
      <c r="B26" s="132" t="s">
        <v>58</v>
      </c>
      <c r="C26" s="132" t="s">
        <v>341</v>
      </c>
      <c r="D26" s="370" t="s">
        <v>222</v>
      </c>
      <c r="E26" s="236">
        <v>0.25</v>
      </c>
      <c r="F26" s="369">
        <f>AVERAGE(E26:E29)</f>
        <v>0.33250000000000002</v>
      </c>
      <c r="G26" s="370" t="s">
        <v>3</v>
      </c>
      <c r="H26" s="370" t="s">
        <v>208</v>
      </c>
      <c r="I26" s="370" t="s">
        <v>208</v>
      </c>
    </row>
    <row r="27" spans="2:9" ht="30" customHeight="1" x14ac:dyDescent="0.2">
      <c r="B27" s="298" t="s">
        <v>308</v>
      </c>
      <c r="C27" s="298" t="s">
        <v>309</v>
      </c>
      <c r="D27" s="370"/>
      <c r="E27" s="245">
        <v>0.5</v>
      </c>
      <c r="F27" s="369"/>
      <c r="G27" s="370"/>
      <c r="H27" s="370"/>
      <c r="I27" s="370"/>
    </row>
    <row r="28" spans="2:9" ht="30" customHeight="1" x14ac:dyDescent="0.2">
      <c r="B28" s="298" t="s">
        <v>224</v>
      </c>
      <c r="C28" s="298" t="s">
        <v>343</v>
      </c>
      <c r="D28" s="370"/>
      <c r="E28" s="245">
        <v>0.5</v>
      </c>
      <c r="F28" s="369"/>
      <c r="G28" s="370"/>
      <c r="H28" s="370"/>
      <c r="I28" s="370"/>
    </row>
    <row r="29" spans="2:9" ht="30" customHeight="1" x14ac:dyDescent="0.2">
      <c r="B29" s="311" t="s">
        <v>307</v>
      </c>
      <c r="C29" s="311" t="s">
        <v>344</v>
      </c>
      <c r="D29" s="370"/>
      <c r="E29" s="245">
        <v>0.08</v>
      </c>
      <c r="F29" s="369"/>
      <c r="G29" s="370"/>
      <c r="H29" s="370"/>
      <c r="I29" s="370"/>
    </row>
    <row r="30" spans="2:9" ht="30" customHeight="1" x14ac:dyDescent="0.2">
      <c r="B30" s="132" t="s">
        <v>58</v>
      </c>
      <c r="C30" s="132" t="s">
        <v>341</v>
      </c>
      <c r="D30" s="370" t="s">
        <v>223</v>
      </c>
      <c r="E30" s="236">
        <v>10.095000000000001</v>
      </c>
      <c r="F30" s="384">
        <f>AVERAGE(E30:E34)</f>
        <v>8.6710000000000012</v>
      </c>
      <c r="G30" s="365" t="s">
        <v>194</v>
      </c>
      <c r="H30" s="370" t="s">
        <v>208</v>
      </c>
      <c r="I30" s="370" t="s">
        <v>208</v>
      </c>
    </row>
    <row r="31" spans="2:9" ht="30" customHeight="1" x14ac:dyDescent="0.2">
      <c r="B31" s="298" t="s">
        <v>326</v>
      </c>
      <c r="C31" s="298" t="s">
        <v>327</v>
      </c>
      <c r="D31" s="370"/>
      <c r="E31" s="245">
        <v>12.1</v>
      </c>
      <c r="F31" s="384"/>
      <c r="G31" s="365"/>
      <c r="H31" s="370"/>
      <c r="I31" s="370"/>
    </row>
    <row r="32" spans="2:9" ht="30" customHeight="1" x14ac:dyDescent="0.2">
      <c r="B32" s="298" t="s">
        <v>322</v>
      </c>
      <c r="C32" s="298" t="s">
        <v>323</v>
      </c>
      <c r="D32" s="370"/>
      <c r="E32" s="245">
        <v>5.27</v>
      </c>
      <c r="F32" s="384"/>
      <c r="G32" s="365"/>
      <c r="H32" s="370"/>
      <c r="I32" s="370"/>
    </row>
    <row r="33" spans="2:9" ht="30" customHeight="1" x14ac:dyDescent="0.2">
      <c r="B33" s="298" t="s">
        <v>224</v>
      </c>
      <c r="C33" s="298" t="s">
        <v>343</v>
      </c>
      <c r="D33" s="370"/>
      <c r="E33" s="245">
        <v>8</v>
      </c>
      <c r="F33" s="384"/>
      <c r="G33" s="365"/>
      <c r="H33" s="370"/>
      <c r="I33" s="370"/>
    </row>
    <row r="34" spans="2:9" ht="30" customHeight="1" x14ac:dyDescent="0.2">
      <c r="B34" s="298" t="s">
        <v>349</v>
      </c>
      <c r="C34" s="298" t="s">
        <v>350</v>
      </c>
      <c r="D34" s="370"/>
      <c r="E34" s="245">
        <v>7.89</v>
      </c>
      <c r="F34" s="384"/>
      <c r="G34" s="365"/>
      <c r="H34" s="370"/>
      <c r="I34" s="370"/>
    </row>
    <row r="35" spans="2:9" ht="30" customHeight="1" x14ac:dyDescent="0.2">
      <c r="B35" s="132" t="s">
        <v>58</v>
      </c>
      <c r="C35" s="132" t="s">
        <v>341</v>
      </c>
      <c r="D35" s="370" t="s">
        <v>225</v>
      </c>
      <c r="E35" s="236">
        <v>3.6</v>
      </c>
      <c r="F35" s="384">
        <f>AVERAGE(E35:E39)</f>
        <v>3.5575999999999999</v>
      </c>
      <c r="G35" s="365" t="s">
        <v>3</v>
      </c>
      <c r="H35" s="370" t="s">
        <v>208</v>
      </c>
      <c r="I35" s="370" t="s">
        <v>208</v>
      </c>
    </row>
    <row r="36" spans="2:9" ht="30" customHeight="1" x14ac:dyDescent="0.2">
      <c r="B36" s="243" t="s">
        <v>298</v>
      </c>
      <c r="C36" s="243" t="s">
        <v>299</v>
      </c>
      <c r="D36" s="370"/>
      <c r="E36" s="245">
        <v>4.2679999999999998</v>
      </c>
      <c r="F36" s="384"/>
      <c r="G36" s="365"/>
      <c r="H36" s="370"/>
      <c r="I36" s="370"/>
    </row>
    <row r="37" spans="2:9" ht="30" customHeight="1" x14ac:dyDescent="0.2">
      <c r="B37" s="298" t="s">
        <v>303</v>
      </c>
      <c r="C37" s="298" t="s">
        <v>304</v>
      </c>
      <c r="D37" s="370"/>
      <c r="E37" s="245">
        <v>2.8</v>
      </c>
      <c r="F37" s="384"/>
      <c r="G37" s="365"/>
      <c r="H37" s="370"/>
      <c r="I37" s="370"/>
    </row>
    <row r="38" spans="2:9" ht="30" customHeight="1" x14ac:dyDescent="0.2">
      <c r="B38" s="243" t="s">
        <v>311</v>
      </c>
      <c r="C38" s="243" t="s">
        <v>312</v>
      </c>
      <c r="D38" s="370"/>
      <c r="E38" s="245">
        <v>3.67</v>
      </c>
      <c r="F38" s="384"/>
      <c r="G38" s="365"/>
      <c r="H38" s="370"/>
      <c r="I38" s="370"/>
    </row>
    <row r="39" spans="2:9" ht="30" customHeight="1" x14ac:dyDescent="0.2">
      <c r="B39" s="244" t="s">
        <v>227</v>
      </c>
      <c r="C39" s="243" t="s">
        <v>302</v>
      </c>
      <c r="D39" s="370"/>
      <c r="E39" s="245">
        <v>3.45</v>
      </c>
      <c r="F39" s="384"/>
      <c r="G39" s="365"/>
      <c r="H39" s="370"/>
      <c r="I39" s="370"/>
    </row>
    <row r="40" spans="2:9" ht="30" customHeight="1" x14ac:dyDescent="0.2">
      <c r="B40" s="132" t="s">
        <v>58</v>
      </c>
      <c r="C40" s="132" t="s">
        <v>341</v>
      </c>
      <c r="D40" s="370" t="s">
        <v>226</v>
      </c>
      <c r="E40" s="237">
        <v>2.6623999999999999</v>
      </c>
      <c r="F40" s="369">
        <f>AVERAGE(E40:E44)</f>
        <v>2.8584800000000001</v>
      </c>
      <c r="G40" s="388" t="s">
        <v>3</v>
      </c>
      <c r="H40" s="389" t="s">
        <v>208</v>
      </c>
      <c r="I40" s="370" t="s">
        <v>208</v>
      </c>
    </row>
    <row r="41" spans="2:9" ht="30" customHeight="1" x14ac:dyDescent="0.2">
      <c r="B41" s="243" t="s">
        <v>227</v>
      </c>
      <c r="C41" s="243" t="s">
        <v>302</v>
      </c>
      <c r="D41" s="370"/>
      <c r="E41" s="245">
        <v>2</v>
      </c>
      <c r="F41" s="369"/>
      <c r="G41" s="388"/>
      <c r="H41" s="389"/>
      <c r="I41" s="370"/>
    </row>
    <row r="42" spans="2:9" ht="30" customHeight="1" x14ac:dyDescent="0.2">
      <c r="B42" s="311" t="s">
        <v>307</v>
      </c>
      <c r="C42" s="311" t="s">
        <v>344</v>
      </c>
      <c r="D42" s="370"/>
      <c r="E42" s="245">
        <v>3.19</v>
      </c>
      <c r="F42" s="369"/>
      <c r="G42" s="388"/>
      <c r="H42" s="389"/>
      <c r="I42" s="370"/>
    </row>
    <row r="43" spans="2:9" ht="30" customHeight="1" x14ac:dyDescent="0.2">
      <c r="B43" s="311" t="s">
        <v>345</v>
      </c>
      <c r="C43" s="311" t="s">
        <v>346</v>
      </c>
      <c r="D43" s="370"/>
      <c r="E43" s="245">
        <v>2.21</v>
      </c>
      <c r="F43" s="369"/>
      <c r="G43" s="388"/>
      <c r="H43" s="389"/>
      <c r="I43" s="370"/>
    </row>
    <row r="44" spans="2:9" ht="30" customHeight="1" x14ac:dyDescent="0.2">
      <c r="B44" s="298" t="s">
        <v>300</v>
      </c>
      <c r="C44" s="298" t="s">
        <v>301</v>
      </c>
      <c r="D44" s="370"/>
      <c r="E44" s="245">
        <v>4.2300000000000004</v>
      </c>
      <c r="F44" s="369"/>
      <c r="G44" s="388"/>
      <c r="H44" s="389"/>
      <c r="I44" s="370"/>
    </row>
    <row r="45" spans="2:9" ht="30" customHeight="1" x14ac:dyDescent="0.2">
      <c r="B45" s="132" t="s">
        <v>58</v>
      </c>
      <c r="C45" s="132" t="s">
        <v>341</v>
      </c>
      <c r="D45" s="370" t="s">
        <v>4</v>
      </c>
      <c r="E45" s="236">
        <v>1.6240000000000001</v>
      </c>
      <c r="F45" s="369">
        <f>AVERAGE(E45:E49)</f>
        <v>1.6448</v>
      </c>
      <c r="G45" s="365" t="s">
        <v>3</v>
      </c>
      <c r="H45" s="370" t="s">
        <v>208</v>
      </c>
      <c r="I45" s="370" t="s">
        <v>208</v>
      </c>
    </row>
    <row r="46" spans="2:9" ht="30" customHeight="1" x14ac:dyDescent="0.2">
      <c r="B46" s="298" t="s">
        <v>303</v>
      </c>
      <c r="C46" s="298" t="s">
        <v>304</v>
      </c>
      <c r="D46" s="370"/>
      <c r="E46" s="245">
        <v>1.9</v>
      </c>
      <c r="F46" s="369"/>
      <c r="G46" s="365"/>
      <c r="H46" s="370"/>
      <c r="I46" s="370"/>
    </row>
    <row r="47" spans="2:9" ht="30" customHeight="1" x14ac:dyDescent="0.2">
      <c r="B47" s="244" t="s">
        <v>227</v>
      </c>
      <c r="C47" s="243" t="s">
        <v>302</v>
      </c>
      <c r="D47" s="370"/>
      <c r="E47" s="245">
        <v>1</v>
      </c>
      <c r="F47" s="369"/>
      <c r="G47" s="365"/>
      <c r="H47" s="370"/>
      <c r="I47" s="370"/>
    </row>
    <row r="48" spans="2:9" ht="30" customHeight="1" x14ac:dyDescent="0.2">
      <c r="B48" s="243" t="s">
        <v>315</v>
      </c>
      <c r="C48" s="243" t="s">
        <v>297</v>
      </c>
      <c r="D48" s="370"/>
      <c r="E48" s="245">
        <v>1.2</v>
      </c>
      <c r="F48" s="369"/>
      <c r="G48" s="365"/>
      <c r="H48" s="370"/>
      <c r="I48" s="370"/>
    </row>
    <row r="49" spans="2:9" ht="30" customHeight="1" x14ac:dyDescent="0.2">
      <c r="B49" s="243" t="s">
        <v>300</v>
      </c>
      <c r="C49" s="243" t="s">
        <v>301</v>
      </c>
      <c r="D49" s="370"/>
      <c r="E49" s="245">
        <v>2.5</v>
      </c>
      <c r="F49" s="369"/>
      <c r="G49" s="365"/>
      <c r="H49" s="370"/>
      <c r="I49" s="370"/>
    </row>
    <row r="50" spans="2:9" ht="34.5" customHeight="1" x14ac:dyDescent="0.2">
      <c r="B50" s="132" t="s">
        <v>58</v>
      </c>
      <c r="C50" s="132" t="s">
        <v>341</v>
      </c>
      <c r="D50" s="355" t="s">
        <v>228</v>
      </c>
      <c r="E50" s="359">
        <v>3.4998999999999998</v>
      </c>
      <c r="F50" s="361">
        <f>AVERAGE(E50:E50)</f>
        <v>3.4998999999999998</v>
      </c>
      <c r="G50" s="363" t="s">
        <v>3</v>
      </c>
      <c r="H50" s="355" t="s">
        <v>208</v>
      </c>
      <c r="I50" s="355" t="s">
        <v>208</v>
      </c>
    </row>
    <row r="51" spans="2:9" ht="45.75" customHeight="1" x14ac:dyDescent="0.2">
      <c r="B51" s="315" t="s">
        <v>342</v>
      </c>
      <c r="C51" s="130" t="s">
        <v>342</v>
      </c>
      <c r="D51" s="356"/>
      <c r="E51" s="360"/>
      <c r="F51" s="362"/>
      <c r="G51" s="356"/>
      <c r="H51" s="356"/>
      <c r="I51" s="356"/>
    </row>
    <row r="52" spans="2:9" ht="39" customHeight="1" x14ac:dyDescent="0.2">
      <c r="B52" s="132" t="s">
        <v>58</v>
      </c>
      <c r="C52" s="132" t="s">
        <v>341</v>
      </c>
      <c r="D52" s="357" t="s">
        <v>229</v>
      </c>
      <c r="E52" s="368">
        <v>4.8</v>
      </c>
      <c r="F52" s="369">
        <f>E52</f>
        <v>4.8</v>
      </c>
      <c r="G52" s="370" t="s">
        <v>194</v>
      </c>
      <c r="H52" s="371">
        <v>0.1</v>
      </c>
      <c r="I52" s="390">
        <f>F52*1.1</f>
        <v>5.28</v>
      </c>
    </row>
    <row r="53" spans="2:9" ht="46.5" customHeight="1" x14ac:dyDescent="0.2">
      <c r="B53" s="315" t="s">
        <v>342</v>
      </c>
      <c r="C53" s="130" t="s">
        <v>342</v>
      </c>
      <c r="D53" s="358"/>
      <c r="E53" s="368"/>
      <c r="F53" s="369"/>
      <c r="G53" s="370"/>
      <c r="H53" s="372"/>
      <c r="I53" s="391"/>
    </row>
    <row r="54" spans="2:9" ht="30" customHeight="1" x14ac:dyDescent="0.2">
      <c r="B54" s="132" t="s">
        <v>58</v>
      </c>
      <c r="C54" s="132" t="s">
        <v>341</v>
      </c>
      <c r="D54" s="357" t="s">
        <v>267</v>
      </c>
      <c r="E54" s="238">
        <v>15.6388</v>
      </c>
      <c r="F54" s="364">
        <f>AVERAGE(E54:E58)</f>
        <v>7.0317600000000002</v>
      </c>
      <c r="G54" s="365" t="s">
        <v>3</v>
      </c>
      <c r="H54" s="365" t="s">
        <v>3</v>
      </c>
      <c r="I54" s="355" t="s">
        <v>208</v>
      </c>
    </row>
    <row r="55" spans="2:9" ht="30" customHeight="1" x14ac:dyDescent="0.2">
      <c r="B55" s="312" t="s">
        <v>347</v>
      </c>
      <c r="C55" s="313" t="s">
        <v>348</v>
      </c>
      <c r="D55" s="358"/>
      <c r="E55" s="301">
        <v>4.12</v>
      </c>
      <c r="F55" s="364"/>
      <c r="G55" s="365"/>
      <c r="H55" s="365"/>
      <c r="I55" s="366"/>
    </row>
    <row r="56" spans="2:9" ht="30" customHeight="1" x14ac:dyDescent="0.2">
      <c r="B56" s="302" t="s">
        <v>295</v>
      </c>
      <c r="C56" s="302" t="s">
        <v>296</v>
      </c>
      <c r="D56" s="235"/>
      <c r="E56" s="245">
        <v>5.34</v>
      </c>
      <c r="F56" s="364"/>
      <c r="G56" s="365"/>
      <c r="H56" s="365"/>
      <c r="I56" s="367"/>
    </row>
    <row r="57" spans="2:9" ht="30" customHeight="1" x14ac:dyDescent="0.2">
      <c r="B57" s="302" t="s">
        <v>331</v>
      </c>
      <c r="C57" s="302" t="s">
        <v>332</v>
      </c>
      <c r="D57" s="235"/>
      <c r="E57" s="245">
        <v>4.5599999999999996</v>
      </c>
      <c r="F57" s="364"/>
      <c r="G57" s="365"/>
      <c r="H57" s="365"/>
      <c r="I57" s="367"/>
    </row>
    <row r="58" spans="2:9" ht="30" customHeight="1" x14ac:dyDescent="0.2">
      <c r="B58" s="298" t="s">
        <v>326</v>
      </c>
      <c r="C58" s="298" t="s">
        <v>327</v>
      </c>
      <c r="D58" s="235"/>
      <c r="E58" s="245">
        <v>5.5</v>
      </c>
      <c r="F58" s="364"/>
      <c r="G58" s="365"/>
      <c r="H58" s="365"/>
      <c r="I58" s="356"/>
    </row>
    <row r="59" spans="2:9" ht="30" customHeight="1" x14ac:dyDescent="0.2">
      <c r="B59" s="132" t="s">
        <v>58</v>
      </c>
      <c r="C59" s="132"/>
      <c r="D59" s="370" t="s">
        <v>266</v>
      </c>
      <c r="E59" s="133" t="s">
        <v>265</v>
      </c>
      <c r="F59" s="392" t="s">
        <v>208</v>
      </c>
      <c r="G59" s="370" t="s">
        <v>3</v>
      </c>
      <c r="H59" s="393" t="s">
        <v>208</v>
      </c>
      <c r="I59" s="393" t="s">
        <v>208</v>
      </c>
    </row>
    <row r="60" spans="2:9" ht="30" customHeight="1" x14ac:dyDescent="0.2">
      <c r="B60" s="131" t="s">
        <v>264</v>
      </c>
      <c r="C60" s="130" t="s">
        <v>208</v>
      </c>
      <c r="D60" s="370"/>
      <c r="E60" s="133" t="s">
        <v>265</v>
      </c>
      <c r="F60" s="392"/>
      <c r="G60" s="370"/>
      <c r="H60" s="393"/>
      <c r="I60" s="393"/>
    </row>
    <row r="61" spans="2:9" ht="3.6" customHeight="1" x14ac:dyDescent="0.2"/>
    <row r="62" spans="2:9" ht="29.25" customHeight="1" x14ac:dyDescent="0.2">
      <c r="B62" s="228" t="s">
        <v>336</v>
      </c>
      <c r="H62" s="103"/>
    </row>
  </sheetData>
  <mergeCells count="77">
    <mergeCell ref="I52:I53"/>
    <mergeCell ref="D59:D60"/>
    <mergeCell ref="F59:F60"/>
    <mergeCell ref="G59:G60"/>
    <mergeCell ref="H59:H60"/>
    <mergeCell ref="I59:I60"/>
    <mergeCell ref="I45:I49"/>
    <mergeCell ref="D35:D39"/>
    <mergeCell ref="F35:F39"/>
    <mergeCell ref="G35:G39"/>
    <mergeCell ref="H35:H39"/>
    <mergeCell ref="I35:I39"/>
    <mergeCell ref="D40:D44"/>
    <mergeCell ref="F40:F44"/>
    <mergeCell ref="G40:G44"/>
    <mergeCell ref="H40:H44"/>
    <mergeCell ref="I40:I44"/>
    <mergeCell ref="D45:D49"/>
    <mergeCell ref="F45:F49"/>
    <mergeCell ref="G45:G49"/>
    <mergeCell ref="H45:H49"/>
    <mergeCell ref="I26:I29"/>
    <mergeCell ref="D30:D34"/>
    <mergeCell ref="F30:F34"/>
    <mergeCell ref="G30:G34"/>
    <mergeCell ref="H30:H34"/>
    <mergeCell ref="I30:I34"/>
    <mergeCell ref="D26:D29"/>
    <mergeCell ref="F26:F29"/>
    <mergeCell ref="G26:G29"/>
    <mergeCell ref="H26:H29"/>
    <mergeCell ref="D21:D25"/>
    <mergeCell ref="F21:F25"/>
    <mergeCell ref="G21:G25"/>
    <mergeCell ref="H21:H25"/>
    <mergeCell ref="I21:I25"/>
    <mergeCell ref="D16:D20"/>
    <mergeCell ref="F16:F20"/>
    <mergeCell ref="G16:G20"/>
    <mergeCell ref="H16:H20"/>
    <mergeCell ref="I16:I20"/>
    <mergeCell ref="D11:D15"/>
    <mergeCell ref="F11:F15"/>
    <mergeCell ref="G11:G15"/>
    <mergeCell ref="H11:H15"/>
    <mergeCell ref="I11:I15"/>
    <mergeCell ref="D6:D10"/>
    <mergeCell ref="F6:F10"/>
    <mergeCell ref="G6:G10"/>
    <mergeCell ref="H6:H10"/>
    <mergeCell ref="I6:I10"/>
    <mergeCell ref="B1:I1"/>
    <mergeCell ref="B2:I2"/>
    <mergeCell ref="B3:I3"/>
    <mergeCell ref="B4:B5"/>
    <mergeCell ref="C4:C5"/>
    <mergeCell ref="D4:D5"/>
    <mergeCell ref="E4:E5"/>
    <mergeCell ref="F4:G4"/>
    <mergeCell ref="H4:H5"/>
    <mergeCell ref="I4:I5"/>
    <mergeCell ref="I50:I51"/>
    <mergeCell ref="D54:D55"/>
    <mergeCell ref="D50:D51"/>
    <mergeCell ref="E50:E51"/>
    <mergeCell ref="F50:F51"/>
    <mergeCell ref="G50:G51"/>
    <mergeCell ref="H50:H51"/>
    <mergeCell ref="F54:F58"/>
    <mergeCell ref="G54:G58"/>
    <mergeCell ref="H54:H58"/>
    <mergeCell ref="I54:I58"/>
    <mergeCell ref="D52:D53"/>
    <mergeCell ref="E52:E53"/>
    <mergeCell ref="F52:F53"/>
    <mergeCell ref="G52:G53"/>
    <mergeCell ref="H52:H53"/>
  </mergeCells>
  <printOptions horizontalCentered="1" verticalCentered="1"/>
  <pageMargins left="0.31496062992125984" right="0.31496062992125984" top="0.35433070866141736" bottom="0.35433070866141736" header="0.31496062992125984" footer="0.31496062992125984"/>
  <pageSetup scale="33" orientation="portrait" r:id="rId1"/>
  <ignoredErrors>
    <ignoredError sqref="F11 F16 F26 F50 F40" formulaRange="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E897C-6080-4A4D-A3AF-087F41B09B93}">
  <sheetPr>
    <tabColor theme="9"/>
  </sheetPr>
  <dimension ref="B2:G62"/>
  <sheetViews>
    <sheetView showGridLines="0" view="pageBreakPreview" topLeftCell="B10" zoomScaleNormal="70" zoomScaleSheetLayoutView="100" workbookViewId="0">
      <selection activeCell="C20" sqref="C20"/>
    </sheetView>
  </sheetViews>
  <sheetFormatPr baseColWidth="10" defaultColWidth="11.42578125" defaultRowHeight="12.75" x14ac:dyDescent="0.25"/>
  <cols>
    <col min="1" max="1" width="5.28515625" style="11" customWidth="1"/>
    <col min="2" max="2" width="95.7109375" style="11" bestFit="1" customWidth="1"/>
    <col min="3" max="3" width="31" style="11" bestFit="1" customWidth="1"/>
    <col min="4" max="4" width="2.5703125" style="11" customWidth="1"/>
    <col min="5" max="5" width="27" style="11" hidden="1" customWidth="1"/>
    <col min="6" max="6" width="19.7109375" style="11" customWidth="1"/>
    <col min="7" max="7" width="22.5703125" style="11" customWidth="1"/>
    <col min="8" max="16384" width="11.42578125" style="11"/>
  </cols>
  <sheetData>
    <row r="2" spans="2:7" ht="62.25" customHeight="1" x14ac:dyDescent="0.25"/>
    <row r="3" spans="2:7" ht="23.25" x14ac:dyDescent="0.25">
      <c r="B3" s="394" t="s">
        <v>58</v>
      </c>
      <c r="C3" s="394"/>
    </row>
    <row r="4" spans="2:7" x14ac:dyDescent="0.25">
      <c r="B4" s="395" t="s">
        <v>59</v>
      </c>
      <c r="C4" s="395"/>
    </row>
    <row r="5" spans="2:7" ht="15.95" customHeight="1" x14ac:dyDescent="0.25">
      <c r="B5" s="396" t="s">
        <v>60</v>
      </c>
      <c r="C5" s="396"/>
    </row>
    <row r="6" spans="2:7" x14ac:dyDescent="0.25">
      <c r="B6" s="397" t="s">
        <v>61</v>
      </c>
      <c r="C6" s="397"/>
    </row>
    <row r="7" spans="2:7" ht="38.25" x14ac:dyDescent="0.25">
      <c r="B7" s="12" t="s">
        <v>62</v>
      </c>
      <c r="C7" s="13" t="s">
        <v>185</v>
      </c>
    </row>
    <row r="8" spans="2:7" x14ac:dyDescent="0.25">
      <c r="B8" s="227" t="s">
        <v>63</v>
      </c>
      <c r="C8" s="285">
        <f>C24+C25</f>
        <v>13410919357.271589</v>
      </c>
      <c r="F8" s="286"/>
    </row>
    <row r="9" spans="2:7" x14ac:dyDescent="0.25">
      <c r="B9" s="14" t="s">
        <v>64</v>
      </c>
      <c r="C9" s="15">
        <f>C26+C27+C28+C29+C30+C31+C32+C33+C34+C35+C36+C37+C38+C39+C40+C41+C42+C43+C44+C45+C46+C47+C48+C49+C50+C51+C52+C53+C54+C55+C56+C57+C58</f>
        <v>6583360528.2769842</v>
      </c>
      <c r="F9" s="286"/>
    </row>
    <row r="10" spans="2:7" x14ac:dyDescent="0.25">
      <c r="B10" s="16" t="s">
        <v>184</v>
      </c>
      <c r="C10" s="17">
        <f>SUM(C8:C9)</f>
        <v>19994279885.548573</v>
      </c>
      <c r="F10" s="287"/>
    </row>
    <row r="11" spans="2:7" x14ac:dyDescent="0.25">
      <c r="B11" s="18" t="s">
        <v>291</v>
      </c>
      <c r="C11" s="19">
        <v>2064658353.6738601</v>
      </c>
      <c r="D11" s="72"/>
      <c r="E11" s="20"/>
      <c r="F11" s="287"/>
      <c r="G11" s="288"/>
    </row>
    <row r="12" spans="2:7" ht="53.25" customHeight="1" x14ac:dyDescent="0.25">
      <c r="B12" s="14" t="s">
        <v>236</v>
      </c>
      <c r="C12" s="15">
        <v>2783427967.6843128</v>
      </c>
      <c r="D12" s="72"/>
      <c r="E12" s="20"/>
      <c r="F12" s="287"/>
      <c r="G12" s="288"/>
    </row>
    <row r="13" spans="2:7" ht="38.25" x14ac:dyDescent="0.25">
      <c r="B13" s="18" t="s">
        <v>238</v>
      </c>
      <c r="C13" s="15">
        <v>7929820597</v>
      </c>
      <c r="E13" s="20"/>
      <c r="F13" s="288"/>
    </row>
    <row r="14" spans="2:7" x14ac:dyDescent="0.25">
      <c r="B14" s="18" t="s">
        <v>65</v>
      </c>
      <c r="C14" s="15">
        <v>4878718781.4461308</v>
      </c>
      <c r="D14" s="72"/>
      <c r="E14" s="20"/>
      <c r="F14" s="287"/>
      <c r="G14" s="288"/>
    </row>
    <row r="15" spans="2:7" x14ac:dyDescent="0.25">
      <c r="B15" s="18" t="s">
        <v>66</v>
      </c>
      <c r="C15" s="15">
        <v>31000000</v>
      </c>
      <c r="E15" s="20"/>
      <c r="F15" s="288"/>
    </row>
    <row r="16" spans="2:7" x14ac:dyDescent="0.25">
      <c r="B16" s="18" t="s">
        <v>67</v>
      </c>
      <c r="C16" s="15">
        <v>4266077960.7599998</v>
      </c>
      <c r="E16" s="20"/>
    </row>
    <row r="17" spans="2:7" x14ac:dyDescent="0.25">
      <c r="B17" s="14" t="s">
        <v>339</v>
      </c>
      <c r="C17" s="19">
        <f>C10*10/100</f>
        <v>1999427988.5548573</v>
      </c>
      <c r="E17" s="20"/>
    </row>
    <row r="18" spans="2:7" x14ac:dyDescent="0.25">
      <c r="B18" s="14" t="s">
        <v>292</v>
      </c>
      <c r="C18" s="19">
        <f>C10*5/100</f>
        <v>999713994.27742863</v>
      </c>
      <c r="E18" s="20"/>
    </row>
    <row r="19" spans="2:7" x14ac:dyDescent="0.25">
      <c r="B19" s="21" t="s">
        <v>68</v>
      </c>
      <c r="C19" s="22">
        <f>C10+C11+C12+C13+C14+C15+C16+C17+C18</f>
        <v>44947125528.94516</v>
      </c>
    </row>
    <row r="20" spans="2:7" x14ac:dyDescent="0.25">
      <c r="B20" s="16" t="s">
        <v>285</v>
      </c>
      <c r="C20" s="305">
        <f>((C10+C11+C12+C14)*5%)/365*82</f>
        <v>333853283.43081313</v>
      </c>
    </row>
    <row r="21" spans="2:7" x14ac:dyDescent="0.25">
      <c r="B21" s="23" t="s">
        <v>69</v>
      </c>
      <c r="C21" s="24">
        <f>C19+C20</f>
        <v>45280978812.375977</v>
      </c>
    </row>
    <row r="23" spans="2:7" ht="13.5" thickBot="1" x14ac:dyDescent="0.3">
      <c r="B23" s="25" t="s">
        <v>70</v>
      </c>
      <c r="C23" s="26" t="s">
        <v>1</v>
      </c>
    </row>
    <row r="24" spans="2:7" x14ac:dyDescent="0.25">
      <c r="B24" s="225" t="s">
        <v>71</v>
      </c>
      <c r="C24" s="289">
        <v>13117374847.941359</v>
      </c>
      <c r="D24" s="73"/>
      <c r="E24" s="20"/>
      <c r="F24" s="287"/>
      <c r="G24" s="288"/>
    </row>
    <row r="25" spans="2:7" ht="13.5" thickBot="1" x14ac:dyDescent="0.3">
      <c r="B25" s="226" t="s">
        <v>72</v>
      </c>
      <c r="C25" s="290">
        <v>293544509.33023119</v>
      </c>
      <c r="D25" s="73"/>
      <c r="E25" s="20"/>
      <c r="F25" s="287"/>
      <c r="G25" s="288"/>
    </row>
    <row r="26" spans="2:7" ht="13.5" thickTop="1" x14ac:dyDescent="0.25">
      <c r="B26" s="14" t="s">
        <v>73</v>
      </c>
      <c r="C26" s="291">
        <v>211415734.34130451</v>
      </c>
      <c r="D26" s="73"/>
      <c r="E26" s="20"/>
      <c r="F26" s="287"/>
      <c r="G26" s="288"/>
    </row>
    <row r="27" spans="2:7" x14ac:dyDescent="0.25">
      <c r="B27" s="14" t="s">
        <v>74</v>
      </c>
      <c r="C27" s="27">
        <v>235777685.82000452</v>
      </c>
      <c r="D27" s="73"/>
      <c r="E27" s="20"/>
      <c r="F27" s="287"/>
      <c r="G27" s="288"/>
    </row>
    <row r="28" spans="2:7" x14ac:dyDescent="0.25">
      <c r="B28" s="14" t="s">
        <v>75</v>
      </c>
      <c r="C28" s="27">
        <v>158788342.54771793</v>
      </c>
      <c r="D28" s="73"/>
      <c r="E28" s="20"/>
      <c r="F28" s="287"/>
      <c r="G28" s="288"/>
    </row>
    <row r="29" spans="2:7" x14ac:dyDescent="0.25">
      <c r="B29" s="14" t="s">
        <v>76</v>
      </c>
      <c r="C29" s="27">
        <v>158788342.54771793</v>
      </c>
      <c r="D29" s="73"/>
      <c r="E29" s="20"/>
      <c r="F29" s="287"/>
      <c r="G29" s="288"/>
    </row>
    <row r="30" spans="2:7" x14ac:dyDescent="0.25">
      <c r="B30" s="14" t="s">
        <v>77</v>
      </c>
      <c r="C30" s="27">
        <v>166072531.04277802</v>
      </c>
      <c r="D30" s="73"/>
      <c r="E30" s="20"/>
      <c r="F30" s="287"/>
      <c r="G30" s="288"/>
    </row>
    <row r="31" spans="2:7" x14ac:dyDescent="0.25">
      <c r="B31" s="14" t="s">
        <v>78</v>
      </c>
      <c r="C31" s="27">
        <v>157463944.51140022</v>
      </c>
      <c r="D31" s="73"/>
      <c r="E31" s="20"/>
      <c r="F31" s="287"/>
      <c r="G31" s="288"/>
    </row>
    <row r="32" spans="2:7" x14ac:dyDescent="0.25">
      <c r="B32" s="14" t="s">
        <v>79</v>
      </c>
      <c r="C32" s="27">
        <v>193584024.32438546</v>
      </c>
      <c r="D32" s="73"/>
      <c r="E32" s="20"/>
      <c r="F32" s="287"/>
      <c r="G32" s="288"/>
    </row>
    <row r="33" spans="2:7" x14ac:dyDescent="0.25">
      <c r="B33" s="14" t="s">
        <v>80</v>
      </c>
      <c r="C33" s="27">
        <v>204198464.39187568</v>
      </c>
      <c r="D33" s="73"/>
      <c r="E33" s="20"/>
      <c r="F33" s="287"/>
      <c r="G33" s="288"/>
    </row>
    <row r="34" spans="2:7" x14ac:dyDescent="0.25">
      <c r="B34" s="14" t="s">
        <v>81</v>
      </c>
      <c r="C34" s="27">
        <v>75279588.387623072</v>
      </c>
      <c r="D34" s="73"/>
      <c r="E34" s="20"/>
      <c r="F34" s="287"/>
      <c r="G34" s="288"/>
    </row>
    <row r="35" spans="2:7" x14ac:dyDescent="0.25">
      <c r="B35" s="14" t="s">
        <v>82</v>
      </c>
      <c r="C35" s="27">
        <v>76121583.072907031</v>
      </c>
      <c r="D35" s="73"/>
      <c r="E35" s="20"/>
      <c r="F35" s="287"/>
      <c r="G35" s="288"/>
    </row>
    <row r="36" spans="2:7" x14ac:dyDescent="0.25">
      <c r="B36" s="14" t="s">
        <v>83</v>
      </c>
      <c r="C36" s="27">
        <v>76121583.072907031</v>
      </c>
      <c r="D36" s="73"/>
      <c r="E36" s="20"/>
      <c r="F36" s="287"/>
      <c r="G36" s="288"/>
    </row>
    <row r="37" spans="2:7" x14ac:dyDescent="0.25">
      <c r="B37" s="14" t="s">
        <v>84</v>
      </c>
      <c r="C37" s="27">
        <v>97934508.085708916</v>
      </c>
      <c r="D37" s="73"/>
      <c r="E37" s="20"/>
      <c r="F37" s="287"/>
      <c r="G37" s="288"/>
    </row>
    <row r="38" spans="2:7" x14ac:dyDescent="0.25">
      <c r="B38" s="14" t="s">
        <v>85</v>
      </c>
      <c r="C38" s="27">
        <v>93198287.909379154</v>
      </c>
      <c r="D38" s="73"/>
      <c r="E38" s="20"/>
      <c r="F38" s="287"/>
      <c r="G38" s="288"/>
    </row>
    <row r="39" spans="2:7" x14ac:dyDescent="0.25">
      <c r="B39" s="14" t="s">
        <v>86</v>
      </c>
      <c r="C39" s="27">
        <v>76489955.806969926</v>
      </c>
      <c r="D39" s="73"/>
      <c r="E39" s="20"/>
      <c r="F39" s="287"/>
      <c r="G39" s="288"/>
    </row>
    <row r="40" spans="2:7" x14ac:dyDescent="0.25">
      <c r="B40" s="14" t="s">
        <v>87</v>
      </c>
      <c r="C40" s="27">
        <v>76489955.806969926</v>
      </c>
      <c r="D40" s="73"/>
      <c r="E40" s="20"/>
      <c r="F40" s="287"/>
      <c r="G40" s="288"/>
    </row>
    <row r="41" spans="2:7" x14ac:dyDescent="0.25">
      <c r="B41" s="14" t="s">
        <v>88</v>
      </c>
      <c r="C41" s="27">
        <v>75463774.612704784</v>
      </c>
      <c r="D41" s="73"/>
      <c r="E41" s="20"/>
      <c r="F41" s="287"/>
      <c r="G41" s="288"/>
    </row>
    <row r="42" spans="2:7" x14ac:dyDescent="0.25">
      <c r="B42" s="14" t="s">
        <v>89</v>
      </c>
      <c r="C42" s="27">
        <v>75279588.387623072</v>
      </c>
      <c r="D42" s="73"/>
      <c r="E42" s="20"/>
      <c r="F42" s="287"/>
      <c r="G42" s="288"/>
    </row>
    <row r="43" spans="2:7" x14ac:dyDescent="0.25">
      <c r="B43" s="14" t="s">
        <v>90</v>
      </c>
      <c r="C43" s="27">
        <v>76121583.072907031</v>
      </c>
      <c r="D43" s="73"/>
      <c r="E43" s="20"/>
      <c r="F43" s="287"/>
      <c r="G43" s="288"/>
    </row>
    <row r="44" spans="2:7" x14ac:dyDescent="0.25">
      <c r="B44" s="14" t="s">
        <v>91</v>
      </c>
      <c r="C44" s="27">
        <v>76121583.072907031</v>
      </c>
      <c r="D44" s="73"/>
      <c r="E44" s="20"/>
      <c r="F44" s="287"/>
      <c r="G44" s="288"/>
    </row>
    <row r="45" spans="2:7" x14ac:dyDescent="0.25">
      <c r="B45" s="14" t="s">
        <v>92</v>
      </c>
      <c r="C45" s="27">
        <v>97934508.085708916</v>
      </c>
      <c r="D45" s="73"/>
      <c r="E45" s="20"/>
      <c r="F45" s="287"/>
      <c r="G45" s="288"/>
    </row>
    <row r="46" spans="2:7" x14ac:dyDescent="0.25">
      <c r="B46" s="14" t="s">
        <v>93</v>
      </c>
      <c r="C46" s="27">
        <v>93198287.909379154</v>
      </c>
      <c r="D46" s="73"/>
      <c r="E46" s="20"/>
      <c r="F46" s="287"/>
      <c r="G46" s="288"/>
    </row>
    <row r="47" spans="2:7" x14ac:dyDescent="0.25">
      <c r="B47" s="14" t="s">
        <v>94</v>
      </c>
      <c r="C47" s="27">
        <v>76489955.806969926</v>
      </c>
      <c r="D47" s="73"/>
      <c r="E47" s="20"/>
      <c r="F47" s="287"/>
      <c r="G47" s="288"/>
    </row>
    <row r="48" spans="2:7" x14ac:dyDescent="0.25">
      <c r="B48" s="14" t="s">
        <v>95</v>
      </c>
      <c r="C48" s="27">
        <v>76489955.806969926</v>
      </c>
      <c r="D48" s="73"/>
      <c r="E48" s="20"/>
      <c r="F48" s="287"/>
      <c r="G48" s="288"/>
    </row>
    <row r="49" spans="2:7" x14ac:dyDescent="0.25">
      <c r="B49" s="14" t="s">
        <v>96</v>
      </c>
      <c r="C49" s="27">
        <v>75463774.612704784</v>
      </c>
      <c r="D49" s="73"/>
      <c r="E49" s="20"/>
      <c r="F49" s="287"/>
      <c r="G49" s="288"/>
    </row>
    <row r="50" spans="2:7" x14ac:dyDescent="0.25">
      <c r="B50" s="14" t="s">
        <v>97</v>
      </c>
      <c r="C50" s="27">
        <v>8609069.1458866689</v>
      </c>
      <c r="D50" s="73"/>
      <c r="E50" s="20"/>
      <c r="F50" s="287"/>
      <c r="G50" s="288"/>
    </row>
    <row r="51" spans="2:7" x14ac:dyDescent="0.25">
      <c r="B51" s="14" t="s">
        <v>98</v>
      </c>
      <c r="C51" s="27">
        <v>8609069.1458866689</v>
      </c>
      <c r="D51" s="73"/>
      <c r="E51" s="20"/>
      <c r="F51" s="287"/>
      <c r="G51" s="288"/>
    </row>
    <row r="52" spans="2:7" x14ac:dyDescent="0.25">
      <c r="B52" s="14" t="s">
        <v>99</v>
      </c>
      <c r="C52" s="27">
        <v>740056945.47277999</v>
      </c>
      <c r="D52" s="73"/>
      <c r="E52" s="20"/>
      <c r="F52" s="287"/>
      <c r="G52" s="288"/>
    </row>
    <row r="53" spans="2:7" x14ac:dyDescent="0.25">
      <c r="B53" s="14" t="s">
        <v>100</v>
      </c>
      <c r="C53" s="27">
        <v>1217817789.6654198</v>
      </c>
      <c r="D53" s="73"/>
      <c r="E53" s="20"/>
      <c r="F53" s="287"/>
      <c r="G53" s="288"/>
    </row>
    <row r="54" spans="2:7" x14ac:dyDescent="0.25">
      <c r="B54" s="14" t="s">
        <v>101</v>
      </c>
      <c r="C54" s="27">
        <v>740056945.04468977</v>
      </c>
      <c r="D54" s="73"/>
      <c r="E54" s="20"/>
      <c r="F54" s="287"/>
      <c r="G54" s="288"/>
    </row>
    <row r="55" spans="2:7" x14ac:dyDescent="0.25">
      <c r="B55" s="14" t="s">
        <v>102</v>
      </c>
      <c r="C55" s="27">
        <v>239127960.20667034</v>
      </c>
      <c r="D55" s="73"/>
      <c r="E55" s="20"/>
      <c r="F55" s="287"/>
      <c r="G55" s="288"/>
    </row>
    <row r="56" spans="2:7" x14ac:dyDescent="0.25">
      <c r="B56" s="14" t="s">
        <v>103</v>
      </c>
      <c r="C56" s="27">
        <v>329735905.05727905</v>
      </c>
      <c r="D56" s="73"/>
      <c r="E56" s="20"/>
      <c r="F56" s="287"/>
      <c r="G56" s="288"/>
    </row>
    <row r="57" spans="2:7" x14ac:dyDescent="0.25">
      <c r="B57" s="28" t="s">
        <v>104</v>
      </c>
      <c r="C57" s="29">
        <v>432236482.34253198</v>
      </c>
      <c r="D57" s="73"/>
      <c r="E57" s="20"/>
      <c r="F57" s="287"/>
      <c r="G57" s="288"/>
    </row>
    <row r="58" spans="2:7" ht="13.5" thickBot="1" x14ac:dyDescent="0.3">
      <c r="B58" s="14" t="s">
        <v>105</v>
      </c>
      <c r="C58" s="27">
        <v>86822819.158314794</v>
      </c>
      <c r="D58" s="73"/>
      <c r="E58" s="20"/>
      <c r="G58" s="288"/>
    </row>
    <row r="59" spans="2:7" ht="13.5" thickBot="1" x14ac:dyDescent="0.3">
      <c r="B59" s="30" t="s">
        <v>35</v>
      </c>
      <c r="C59" s="74">
        <f>SUM(C24:C58)</f>
        <v>19994279885.548573</v>
      </c>
      <c r="D59" s="292"/>
      <c r="E59" s="293"/>
      <c r="F59" s="294"/>
      <c r="G59" s="288"/>
    </row>
    <row r="60" spans="2:7" x14ac:dyDescent="0.25">
      <c r="B60" s="141" t="s">
        <v>336</v>
      </c>
      <c r="C60" s="31"/>
      <c r="F60" s="295"/>
    </row>
    <row r="61" spans="2:7" x14ac:dyDescent="0.2">
      <c r="B61" s="32"/>
      <c r="C61" s="32"/>
    </row>
    <row r="62" spans="2:7" x14ac:dyDescent="0.2">
      <c r="B62" s="32"/>
      <c r="C62" s="32"/>
    </row>
  </sheetData>
  <mergeCells count="4">
    <mergeCell ref="B3:C3"/>
    <mergeCell ref="B4:C4"/>
    <mergeCell ref="B5:C5"/>
    <mergeCell ref="B6:C6"/>
  </mergeCells>
  <printOptions horizontalCentered="1" verticalCentered="1"/>
  <pageMargins left="0.11811023622047245" right="0.19685039370078741" top="0.19685039370078741" bottom="0.19685039370078741" header="0" footer="0.31496062992125984"/>
  <pageSetup scale="58" orientation="portrait" r:id="rId1"/>
  <rowBreaks count="1" manualBreakCount="1">
    <brk id="22"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8DFA7-5A5F-46A0-A822-36CA82174DDB}">
  <dimension ref="B1:F32"/>
  <sheetViews>
    <sheetView showGridLines="0" view="pageBreakPreview" topLeftCell="A9" zoomScale="120" zoomScaleNormal="100" zoomScaleSheetLayoutView="120" workbookViewId="0">
      <selection activeCell="E30" sqref="E30"/>
    </sheetView>
  </sheetViews>
  <sheetFormatPr baseColWidth="10" defaultColWidth="11.42578125" defaultRowHeight="12.75" x14ac:dyDescent="0.2"/>
  <cols>
    <col min="1" max="1" width="3.42578125" style="33" customWidth="1"/>
    <col min="2" max="2" width="7" style="46" customWidth="1"/>
    <col min="3" max="3" width="39" style="33" customWidth="1"/>
    <col min="4" max="4" width="26" style="33" customWidth="1"/>
    <col min="5" max="5" width="26.7109375" style="33" customWidth="1"/>
    <col min="6" max="6" width="2" style="33" hidden="1" customWidth="1"/>
    <col min="7" max="7" width="2.7109375" style="33" customWidth="1"/>
    <col min="8" max="253" width="11.42578125" style="33"/>
    <col min="254" max="254" width="20.7109375" style="33" customWidth="1"/>
    <col min="255" max="255" width="66.85546875" style="33" customWidth="1"/>
    <col min="256" max="256" width="19.42578125" style="33" customWidth="1"/>
    <col min="257" max="257" width="21.28515625" style="33" customWidth="1"/>
    <col min="258" max="509" width="11.42578125" style="33"/>
    <col min="510" max="510" width="20.7109375" style="33" customWidth="1"/>
    <col min="511" max="511" width="66.85546875" style="33" customWidth="1"/>
    <col min="512" max="512" width="19.42578125" style="33" customWidth="1"/>
    <col min="513" max="513" width="21.28515625" style="33" customWidth="1"/>
    <col min="514" max="765" width="11.42578125" style="33"/>
    <col min="766" max="766" width="20.7109375" style="33" customWidth="1"/>
    <col min="767" max="767" width="66.85546875" style="33" customWidth="1"/>
    <col min="768" max="768" width="19.42578125" style="33" customWidth="1"/>
    <col min="769" max="769" width="21.28515625" style="33" customWidth="1"/>
    <col min="770" max="1021" width="11.42578125" style="33"/>
    <col min="1022" max="1022" width="20.7109375" style="33" customWidth="1"/>
    <col min="1023" max="1023" width="66.85546875" style="33" customWidth="1"/>
    <col min="1024" max="1024" width="19.42578125" style="33" customWidth="1"/>
    <col min="1025" max="1025" width="21.28515625" style="33" customWidth="1"/>
    <col min="1026" max="1277" width="11.42578125" style="33"/>
    <col min="1278" max="1278" width="20.7109375" style="33" customWidth="1"/>
    <col min="1279" max="1279" width="66.85546875" style="33" customWidth="1"/>
    <col min="1280" max="1280" width="19.42578125" style="33" customWidth="1"/>
    <col min="1281" max="1281" width="21.28515625" style="33" customWidth="1"/>
    <col min="1282" max="1533" width="11.42578125" style="33"/>
    <col min="1534" max="1534" width="20.7109375" style="33" customWidth="1"/>
    <col min="1535" max="1535" width="66.85546875" style="33" customWidth="1"/>
    <col min="1536" max="1536" width="19.42578125" style="33" customWidth="1"/>
    <col min="1537" max="1537" width="21.28515625" style="33" customWidth="1"/>
    <col min="1538" max="1789" width="11.42578125" style="33"/>
    <col min="1790" max="1790" width="20.7109375" style="33" customWidth="1"/>
    <col min="1791" max="1791" width="66.85546875" style="33" customWidth="1"/>
    <col min="1792" max="1792" width="19.42578125" style="33" customWidth="1"/>
    <col min="1793" max="1793" width="21.28515625" style="33" customWidth="1"/>
    <col min="1794" max="2045" width="11.42578125" style="33"/>
    <col min="2046" max="2046" width="20.7109375" style="33" customWidth="1"/>
    <col min="2047" max="2047" width="66.85546875" style="33" customWidth="1"/>
    <col min="2048" max="2048" width="19.42578125" style="33" customWidth="1"/>
    <col min="2049" max="2049" width="21.28515625" style="33" customWidth="1"/>
    <col min="2050" max="2301" width="11.42578125" style="33"/>
    <col min="2302" max="2302" width="20.7109375" style="33" customWidth="1"/>
    <col min="2303" max="2303" width="66.85546875" style="33" customWidth="1"/>
    <col min="2304" max="2304" width="19.42578125" style="33" customWidth="1"/>
    <col min="2305" max="2305" width="21.28515625" style="33" customWidth="1"/>
    <col min="2306" max="2557" width="11.42578125" style="33"/>
    <col min="2558" max="2558" width="20.7109375" style="33" customWidth="1"/>
    <col min="2559" max="2559" width="66.85546875" style="33" customWidth="1"/>
    <col min="2560" max="2560" width="19.42578125" style="33" customWidth="1"/>
    <col min="2561" max="2561" width="21.28515625" style="33" customWidth="1"/>
    <col min="2562" max="2813" width="11.42578125" style="33"/>
    <col min="2814" max="2814" width="20.7109375" style="33" customWidth="1"/>
    <col min="2815" max="2815" width="66.85546875" style="33" customWidth="1"/>
    <col min="2816" max="2816" width="19.42578125" style="33" customWidth="1"/>
    <col min="2817" max="2817" width="21.28515625" style="33" customWidth="1"/>
    <col min="2818" max="3069" width="11.42578125" style="33"/>
    <col min="3070" max="3070" width="20.7109375" style="33" customWidth="1"/>
    <col min="3071" max="3071" width="66.85546875" style="33" customWidth="1"/>
    <col min="3072" max="3072" width="19.42578125" style="33" customWidth="1"/>
    <col min="3073" max="3073" width="21.28515625" style="33" customWidth="1"/>
    <col min="3074" max="3325" width="11.42578125" style="33"/>
    <col min="3326" max="3326" width="20.7109375" style="33" customWidth="1"/>
    <col min="3327" max="3327" width="66.85546875" style="33" customWidth="1"/>
    <col min="3328" max="3328" width="19.42578125" style="33" customWidth="1"/>
    <col min="3329" max="3329" width="21.28515625" style="33" customWidth="1"/>
    <col min="3330" max="3581" width="11.42578125" style="33"/>
    <col min="3582" max="3582" width="20.7109375" style="33" customWidth="1"/>
    <col min="3583" max="3583" width="66.85546875" style="33" customWidth="1"/>
    <col min="3584" max="3584" width="19.42578125" style="33" customWidth="1"/>
    <col min="3585" max="3585" width="21.28515625" style="33" customWidth="1"/>
    <col min="3586" max="3837" width="11.42578125" style="33"/>
    <col min="3838" max="3838" width="20.7109375" style="33" customWidth="1"/>
    <col min="3839" max="3839" width="66.85546875" style="33" customWidth="1"/>
    <col min="3840" max="3840" width="19.42578125" style="33" customWidth="1"/>
    <col min="3841" max="3841" width="21.28515625" style="33" customWidth="1"/>
    <col min="3842" max="4093" width="11.42578125" style="33"/>
    <col min="4094" max="4094" width="20.7109375" style="33" customWidth="1"/>
    <col min="4095" max="4095" width="66.85546875" style="33" customWidth="1"/>
    <col min="4096" max="4096" width="19.42578125" style="33" customWidth="1"/>
    <col min="4097" max="4097" width="21.28515625" style="33" customWidth="1"/>
    <col min="4098" max="4349" width="11.42578125" style="33"/>
    <col min="4350" max="4350" width="20.7109375" style="33" customWidth="1"/>
    <col min="4351" max="4351" width="66.85546875" style="33" customWidth="1"/>
    <col min="4352" max="4352" width="19.42578125" style="33" customWidth="1"/>
    <col min="4353" max="4353" width="21.28515625" style="33" customWidth="1"/>
    <col min="4354" max="4605" width="11.42578125" style="33"/>
    <col min="4606" max="4606" width="20.7109375" style="33" customWidth="1"/>
    <col min="4607" max="4607" width="66.85546875" style="33" customWidth="1"/>
    <col min="4608" max="4608" width="19.42578125" style="33" customWidth="1"/>
    <col min="4609" max="4609" width="21.28515625" style="33" customWidth="1"/>
    <col min="4610" max="4861" width="11.42578125" style="33"/>
    <col min="4862" max="4862" width="20.7109375" style="33" customWidth="1"/>
    <col min="4863" max="4863" width="66.85546875" style="33" customWidth="1"/>
    <col min="4864" max="4864" width="19.42578125" style="33" customWidth="1"/>
    <col min="4865" max="4865" width="21.28515625" style="33" customWidth="1"/>
    <col min="4866" max="5117" width="11.42578125" style="33"/>
    <col min="5118" max="5118" width="20.7109375" style="33" customWidth="1"/>
    <col min="5119" max="5119" width="66.85546875" style="33" customWidth="1"/>
    <col min="5120" max="5120" width="19.42578125" style="33" customWidth="1"/>
    <col min="5121" max="5121" width="21.28515625" style="33" customWidth="1"/>
    <col min="5122" max="5373" width="11.42578125" style="33"/>
    <col min="5374" max="5374" width="20.7109375" style="33" customWidth="1"/>
    <col min="5375" max="5375" width="66.85546875" style="33" customWidth="1"/>
    <col min="5376" max="5376" width="19.42578125" style="33" customWidth="1"/>
    <col min="5377" max="5377" width="21.28515625" style="33" customWidth="1"/>
    <col min="5378" max="5629" width="11.42578125" style="33"/>
    <col min="5630" max="5630" width="20.7109375" style="33" customWidth="1"/>
    <col min="5631" max="5631" width="66.85546875" style="33" customWidth="1"/>
    <col min="5632" max="5632" width="19.42578125" style="33" customWidth="1"/>
    <col min="5633" max="5633" width="21.28515625" style="33" customWidth="1"/>
    <col min="5634" max="5885" width="11.42578125" style="33"/>
    <col min="5886" max="5886" width="20.7109375" style="33" customWidth="1"/>
    <col min="5887" max="5887" width="66.85546875" style="33" customWidth="1"/>
    <col min="5888" max="5888" width="19.42578125" style="33" customWidth="1"/>
    <col min="5889" max="5889" width="21.28515625" style="33" customWidth="1"/>
    <col min="5890" max="6141" width="11.42578125" style="33"/>
    <col min="6142" max="6142" width="20.7109375" style="33" customWidth="1"/>
    <col min="6143" max="6143" width="66.85546875" style="33" customWidth="1"/>
    <col min="6144" max="6144" width="19.42578125" style="33" customWidth="1"/>
    <col min="6145" max="6145" width="21.28515625" style="33" customWidth="1"/>
    <col min="6146" max="6397" width="11.42578125" style="33"/>
    <col min="6398" max="6398" width="20.7109375" style="33" customWidth="1"/>
    <col min="6399" max="6399" width="66.85546875" style="33" customWidth="1"/>
    <col min="6400" max="6400" width="19.42578125" style="33" customWidth="1"/>
    <col min="6401" max="6401" width="21.28515625" style="33" customWidth="1"/>
    <col min="6402" max="6653" width="11.42578125" style="33"/>
    <col min="6654" max="6654" width="20.7109375" style="33" customWidth="1"/>
    <col min="6655" max="6655" width="66.85546875" style="33" customWidth="1"/>
    <col min="6656" max="6656" width="19.42578125" style="33" customWidth="1"/>
    <col min="6657" max="6657" width="21.28515625" style="33" customWidth="1"/>
    <col min="6658" max="6909" width="11.42578125" style="33"/>
    <col min="6910" max="6910" width="20.7109375" style="33" customWidth="1"/>
    <col min="6911" max="6911" width="66.85546875" style="33" customWidth="1"/>
    <col min="6912" max="6912" width="19.42578125" style="33" customWidth="1"/>
    <col min="6913" max="6913" width="21.28515625" style="33" customWidth="1"/>
    <col min="6914" max="7165" width="11.42578125" style="33"/>
    <col min="7166" max="7166" width="20.7109375" style="33" customWidth="1"/>
    <col min="7167" max="7167" width="66.85546875" style="33" customWidth="1"/>
    <col min="7168" max="7168" width="19.42578125" style="33" customWidth="1"/>
    <col min="7169" max="7169" width="21.28515625" style="33" customWidth="1"/>
    <col min="7170" max="7421" width="11.42578125" style="33"/>
    <col min="7422" max="7422" width="20.7109375" style="33" customWidth="1"/>
    <col min="7423" max="7423" width="66.85546875" style="33" customWidth="1"/>
    <col min="7424" max="7424" width="19.42578125" style="33" customWidth="1"/>
    <col min="7425" max="7425" width="21.28515625" style="33" customWidth="1"/>
    <col min="7426" max="7677" width="11.42578125" style="33"/>
    <col min="7678" max="7678" width="20.7109375" style="33" customWidth="1"/>
    <col min="7679" max="7679" width="66.85546875" style="33" customWidth="1"/>
    <col min="7680" max="7680" width="19.42578125" style="33" customWidth="1"/>
    <col min="7681" max="7681" width="21.28515625" style="33" customWidth="1"/>
    <col min="7682" max="7933" width="11.42578125" style="33"/>
    <col min="7934" max="7934" width="20.7109375" style="33" customWidth="1"/>
    <col min="7935" max="7935" width="66.85546875" style="33" customWidth="1"/>
    <col min="7936" max="7936" width="19.42578125" style="33" customWidth="1"/>
    <col min="7937" max="7937" width="21.28515625" style="33" customWidth="1"/>
    <col min="7938" max="8189" width="11.42578125" style="33"/>
    <col min="8190" max="8190" width="20.7109375" style="33" customWidth="1"/>
    <col min="8191" max="8191" width="66.85546875" style="33" customWidth="1"/>
    <col min="8192" max="8192" width="19.42578125" style="33" customWidth="1"/>
    <col min="8193" max="8193" width="21.28515625" style="33" customWidth="1"/>
    <col min="8194" max="8445" width="11.42578125" style="33"/>
    <col min="8446" max="8446" width="20.7109375" style="33" customWidth="1"/>
    <col min="8447" max="8447" width="66.85546875" style="33" customWidth="1"/>
    <col min="8448" max="8448" width="19.42578125" style="33" customWidth="1"/>
    <col min="8449" max="8449" width="21.28515625" style="33" customWidth="1"/>
    <col min="8450" max="8701" width="11.42578125" style="33"/>
    <col min="8702" max="8702" width="20.7109375" style="33" customWidth="1"/>
    <col min="8703" max="8703" width="66.85546875" style="33" customWidth="1"/>
    <col min="8704" max="8704" width="19.42578125" style="33" customWidth="1"/>
    <col min="8705" max="8705" width="21.28515625" style="33" customWidth="1"/>
    <col min="8706" max="8957" width="11.42578125" style="33"/>
    <col min="8958" max="8958" width="20.7109375" style="33" customWidth="1"/>
    <col min="8959" max="8959" width="66.85546875" style="33" customWidth="1"/>
    <col min="8960" max="8960" width="19.42578125" style="33" customWidth="1"/>
    <col min="8961" max="8961" width="21.28515625" style="33" customWidth="1"/>
    <col min="8962" max="9213" width="11.42578125" style="33"/>
    <col min="9214" max="9214" width="20.7109375" style="33" customWidth="1"/>
    <col min="9215" max="9215" width="66.85546875" style="33" customWidth="1"/>
    <col min="9216" max="9216" width="19.42578125" style="33" customWidth="1"/>
    <col min="9217" max="9217" width="21.28515625" style="33" customWidth="1"/>
    <col min="9218" max="9469" width="11.42578125" style="33"/>
    <col min="9470" max="9470" width="20.7109375" style="33" customWidth="1"/>
    <col min="9471" max="9471" width="66.85546875" style="33" customWidth="1"/>
    <col min="9472" max="9472" width="19.42578125" style="33" customWidth="1"/>
    <col min="9473" max="9473" width="21.28515625" style="33" customWidth="1"/>
    <col min="9474" max="9725" width="11.42578125" style="33"/>
    <col min="9726" max="9726" width="20.7109375" style="33" customWidth="1"/>
    <col min="9727" max="9727" width="66.85546875" style="33" customWidth="1"/>
    <col min="9728" max="9728" width="19.42578125" style="33" customWidth="1"/>
    <col min="9729" max="9729" width="21.28515625" style="33" customWidth="1"/>
    <col min="9730" max="9981" width="11.42578125" style="33"/>
    <col min="9982" max="9982" width="20.7109375" style="33" customWidth="1"/>
    <col min="9983" max="9983" width="66.85546875" style="33" customWidth="1"/>
    <col min="9984" max="9984" width="19.42578125" style="33" customWidth="1"/>
    <col min="9985" max="9985" width="21.28515625" style="33" customWidth="1"/>
    <col min="9986" max="10237" width="11.42578125" style="33"/>
    <col min="10238" max="10238" width="20.7109375" style="33" customWidth="1"/>
    <col min="10239" max="10239" width="66.85546875" style="33" customWidth="1"/>
    <col min="10240" max="10240" width="19.42578125" style="33" customWidth="1"/>
    <col min="10241" max="10241" width="21.28515625" style="33" customWidth="1"/>
    <col min="10242" max="10493" width="11.42578125" style="33"/>
    <col min="10494" max="10494" width="20.7109375" style="33" customWidth="1"/>
    <col min="10495" max="10495" width="66.85546875" style="33" customWidth="1"/>
    <col min="10496" max="10496" width="19.42578125" style="33" customWidth="1"/>
    <col min="10497" max="10497" width="21.28515625" style="33" customWidth="1"/>
    <col min="10498" max="10749" width="11.42578125" style="33"/>
    <col min="10750" max="10750" width="20.7109375" style="33" customWidth="1"/>
    <col min="10751" max="10751" width="66.85546875" style="33" customWidth="1"/>
    <col min="10752" max="10752" width="19.42578125" style="33" customWidth="1"/>
    <col min="10753" max="10753" width="21.28515625" style="33" customWidth="1"/>
    <col min="10754" max="11005" width="11.42578125" style="33"/>
    <col min="11006" max="11006" width="20.7109375" style="33" customWidth="1"/>
    <col min="11007" max="11007" width="66.85546875" style="33" customWidth="1"/>
    <col min="11008" max="11008" width="19.42578125" style="33" customWidth="1"/>
    <col min="11009" max="11009" width="21.28515625" style="33" customWidth="1"/>
    <col min="11010" max="11261" width="11.42578125" style="33"/>
    <col min="11262" max="11262" width="20.7109375" style="33" customWidth="1"/>
    <col min="11263" max="11263" width="66.85546875" style="33" customWidth="1"/>
    <col min="11264" max="11264" width="19.42578125" style="33" customWidth="1"/>
    <col min="11265" max="11265" width="21.28515625" style="33" customWidth="1"/>
    <col min="11266" max="11517" width="11.42578125" style="33"/>
    <col min="11518" max="11518" width="20.7109375" style="33" customWidth="1"/>
    <col min="11519" max="11519" width="66.85546875" style="33" customWidth="1"/>
    <col min="11520" max="11520" width="19.42578125" style="33" customWidth="1"/>
    <col min="11521" max="11521" width="21.28515625" style="33" customWidth="1"/>
    <col min="11522" max="11773" width="11.42578125" style="33"/>
    <col min="11774" max="11774" width="20.7109375" style="33" customWidth="1"/>
    <col min="11775" max="11775" width="66.85546875" style="33" customWidth="1"/>
    <col min="11776" max="11776" width="19.42578125" style="33" customWidth="1"/>
    <col min="11777" max="11777" width="21.28515625" style="33" customWidth="1"/>
    <col min="11778" max="12029" width="11.42578125" style="33"/>
    <col min="12030" max="12030" width="20.7109375" style="33" customWidth="1"/>
    <col min="12031" max="12031" width="66.85546875" style="33" customWidth="1"/>
    <col min="12032" max="12032" width="19.42578125" style="33" customWidth="1"/>
    <col min="12033" max="12033" width="21.28515625" style="33" customWidth="1"/>
    <col min="12034" max="12285" width="11.42578125" style="33"/>
    <col min="12286" max="12286" width="20.7109375" style="33" customWidth="1"/>
    <col min="12287" max="12287" width="66.85546875" style="33" customWidth="1"/>
    <col min="12288" max="12288" width="19.42578125" style="33" customWidth="1"/>
    <col min="12289" max="12289" width="21.28515625" style="33" customWidth="1"/>
    <col min="12290" max="12541" width="11.42578125" style="33"/>
    <col min="12542" max="12542" width="20.7109375" style="33" customWidth="1"/>
    <col min="12543" max="12543" width="66.85546875" style="33" customWidth="1"/>
    <col min="12544" max="12544" width="19.42578125" style="33" customWidth="1"/>
    <col min="12545" max="12545" width="21.28515625" style="33" customWidth="1"/>
    <col min="12546" max="12797" width="11.42578125" style="33"/>
    <col min="12798" max="12798" width="20.7109375" style="33" customWidth="1"/>
    <col min="12799" max="12799" width="66.85546875" style="33" customWidth="1"/>
    <col min="12800" max="12800" width="19.42578125" style="33" customWidth="1"/>
    <col min="12801" max="12801" width="21.28515625" style="33" customWidth="1"/>
    <col min="12802" max="13053" width="11.42578125" style="33"/>
    <col min="13054" max="13054" width="20.7109375" style="33" customWidth="1"/>
    <col min="13055" max="13055" width="66.85546875" style="33" customWidth="1"/>
    <col min="13056" max="13056" width="19.42578125" style="33" customWidth="1"/>
    <col min="13057" max="13057" width="21.28515625" style="33" customWidth="1"/>
    <col min="13058" max="13309" width="11.42578125" style="33"/>
    <col min="13310" max="13310" width="20.7109375" style="33" customWidth="1"/>
    <col min="13311" max="13311" width="66.85546875" style="33" customWidth="1"/>
    <col min="13312" max="13312" width="19.42578125" style="33" customWidth="1"/>
    <col min="13313" max="13313" width="21.28515625" style="33" customWidth="1"/>
    <col min="13314" max="13565" width="11.42578125" style="33"/>
    <col min="13566" max="13566" width="20.7109375" style="33" customWidth="1"/>
    <col min="13567" max="13567" width="66.85546875" style="33" customWidth="1"/>
    <col min="13568" max="13568" width="19.42578125" style="33" customWidth="1"/>
    <col min="13569" max="13569" width="21.28515625" style="33" customWidth="1"/>
    <col min="13570" max="13821" width="11.42578125" style="33"/>
    <col min="13822" max="13822" width="20.7109375" style="33" customWidth="1"/>
    <col min="13823" max="13823" width="66.85546875" style="33" customWidth="1"/>
    <col min="13824" max="13824" width="19.42578125" style="33" customWidth="1"/>
    <col min="13825" max="13825" width="21.28515625" style="33" customWidth="1"/>
    <col min="13826" max="14077" width="11.42578125" style="33"/>
    <col min="14078" max="14078" width="20.7109375" style="33" customWidth="1"/>
    <col min="14079" max="14079" width="66.85546875" style="33" customWidth="1"/>
    <col min="14080" max="14080" width="19.42578125" style="33" customWidth="1"/>
    <col min="14081" max="14081" width="21.28515625" style="33" customWidth="1"/>
    <col min="14082" max="14333" width="11.42578125" style="33"/>
    <col min="14334" max="14334" width="20.7109375" style="33" customWidth="1"/>
    <col min="14335" max="14335" width="66.85546875" style="33" customWidth="1"/>
    <col min="14336" max="14336" width="19.42578125" style="33" customWidth="1"/>
    <col min="14337" max="14337" width="21.28515625" style="33" customWidth="1"/>
    <col min="14338" max="14589" width="11.42578125" style="33"/>
    <col min="14590" max="14590" width="20.7109375" style="33" customWidth="1"/>
    <col min="14591" max="14591" width="66.85546875" style="33" customWidth="1"/>
    <col min="14592" max="14592" width="19.42578125" style="33" customWidth="1"/>
    <col min="14593" max="14593" width="21.28515625" style="33" customWidth="1"/>
    <col min="14594" max="14845" width="11.42578125" style="33"/>
    <col min="14846" max="14846" width="20.7109375" style="33" customWidth="1"/>
    <col min="14847" max="14847" width="66.85546875" style="33" customWidth="1"/>
    <col min="14848" max="14848" width="19.42578125" style="33" customWidth="1"/>
    <col min="14849" max="14849" width="21.28515625" style="33" customWidth="1"/>
    <col min="14850" max="15101" width="11.42578125" style="33"/>
    <col min="15102" max="15102" width="20.7109375" style="33" customWidth="1"/>
    <col min="15103" max="15103" width="66.85546875" style="33" customWidth="1"/>
    <col min="15104" max="15104" width="19.42578125" style="33" customWidth="1"/>
    <col min="15105" max="15105" width="21.28515625" style="33" customWidth="1"/>
    <col min="15106" max="15357" width="11.42578125" style="33"/>
    <col min="15358" max="15358" width="20.7109375" style="33" customWidth="1"/>
    <col min="15359" max="15359" width="66.85546875" style="33" customWidth="1"/>
    <col min="15360" max="15360" width="19.42578125" style="33" customWidth="1"/>
    <col min="15361" max="15361" width="21.28515625" style="33" customWidth="1"/>
    <col min="15362" max="15613" width="11.42578125" style="33"/>
    <col min="15614" max="15614" width="20.7109375" style="33" customWidth="1"/>
    <col min="15615" max="15615" width="66.85546875" style="33" customWidth="1"/>
    <col min="15616" max="15616" width="19.42578125" style="33" customWidth="1"/>
    <col min="15617" max="15617" width="21.28515625" style="33" customWidth="1"/>
    <col min="15618" max="15869" width="11.42578125" style="33"/>
    <col min="15870" max="15870" width="20.7109375" style="33" customWidth="1"/>
    <col min="15871" max="15871" width="66.85546875" style="33" customWidth="1"/>
    <col min="15872" max="15872" width="19.42578125" style="33" customWidth="1"/>
    <col min="15873" max="15873" width="21.28515625" style="33" customWidth="1"/>
    <col min="15874" max="16125" width="11.42578125" style="33"/>
    <col min="16126" max="16126" width="20.7109375" style="33" customWidth="1"/>
    <col min="16127" max="16127" width="66.85546875" style="33" customWidth="1"/>
    <col min="16128" max="16128" width="19.42578125" style="33" customWidth="1"/>
    <col min="16129" max="16129" width="21.28515625" style="33" customWidth="1"/>
    <col min="16130" max="16384" width="11.42578125" style="33"/>
  </cols>
  <sheetData>
    <row r="1" spans="2:5" ht="14.85" customHeight="1" x14ac:dyDescent="0.2"/>
    <row r="2" spans="2:5" ht="39" customHeight="1" x14ac:dyDescent="0.2"/>
    <row r="3" spans="2:5" ht="26.25" customHeight="1" x14ac:dyDescent="0.2"/>
    <row r="4" spans="2:5" ht="20.85" customHeight="1" x14ac:dyDescent="0.25">
      <c r="B4" s="398" t="s">
        <v>58</v>
      </c>
      <c r="C4" s="398"/>
      <c r="D4" s="398"/>
      <c r="E4" s="398"/>
    </row>
    <row r="5" spans="2:5" ht="14.85" customHeight="1" x14ac:dyDescent="0.3">
      <c r="B5" s="399" t="s">
        <v>59</v>
      </c>
      <c r="C5" s="399"/>
      <c r="D5" s="399"/>
      <c r="E5" s="399"/>
    </row>
    <row r="6" spans="2:5" ht="20.85" customHeight="1" thickBot="1" x14ac:dyDescent="0.3">
      <c r="B6" s="400" t="s">
        <v>157</v>
      </c>
      <c r="C6" s="400"/>
      <c r="D6" s="400"/>
      <c r="E6" s="400"/>
    </row>
    <row r="7" spans="2:5" ht="33.75" customHeight="1" thickBot="1" x14ac:dyDescent="0.3">
      <c r="B7" s="401" t="s">
        <v>158</v>
      </c>
      <c r="C7" s="402"/>
      <c r="D7" s="402"/>
      <c r="E7" s="403"/>
    </row>
    <row r="8" spans="2:5" ht="14.25" customHeight="1" x14ac:dyDescent="0.3">
      <c r="B8" s="47" t="s">
        <v>159</v>
      </c>
      <c r="C8" s="36" t="s">
        <v>160</v>
      </c>
      <c r="D8" s="34" t="s">
        <v>1</v>
      </c>
      <c r="E8" s="34" t="s">
        <v>286</v>
      </c>
    </row>
    <row r="9" spans="2:5" ht="16.5" x14ac:dyDescent="0.3">
      <c r="B9" s="48">
        <v>1</v>
      </c>
      <c r="C9" s="38" t="s">
        <v>161</v>
      </c>
      <c r="D9" s="39">
        <v>69104863889.83078</v>
      </c>
      <c r="E9" s="40">
        <f>(D9*5/100)</f>
        <v>3455243194.4915395</v>
      </c>
    </row>
    <row r="10" spans="2:5" ht="16.5" x14ac:dyDescent="0.3">
      <c r="B10" s="48">
        <v>2</v>
      </c>
      <c r="C10" s="38" t="s">
        <v>162</v>
      </c>
      <c r="D10" s="39">
        <v>7270607825.8938408</v>
      </c>
      <c r="E10" s="40">
        <f t="shared" ref="E10:E12" si="0">(D10*5/100)</f>
        <v>363530391.2946921</v>
      </c>
    </row>
    <row r="11" spans="2:5" ht="16.5" x14ac:dyDescent="0.3">
      <c r="B11" s="48">
        <v>3</v>
      </c>
      <c r="C11" s="38" t="s">
        <v>163</v>
      </c>
      <c r="D11" s="39">
        <v>9955531536.1864376</v>
      </c>
      <c r="E11" s="40">
        <f t="shared" si="0"/>
        <v>497776576.80932188</v>
      </c>
    </row>
    <row r="12" spans="2:5" ht="17.25" thickBot="1" x14ac:dyDescent="0.35">
      <c r="B12" s="48">
        <v>4</v>
      </c>
      <c r="C12" s="49" t="s">
        <v>164</v>
      </c>
      <c r="D12" s="39">
        <v>7462861199.9586945</v>
      </c>
      <c r="E12" s="40">
        <f t="shared" si="0"/>
        <v>373143059.9979347</v>
      </c>
    </row>
    <row r="13" spans="2:5" ht="17.25" thickBot="1" x14ac:dyDescent="0.35">
      <c r="B13" s="50"/>
      <c r="C13" s="51" t="s">
        <v>165</v>
      </c>
      <c r="D13" s="52">
        <f>SUM(D9:D12)</f>
        <v>93793864451.869751</v>
      </c>
      <c r="E13" s="53">
        <f>SUM(E9:E12)</f>
        <v>4689693222.5934877</v>
      </c>
    </row>
    <row r="14" spans="2:5" ht="18" customHeight="1" x14ac:dyDescent="0.3">
      <c r="B14" s="47" t="s">
        <v>166</v>
      </c>
      <c r="C14" s="36" t="s">
        <v>167</v>
      </c>
      <c r="D14" s="54" t="s">
        <v>1</v>
      </c>
      <c r="E14" s="34" t="s">
        <v>286</v>
      </c>
    </row>
    <row r="15" spans="2:5" ht="17.25" thickBot="1" x14ac:dyDescent="0.35">
      <c r="B15" s="48">
        <v>1</v>
      </c>
      <c r="C15" s="56" t="s">
        <v>168</v>
      </c>
      <c r="D15" s="57">
        <v>28964706872</v>
      </c>
      <c r="E15" s="58">
        <f>(D15*5/100)</f>
        <v>1448235343.5999999</v>
      </c>
    </row>
    <row r="16" spans="2:5" ht="15.75" customHeight="1" x14ac:dyDescent="0.3">
      <c r="B16" s="47" t="s">
        <v>169</v>
      </c>
      <c r="C16" s="36" t="s">
        <v>170</v>
      </c>
      <c r="D16" s="55" t="s">
        <v>1</v>
      </c>
      <c r="E16" s="34" t="s">
        <v>286</v>
      </c>
    </row>
    <row r="17" spans="2:5" ht="16.5" x14ac:dyDescent="0.3">
      <c r="B17" s="48">
        <v>1</v>
      </c>
      <c r="C17" s="49" t="s">
        <v>171</v>
      </c>
      <c r="D17" s="39">
        <v>40261678433.524979</v>
      </c>
      <c r="E17" s="40">
        <f t="shared" ref="E17:E20" si="1">(D17*5/100)</f>
        <v>2013083921.6762488</v>
      </c>
    </row>
    <row r="18" spans="2:5" ht="16.5" x14ac:dyDescent="0.3">
      <c r="B18" s="48">
        <v>2</v>
      </c>
      <c r="C18" s="49" t="s">
        <v>172</v>
      </c>
      <c r="D18" s="39">
        <v>77195766309.618469</v>
      </c>
      <c r="E18" s="40">
        <f t="shared" si="1"/>
        <v>3859788315.4809237</v>
      </c>
    </row>
    <row r="19" spans="2:5" ht="16.5" x14ac:dyDescent="0.3">
      <c r="B19" s="48">
        <v>3</v>
      </c>
      <c r="C19" s="49" t="s">
        <v>173</v>
      </c>
      <c r="D19" s="39">
        <v>71961944211.63356</v>
      </c>
      <c r="E19" s="40">
        <f t="shared" si="1"/>
        <v>3598097210.5816779</v>
      </c>
    </row>
    <row r="20" spans="2:5" ht="17.25" thickBot="1" x14ac:dyDescent="0.35">
      <c r="B20" s="48">
        <v>4</v>
      </c>
      <c r="C20" s="49" t="s">
        <v>174</v>
      </c>
      <c r="D20" s="59">
        <v>31090960897.828579</v>
      </c>
      <c r="E20" s="40">
        <f t="shared" si="1"/>
        <v>1554548044.8914289</v>
      </c>
    </row>
    <row r="21" spans="2:5" ht="17.25" thickBot="1" x14ac:dyDescent="0.35">
      <c r="B21" s="50"/>
      <c r="C21" s="51" t="s">
        <v>175</v>
      </c>
      <c r="D21" s="52">
        <f>SUM(D17:D20)</f>
        <v>220510349852.60559</v>
      </c>
      <c r="E21" s="53">
        <f>SUM(E17:E20)</f>
        <v>11025517492.63028</v>
      </c>
    </row>
    <row r="22" spans="2:5" ht="17.25" thickBot="1" x14ac:dyDescent="0.35">
      <c r="B22" s="60"/>
      <c r="C22" s="61" t="s">
        <v>176</v>
      </c>
      <c r="D22" s="62">
        <f>D13+D15+D21</f>
        <v>343268921176.47534</v>
      </c>
      <c r="E22" s="62">
        <f>E13+E15+E21</f>
        <v>17163446058.823767</v>
      </c>
    </row>
    <row r="23" spans="2:5" ht="33" x14ac:dyDescent="0.3">
      <c r="B23" s="47" t="s">
        <v>166</v>
      </c>
      <c r="C23" s="36" t="s">
        <v>177</v>
      </c>
      <c r="D23" s="55" t="s">
        <v>1</v>
      </c>
      <c r="E23" s="34" t="s">
        <v>286</v>
      </c>
    </row>
    <row r="24" spans="2:5" ht="17.25" thickBot="1" x14ac:dyDescent="0.35">
      <c r="B24" s="60"/>
      <c r="C24" s="63" t="s">
        <v>178</v>
      </c>
      <c r="D24" s="64">
        <v>1444766725.4809108</v>
      </c>
      <c r="E24" s="40">
        <f>(D24*5/100)</f>
        <v>72238336.274045542</v>
      </c>
    </row>
    <row r="25" spans="2:5" ht="17.25" thickBot="1" x14ac:dyDescent="0.35">
      <c r="B25" s="60"/>
      <c r="C25" s="65" t="s">
        <v>179</v>
      </c>
      <c r="D25" s="53">
        <f>SUM(D24)</f>
        <v>1444766725.4809108</v>
      </c>
      <c r="E25" s="53">
        <f>SUM(E24)</f>
        <v>72238336.274045542</v>
      </c>
    </row>
    <row r="26" spans="2:5" ht="17.25" thickBot="1" x14ac:dyDescent="0.35">
      <c r="B26" s="60"/>
      <c r="C26" s="61" t="s">
        <v>180</v>
      </c>
      <c r="D26" s="66">
        <f>D22+D25</f>
        <v>344713687901.95624</v>
      </c>
      <c r="E26" s="70">
        <f>E22+E25</f>
        <v>17235684395.097813</v>
      </c>
    </row>
    <row r="27" spans="2:5" ht="47.25" customHeight="1" thickBot="1" x14ac:dyDescent="0.35">
      <c r="B27" s="60"/>
      <c r="C27" s="67" t="s">
        <v>181</v>
      </c>
      <c r="D27" s="68">
        <f>D22*10/100</f>
        <v>34326892117.647533</v>
      </c>
      <c r="E27" s="69"/>
    </row>
    <row r="28" spans="2:5" ht="64.5" customHeight="1" thickBot="1" x14ac:dyDescent="0.35">
      <c r="B28" s="60"/>
      <c r="C28" s="67" t="s">
        <v>182</v>
      </c>
      <c r="D28" s="68">
        <f>D22*5/100</f>
        <v>17163446058.823767</v>
      </c>
      <c r="E28" s="69"/>
    </row>
    <row r="29" spans="2:5" ht="17.25" thickBot="1" x14ac:dyDescent="0.35">
      <c r="B29" s="50"/>
      <c r="C29" s="65" t="s">
        <v>183</v>
      </c>
      <c r="D29" s="70">
        <f>SUM(D27:D28)</f>
        <v>51490338176.471298</v>
      </c>
      <c r="E29" s="71"/>
    </row>
    <row r="30" spans="2:5" ht="33" customHeight="1" thickBot="1" x14ac:dyDescent="0.35">
      <c r="B30" s="50"/>
      <c r="C30" s="282" t="s">
        <v>68</v>
      </c>
      <c r="D30" s="283">
        <f>D26+D29</f>
        <v>396204026078.42755</v>
      </c>
      <c r="E30" s="306">
        <f>(E13+E15+E21+E25+E29)/365*82</f>
        <v>3872126357.2548513</v>
      </c>
    </row>
    <row r="31" spans="2:5" ht="28.5" customHeight="1" thickBot="1" x14ac:dyDescent="0.35">
      <c r="B31" s="50"/>
      <c r="C31" s="284" t="s">
        <v>156</v>
      </c>
      <c r="D31" s="404">
        <f>D30+E30</f>
        <v>400076152435.68237</v>
      </c>
      <c r="E31" s="405"/>
    </row>
    <row r="32" spans="2:5" x14ac:dyDescent="0.25">
      <c r="B32" s="141" t="s">
        <v>337</v>
      </c>
    </row>
  </sheetData>
  <mergeCells count="5">
    <mergeCell ref="B4:E4"/>
    <mergeCell ref="B5:E5"/>
    <mergeCell ref="B6:E6"/>
    <mergeCell ref="B7:E7"/>
    <mergeCell ref="D31:E31"/>
  </mergeCells>
  <printOptions horizontalCentered="1" verticalCentered="1"/>
  <pageMargins left="0.31496062992125984" right="0.31496062992125984" top="0.35433070866141736" bottom="0.35433070866141736" header="0.31496062992125984" footer="0.31496062992125984"/>
  <pageSetup scale="9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9CFA1-FD94-4708-8C72-CE334C044760}">
  <dimension ref="B6:J35"/>
  <sheetViews>
    <sheetView showGridLines="0" view="pageBreakPreview" topLeftCell="G24" zoomScaleNormal="82" zoomScaleSheetLayoutView="100" workbookViewId="0">
      <selection activeCell="J29" sqref="J29"/>
    </sheetView>
  </sheetViews>
  <sheetFormatPr baseColWidth="10" defaultColWidth="11.42578125" defaultRowHeight="12.75" x14ac:dyDescent="0.25"/>
  <cols>
    <col min="1" max="1" width="2.85546875" style="247" customWidth="1"/>
    <col min="2" max="2" width="5.28515625" style="247" bestFit="1" customWidth="1"/>
    <col min="3" max="3" width="7.42578125" style="247" bestFit="1" customWidth="1"/>
    <col min="4" max="4" width="49.140625" style="247" bestFit="1" customWidth="1"/>
    <col min="5" max="5" width="81" style="247" bestFit="1" customWidth="1"/>
    <col min="6" max="6" width="10.85546875" style="247" bestFit="1" customWidth="1"/>
    <col min="7" max="7" width="14.28515625" style="247" bestFit="1" customWidth="1"/>
    <col min="8" max="8" width="16.85546875" style="247" bestFit="1" customWidth="1"/>
    <col min="9" max="9" width="16.7109375" style="247" bestFit="1" customWidth="1"/>
    <col min="10" max="10" width="16" style="247" bestFit="1" customWidth="1"/>
    <col min="11" max="11" width="3.7109375" style="247" customWidth="1"/>
    <col min="12" max="256" width="11.42578125" style="247"/>
    <col min="257" max="257" width="20.7109375" style="247" customWidth="1"/>
    <col min="258" max="258" width="66.85546875" style="247" customWidth="1"/>
    <col min="259" max="259" width="19.5703125" style="247" customWidth="1"/>
    <col min="260" max="260" width="21.28515625" style="247" customWidth="1"/>
    <col min="261" max="512" width="11.42578125" style="247"/>
    <col min="513" max="513" width="20.7109375" style="247" customWidth="1"/>
    <col min="514" max="514" width="66.85546875" style="247" customWidth="1"/>
    <col min="515" max="515" width="19.5703125" style="247" customWidth="1"/>
    <col min="516" max="516" width="21.28515625" style="247" customWidth="1"/>
    <col min="517" max="768" width="11.42578125" style="247"/>
    <col min="769" max="769" width="20.7109375" style="247" customWidth="1"/>
    <col min="770" max="770" width="66.85546875" style="247" customWidth="1"/>
    <col min="771" max="771" width="19.5703125" style="247" customWidth="1"/>
    <col min="772" max="772" width="21.28515625" style="247" customWidth="1"/>
    <col min="773" max="1024" width="11.42578125" style="247"/>
    <col min="1025" max="1025" width="20.7109375" style="247" customWidth="1"/>
    <col min="1026" max="1026" width="66.85546875" style="247" customWidth="1"/>
    <col min="1027" max="1027" width="19.5703125" style="247" customWidth="1"/>
    <col min="1028" max="1028" width="21.28515625" style="247" customWidth="1"/>
    <col min="1029" max="1280" width="11.42578125" style="247"/>
    <col min="1281" max="1281" width="20.7109375" style="247" customWidth="1"/>
    <col min="1282" max="1282" width="66.85546875" style="247" customWidth="1"/>
    <col min="1283" max="1283" width="19.5703125" style="247" customWidth="1"/>
    <col min="1284" max="1284" width="21.28515625" style="247" customWidth="1"/>
    <col min="1285" max="1536" width="11.42578125" style="247"/>
    <col min="1537" max="1537" width="20.7109375" style="247" customWidth="1"/>
    <col min="1538" max="1538" width="66.85546875" style="247" customWidth="1"/>
    <col min="1539" max="1539" width="19.5703125" style="247" customWidth="1"/>
    <col min="1540" max="1540" width="21.28515625" style="247" customWidth="1"/>
    <col min="1541" max="1792" width="11.42578125" style="247"/>
    <col min="1793" max="1793" width="20.7109375" style="247" customWidth="1"/>
    <col min="1794" max="1794" width="66.85546875" style="247" customWidth="1"/>
    <col min="1795" max="1795" width="19.5703125" style="247" customWidth="1"/>
    <col min="1796" max="1796" width="21.28515625" style="247" customWidth="1"/>
    <col min="1797" max="2048" width="11.42578125" style="247"/>
    <col min="2049" max="2049" width="20.7109375" style="247" customWidth="1"/>
    <col min="2050" max="2050" width="66.85546875" style="247" customWidth="1"/>
    <col min="2051" max="2051" width="19.5703125" style="247" customWidth="1"/>
    <col min="2052" max="2052" width="21.28515625" style="247" customWidth="1"/>
    <col min="2053" max="2304" width="11.42578125" style="247"/>
    <col min="2305" max="2305" width="20.7109375" style="247" customWidth="1"/>
    <col min="2306" max="2306" width="66.85546875" style="247" customWidth="1"/>
    <col min="2307" max="2307" width="19.5703125" style="247" customWidth="1"/>
    <col min="2308" max="2308" width="21.28515625" style="247" customWidth="1"/>
    <col min="2309" max="2560" width="11.42578125" style="247"/>
    <col min="2561" max="2561" width="20.7109375" style="247" customWidth="1"/>
    <col min="2562" max="2562" width="66.85546875" style="247" customWidth="1"/>
    <col min="2563" max="2563" width="19.5703125" style="247" customWidth="1"/>
    <col min="2564" max="2564" width="21.28515625" style="247" customWidth="1"/>
    <col min="2565" max="2816" width="11.42578125" style="247"/>
    <col min="2817" max="2817" width="20.7109375" style="247" customWidth="1"/>
    <col min="2818" max="2818" width="66.85546875" style="247" customWidth="1"/>
    <col min="2819" max="2819" width="19.5703125" style="247" customWidth="1"/>
    <col min="2820" max="2820" width="21.28515625" style="247" customWidth="1"/>
    <col min="2821" max="3072" width="11.42578125" style="247"/>
    <col min="3073" max="3073" width="20.7109375" style="247" customWidth="1"/>
    <col min="3074" max="3074" width="66.85546875" style="247" customWidth="1"/>
    <col min="3075" max="3075" width="19.5703125" style="247" customWidth="1"/>
    <col min="3076" max="3076" width="21.28515625" style="247" customWidth="1"/>
    <col min="3077" max="3328" width="11.42578125" style="247"/>
    <col min="3329" max="3329" width="20.7109375" style="247" customWidth="1"/>
    <col min="3330" max="3330" width="66.85546875" style="247" customWidth="1"/>
    <col min="3331" max="3331" width="19.5703125" style="247" customWidth="1"/>
    <col min="3332" max="3332" width="21.28515625" style="247" customWidth="1"/>
    <col min="3333" max="3584" width="11.42578125" style="247"/>
    <col min="3585" max="3585" width="20.7109375" style="247" customWidth="1"/>
    <col min="3586" max="3586" width="66.85546875" style="247" customWidth="1"/>
    <col min="3587" max="3587" width="19.5703125" style="247" customWidth="1"/>
    <col min="3588" max="3588" width="21.28515625" style="247" customWidth="1"/>
    <col min="3589" max="3840" width="11.42578125" style="247"/>
    <col min="3841" max="3841" width="20.7109375" style="247" customWidth="1"/>
    <col min="3842" max="3842" width="66.85546875" style="247" customWidth="1"/>
    <col min="3843" max="3843" width="19.5703125" style="247" customWidth="1"/>
    <col min="3844" max="3844" width="21.28515625" style="247" customWidth="1"/>
    <col min="3845" max="4096" width="11.42578125" style="247"/>
    <col min="4097" max="4097" width="20.7109375" style="247" customWidth="1"/>
    <col min="4098" max="4098" width="66.85546875" style="247" customWidth="1"/>
    <col min="4099" max="4099" width="19.5703125" style="247" customWidth="1"/>
    <col min="4100" max="4100" width="21.28515625" style="247" customWidth="1"/>
    <col min="4101" max="4352" width="11.42578125" style="247"/>
    <col min="4353" max="4353" width="20.7109375" style="247" customWidth="1"/>
    <col min="4354" max="4354" width="66.85546875" style="247" customWidth="1"/>
    <col min="4355" max="4355" width="19.5703125" style="247" customWidth="1"/>
    <col min="4356" max="4356" width="21.28515625" style="247" customWidth="1"/>
    <col min="4357" max="4608" width="11.42578125" style="247"/>
    <col min="4609" max="4609" width="20.7109375" style="247" customWidth="1"/>
    <col min="4610" max="4610" width="66.85546875" style="247" customWidth="1"/>
    <col min="4611" max="4611" width="19.5703125" style="247" customWidth="1"/>
    <col min="4612" max="4612" width="21.28515625" style="247" customWidth="1"/>
    <col min="4613" max="4864" width="11.42578125" style="247"/>
    <col min="4865" max="4865" width="20.7109375" style="247" customWidth="1"/>
    <col min="4866" max="4866" width="66.85546875" style="247" customWidth="1"/>
    <col min="4867" max="4867" width="19.5703125" style="247" customWidth="1"/>
    <col min="4868" max="4868" width="21.28515625" style="247" customWidth="1"/>
    <col min="4869" max="5120" width="11.42578125" style="247"/>
    <col min="5121" max="5121" width="20.7109375" style="247" customWidth="1"/>
    <col min="5122" max="5122" width="66.85546875" style="247" customWidth="1"/>
    <col min="5123" max="5123" width="19.5703125" style="247" customWidth="1"/>
    <col min="5124" max="5124" width="21.28515625" style="247" customWidth="1"/>
    <col min="5125" max="5376" width="11.42578125" style="247"/>
    <col min="5377" max="5377" width="20.7109375" style="247" customWidth="1"/>
    <col min="5378" max="5378" width="66.85546875" style="247" customWidth="1"/>
    <col min="5379" max="5379" width="19.5703125" style="247" customWidth="1"/>
    <col min="5380" max="5380" width="21.28515625" style="247" customWidth="1"/>
    <col min="5381" max="5632" width="11.42578125" style="247"/>
    <col min="5633" max="5633" width="20.7109375" style="247" customWidth="1"/>
    <col min="5634" max="5634" width="66.85546875" style="247" customWidth="1"/>
    <col min="5635" max="5635" width="19.5703125" style="247" customWidth="1"/>
    <col min="5636" max="5636" width="21.28515625" style="247" customWidth="1"/>
    <col min="5637" max="5888" width="11.42578125" style="247"/>
    <col min="5889" max="5889" width="20.7109375" style="247" customWidth="1"/>
    <col min="5890" max="5890" width="66.85546875" style="247" customWidth="1"/>
    <col min="5891" max="5891" width="19.5703125" style="247" customWidth="1"/>
    <col min="5892" max="5892" width="21.28515625" style="247" customWidth="1"/>
    <col min="5893" max="6144" width="11.42578125" style="247"/>
    <col min="6145" max="6145" width="20.7109375" style="247" customWidth="1"/>
    <col min="6146" max="6146" width="66.85546875" style="247" customWidth="1"/>
    <col min="6147" max="6147" width="19.5703125" style="247" customWidth="1"/>
    <col min="6148" max="6148" width="21.28515625" style="247" customWidth="1"/>
    <col min="6149" max="6400" width="11.42578125" style="247"/>
    <col min="6401" max="6401" width="20.7109375" style="247" customWidth="1"/>
    <col min="6402" max="6402" width="66.85546875" style="247" customWidth="1"/>
    <col min="6403" max="6403" width="19.5703125" style="247" customWidth="1"/>
    <col min="6404" max="6404" width="21.28515625" style="247" customWidth="1"/>
    <col min="6405" max="6656" width="11.42578125" style="247"/>
    <col min="6657" max="6657" width="20.7109375" style="247" customWidth="1"/>
    <col min="6658" max="6658" width="66.85546875" style="247" customWidth="1"/>
    <col min="6659" max="6659" width="19.5703125" style="247" customWidth="1"/>
    <col min="6660" max="6660" width="21.28515625" style="247" customWidth="1"/>
    <col min="6661" max="6912" width="11.42578125" style="247"/>
    <col min="6913" max="6913" width="20.7109375" style="247" customWidth="1"/>
    <col min="6914" max="6914" width="66.85546875" style="247" customWidth="1"/>
    <col min="6915" max="6915" width="19.5703125" style="247" customWidth="1"/>
    <col min="6916" max="6916" width="21.28515625" style="247" customWidth="1"/>
    <col min="6917" max="7168" width="11.42578125" style="247"/>
    <col min="7169" max="7169" width="20.7109375" style="247" customWidth="1"/>
    <col min="7170" max="7170" width="66.85546875" style="247" customWidth="1"/>
    <col min="7171" max="7171" width="19.5703125" style="247" customWidth="1"/>
    <col min="7172" max="7172" width="21.28515625" style="247" customWidth="1"/>
    <col min="7173" max="7424" width="11.42578125" style="247"/>
    <col min="7425" max="7425" width="20.7109375" style="247" customWidth="1"/>
    <col min="7426" max="7426" width="66.85546875" style="247" customWidth="1"/>
    <col min="7427" max="7427" width="19.5703125" style="247" customWidth="1"/>
    <col min="7428" max="7428" width="21.28515625" style="247" customWidth="1"/>
    <col min="7429" max="7680" width="11.42578125" style="247"/>
    <col min="7681" max="7681" width="20.7109375" style="247" customWidth="1"/>
    <col min="7682" max="7682" width="66.85546875" style="247" customWidth="1"/>
    <col min="7683" max="7683" width="19.5703125" style="247" customWidth="1"/>
    <col min="7684" max="7684" width="21.28515625" style="247" customWidth="1"/>
    <col min="7685" max="7936" width="11.42578125" style="247"/>
    <col min="7937" max="7937" width="20.7109375" style="247" customWidth="1"/>
    <col min="7938" max="7938" width="66.85546875" style="247" customWidth="1"/>
    <col min="7939" max="7939" width="19.5703125" style="247" customWidth="1"/>
    <col min="7940" max="7940" width="21.28515625" style="247" customWidth="1"/>
    <col min="7941" max="8192" width="11.42578125" style="247"/>
    <col min="8193" max="8193" width="20.7109375" style="247" customWidth="1"/>
    <col min="8194" max="8194" width="66.85546875" style="247" customWidth="1"/>
    <col min="8195" max="8195" width="19.5703125" style="247" customWidth="1"/>
    <col min="8196" max="8196" width="21.28515625" style="247" customWidth="1"/>
    <col min="8197" max="8448" width="11.42578125" style="247"/>
    <col min="8449" max="8449" width="20.7109375" style="247" customWidth="1"/>
    <col min="8450" max="8450" width="66.85546875" style="247" customWidth="1"/>
    <col min="8451" max="8451" width="19.5703125" style="247" customWidth="1"/>
    <col min="8452" max="8452" width="21.28515625" style="247" customWidth="1"/>
    <col min="8453" max="8704" width="11.42578125" style="247"/>
    <col min="8705" max="8705" width="20.7109375" style="247" customWidth="1"/>
    <col min="8706" max="8706" width="66.85546875" style="247" customWidth="1"/>
    <col min="8707" max="8707" width="19.5703125" style="247" customWidth="1"/>
    <col min="8708" max="8708" width="21.28515625" style="247" customWidth="1"/>
    <col min="8709" max="8960" width="11.42578125" style="247"/>
    <col min="8961" max="8961" width="20.7109375" style="247" customWidth="1"/>
    <col min="8962" max="8962" width="66.85546875" style="247" customWidth="1"/>
    <col min="8963" max="8963" width="19.5703125" style="247" customWidth="1"/>
    <col min="8964" max="8964" width="21.28515625" style="247" customWidth="1"/>
    <col min="8965" max="9216" width="11.42578125" style="247"/>
    <col min="9217" max="9217" width="20.7109375" style="247" customWidth="1"/>
    <col min="9218" max="9218" width="66.85546875" style="247" customWidth="1"/>
    <col min="9219" max="9219" width="19.5703125" style="247" customWidth="1"/>
    <col min="9220" max="9220" width="21.28515625" style="247" customWidth="1"/>
    <col min="9221" max="9472" width="11.42578125" style="247"/>
    <col min="9473" max="9473" width="20.7109375" style="247" customWidth="1"/>
    <col min="9474" max="9474" width="66.85546875" style="247" customWidth="1"/>
    <col min="9475" max="9475" width="19.5703125" style="247" customWidth="1"/>
    <col min="9476" max="9476" width="21.28515625" style="247" customWidth="1"/>
    <col min="9477" max="9728" width="11.42578125" style="247"/>
    <col min="9729" max="9729" width="20.7109375" style="247" customWidth="1"/>
    <col min="9730" max="9730" width="66.85546875" style="247" customWidth="1"/>
    <col min="9731" max="9731" width="19.5703125" style="247" customWidth="1"/>
    <col min="9732" max="9732" width="21.28515625" style="247" customWidth="1"/>
    <col min="9733" max="9984" width="11.42578125" style="247"/>
    <col min="9985" max="9985" width="20.7109375" style="247" customWidth="1"/>
    <col min="9986" max="9986" width="66.85546875" style="247" customWidth="1"/>
    <col min="9987" max="9987" width="19.5703125" style="247" customWidth="1"/>
    <col min="9988" max="9988" width="21.28515625" style="247" customWidth="1"/>
    <col min="9989" max="10240" width="11.42578125" style="247"/>
    <col min="10241" max="10241" width="20.7109375" style="247" customWidth="1"/>
    <col min="10242" max="10242" width="66.85546875" style="247" customWidth="1"/>
    <col min="10243" max="10243" width="19.5703125" style="247" customWidth="1"/>
    <col min="10244" max="10244" width="21.28515625" style="247" customWidth="1"/>
    <col min="10245" max="10496" width="11.42578125" style="247"/>
    <col min="10497" max="10497" width="20.7109375" style="247" customWidth="1"/>
    <col min="10498" max="10498" width="66.85546875" style="247" customWidth="1"/>
    <col min="10499" max="10499" width="19.5703125" style="247" customWidth="1"/>
    <col min="10500" max="10500" width="21.28515625" style="247" customWidth="1"/>
    <col min="10501" max="10752" width="11.42578125" style="247"/>
    <col min="10753" max="10753" width="20.7109375" style="247" customWidth="1"/>
    <col min="10754" max="10754" width="66.85546875" style="247" customWidth="1"/>
    <col min="10755" max="10755" width="19.5703125" style="247" customWidth="1"/>
    <col min="10756" max="10756" width="21.28515625" style="247" customWidth="1"/>
    <col min="10757" max="11008" width="11.42578125" style="247"/>
    <col min="11009" max="11009" width="20.7109375" style="247" customWidth="1"/>
    <col min="11010" max="11010" width="66.85546875" style="247" customWidth="1"/>
    <col min="11011" max="11011" width="19.5703125" style="247" customWidth="1"/>
    <col min="11012" max="11012" width="21.28515625" style="247" customWidth="1"/>
    <col min="11013" max="11264" width="11.42578125" style="247"/>
    <col min="11265" max="11265" width="20.7109375" style="247" customWidth="1"/>
    <col min="11266" max="11266" width="66.85546875" style="247" customWidth="1"/>
    <col min="11267" max="11267" width="19.5703125" style="247" customWidth="1"/>
    <col min="11268" max="11268" width="21.28515625" style="247" customWidth="1"/>
    <col min="11269" max="11520" width="11.42578125" style="247"/>
    <col min="11521" max="11521" width="20.7109375" style="247" customWidth="1"/>
    <col min="11522" max="11522" width="66.85546875" style="247" customWidth="1"/>
    <col min="11523" max="11523" width="19.5703125" style="247" customWidth="1"/>
    <col min="11524" max="11524" width="21.28515625" style="247" customWidth="1"/>
    <col min="11525" max="11776" width="11.42578125" style="247"/>
    <col min="11777" max="11777" width="20.7109375" style="247" customWidth="1"/>
    <col min="11778" max="11778" width="66.85546875" style="247" customWidth="1"/>
    <col min="11779" max="11779" width="19.5703125" style="247" customWidth="1"/>
    <col min="11780" max="11780" width="21.28515625" style="247" customWidth="1"/>
    <col min="11781" max="12032" width="11.42578125" style="247"/>
    <col min="12033" max="12033" width="20.7109375" style="247" customWidth="1"/>
    <col min="12034" max="12034" width="66.85546875" style="247" customWidth="1"/>
    <col min="12035" max="12035" width="19.5703125" style="247" customWidth="1"/>
    <col min="12036" max="12036" width="21.28515625" style="247" customWidth="1"/>
    <col min="12037" max="12288" width="11.42578125" style="247"/>
    <col min="12289" max="12289" width="20.7109375" style="247" customWidth="1"/>
    <col min="12290" max="12290" width="66.85546875" style="247" customWidth="1"/>
    <col min="12291" max="12291" width="19.5703125" style="247" customWidth="1"/>
    <col min="12292" max="12292" width="21.28515625" style="247" customWidth="1"/>
    <col min="12293" max="12544" width="11.42578125" style="247"/>
    <col min="12545" max="12545" width="20.7109375" style="247" customWidth="1"/>
    <col min="12546" max="12546" width="66.85546875" style="247" customWidth="1"/>
    <col min="12547" max="12547" width="19.5703125" style="247" customWidth="1"/>
    <col min="12548" max="12548" width="21.28515625" style="247" customWidth="1"/>
    <col min="12549" max="12800" width="11.42578125" style="247"/>
    <col min="12801" max="12801" width="20.7109375" style="247" customWidth="1"/>
    <col min="12802" max="12802" width="66.85546875" style="247" customWidth="1"/>
    <col min="12803" max="12803" width="19.5703125" style="247" customWidth="1"/>
    <col min="12804" max="12804" width="21.28515625" style="247" customWidth="1"/>
    <col min="12805" max="13056" width="11.42578125" style="247"/>
    <col min="13057" max="13057" width="20.7109375" style="247" customWidth="1"/>
    <col min="13058" max="13058" width="66.85546875" style="247" customWidth="1"/>
    <col min="13059" max="13059" width="19.5703125" style="247" customWidth="1"/>
    <col min="13060" max="13060" width="21.28515625" style="247" customWidth="1"/>
    <col min="13061" max="13312" width="11.42578125" style="247"/>
    <col min="13313" max="13313" width="20.7109375" style="247" customWidth="1"/>
    <col min="13314" max="13314" width="66.85546875" style="247" customWidth="1"/>
    <col min="13315" max="13315" width="19.5703125" style="247" customWidth="1"/>
    <col min="13316" max="13316" width="21.28515625" style="247" customWidth="1"/>
    <col min="13317" max="13568" width="11.42578125" style="247"/>
    <col min="13569" max="13569" width="20.7109375" style="247" customWidth="1"/>
    <col min="13570" max="13570" width="66.85546875" style="247" customWidth="1"/>
    <col min="13571" max="13571" width="19.5703125" style="247" customWidth="1"/>
    <col min="13572" max="13572" width="21.28515625" style="247" customWidth="1"/>
    <col min="13573" max="13824" width="11.42578125" style="247"/>
    <col min="13825" max="13825" width="20.7109375" style="247" customWidth="1"/>
    <col min="13826" max="13826" width="66.85546875" style="247" customWidth="1"/>
    <col min="13827" max="13827" width="19.5703125" style="247" customWidth="1"/>
    <col min="13828" max="13828" width="21.28515625" style="247" customWidth="1"/>
    <col min="13829" max="14080" width="11.42578125" style="247"/>
    <col min="14081" max="14081" width="20.7109375" style="247" customWidth="1"/>
    <col min="14082" max="14082" width="66.85546875" style="247" customWidth="1"/>
    <col min="14083" max="14083" width="19.5703125" style="247" customWidth="1"/>
    <col min="14084" max="14084" width="21.28515625" style="247" customWidth="1"/>
    <col min="14085" max="14336" width="11.42578125" style="247"/>
    <col min="14337" max="14337" width="20.7109375" style="247" customWidth="1"/>
    <col min="14338" max="14338" width="66.85546875" style="247" customWidth="1"/>
    <col min="14339" max="14339" width="19.5703125" style="247" customWidth="1"/>
    <col min="14340" max="14340" width="21.28515625" style="247" customWidth="1"/>
    <col min="14341" max="14592" width="11.42578125" style="247"/>
    <col min="14593" max="14593" width="20.7109375" style="247" customWidth="1"/>
    <col min="14594" max="14594" width="66.85546875" style="247" customWidth="1"/>
    <col min="14595" max="14595" width="19.5703125" style="247" customWidth="1"/>
    <col min="14596" max="14596" width="21.28515625" style="247" customWidth="1"/>
    <col min="14597" max="14848" width="11.42578125" style="247"/>
    <col min="14849" max="14849" width="20.7109375" style="247" customWidth="1"/>
    <col min="14850" max="14850" width="66.85546875" style="247" customWidth="1"/>
    <col min="14851" max="14851" width="19.5703125" style="247" customWidth="1"/>
    <col min="14852" max="14852" width="21.28515625" style="247" customWidth="1"/>
    <col min="14853" max="15104" width="11.42578125" style="247"/>
    <col min="15105" max="15105" width="20.7109375" style="247" customWidth="1"/>
    <col min="15106" max="15106" width="66.85546875" style="247" customWidth="1"/>
    <col min="15107" max="15107" width="19.5703125" style="247" customWidth="1"/>
    <col min="15108" max="15108" width="21.28515625" style="247" customWidth="1"/>
    <col min="15109" max="15360" width="11.42578125" style="247"/>
    <col min="15361" max="15361" width="20.7109375" style="247" customWidth="1"/>
    <col min="15362" max="15362" width="66.85546875" style="247" customWidth="1"/>
    <col min="15363" max="15363" width="19.5703125" style="247" customWidth="1"/>
    <col min="15364" max="15364" width="21.28515625" style="247" customWidth="1"/>
    <col min="15365" max="15616" width="11.42578125" style="247"/>
    <col min="15617" max="15617" width="20.7109375" style="247" customWidth="1"/>
    <col min="15618" max="15618" width="66.85546875" style="247" customWidth="1"/>
    <col min="15619" max="15619" width="19.5703125" style="247" customWidth="1"/>
    <col min="15620" max="15620" width="21.28515625" style="247" customWidth="1"/>
    <col min="15621" max="15872" width="11.42578125" style="247"/>
    <col min="15873" max="15873" width="20.7109375" style="247" customWidth="1"/>
    <col min="15874" max="15874" width="66.85546875" style="247" customWidth="1"/>
    <col min="15875" max="15875" width="19.5703125" style="247" customWidth="1"/>
    <col min="15876" max="15876" width="21.28515625" style="247" customWidth="1"/>
    <col min="15877" max="16128" width="11.42578125" style="247"/>
    <col min="16129" max="16129" width="20.7109375" style="247" customWidth="1"/>
    <col min="16130" max="16130" width="66.85546875" style="247" customWidth="1"/>
    <col min="16131" max="16131" width="19.5703125" style="247" customWidth="1"/>
    <col min="16132" max="16132" width="21.28515625" style="247" customWidth="1"/>
    <col min="16133" max="16384" width="11.42578125" style="247"/>
  </cols>
  <sheetData>
    <row r="6" spans="2:10" x14ac:dyDescent="0.25">
      <c r="B6" s="406" t="s">
        <v>106</v>
      </c>
      <c r="C6" s="406"/>
      <c r="D6" s="406"/>
      <c r="E6" s="406"/>
      <c r="F6" s="406"/>
      <c r="G6" s="406"/>
      <c r="H6" s="406"/>
      <c r="I6" s="406"/>
      <c r="J6" s="406"/>
    </row>
    <row r="7" spans="2:10" x14ac:dyDescent="0.25">
      <c r="E7" s="248"/>
      <c r="F7" s="248"/>
      <c r="G7" s="248"/>
      <c r="H7" s="248"/>
      <c r="I7" s="248"/>
      <c r="J7" s="248"/>
    </row>
    <row r="8" spans="2:10" x14ac:dyDescent="0.25">
      <c r="B8" s="407" t="s">
        <v>145</v>
      </c>
      <c r="C8" s="407"/>
      <c r="D8" s="407"/>
      <c r="E8" s="407"/>
      <c r="F8" s="407"/>
      <c r="G8" s="407"/>
      <c r="H8" s="407"/>
      <c r="I8" s="407"/>
      <c r="J8" s="407"/>
    </row>
    <row r="9" spans="2:10" x14ac:dyDescent="0.25">
      <c r="E9" s="249"/>
      <c r="F9" s="249"/>
      <c r="G9" s="249"/>
      <c r="H9" s="249"/>
      <c r="I9" s="249"/>
      <c r="J9" s="249"/>
    </row>
    <row r="10" spans="2:10" ht="13.5" thickBot="1" x14ac:dyDescent="0.3">
      <c r="E10" s="250"/>
      <c r="F10" s="250"/>
      <c r="G10" s="250"/>
      <c r="H10" s="250"/>
      <c r="I10" s="250"/>
      <c r="J10" s="250"/>
    </row>
    <row r="11" spans="2:10" ht="26.25" thickBot="1" x14ac:dyDescent="0.3">
      <c r="B11" s="251" t="s">
        <v>107</v>
      </c>
      <c r="C11" s="252" t="s">
        <v>108</v>
      </c>
      <c r="D11" s="252" t="s">
        <v>109</v>
      </c>
      <c r="E11" s="252" t="s">
        <v>110</v>
      </c>
      <c r="F11" s="252" t="s">
        <v>111</v>
      </c>
      <c r="G11" s="252" t="s">
        <v>112</v>
      </c>
      <c r="H11" s="252" t="s">
        <v>113</v>
      </c>
      <c r="I11" s="252" t="s">
        <v>320</v>
      </c>
      <c r="J11" s="253" t="s">
        <v>287</v>
      </c>
    </row>
    <row r="12" spans="2:10" ht="30" customHeight="1" thickBot="1" x14ac:dyDescent="0.3">
      <c r="B12" s="254">
        <v>1</v>
      </c>
      <c r="C12" s="255">
        <v>15841</v>
      </c>
      <c r="D12" s="256" t="s">
        <v>114</v>
      </c>
      <c r="E12" s="256" t="s">
        <v>115</v>
      </c>
      <c r="F12" s="255">
        <v>830004993</v>
      </c>
      <c r="G12" s="256" t="s">
        <v>116</v>
      </c>
      <c r="H12" s="257">
        <v>45291</v>
      </c>
      <c r="I12" s="258">
        <v>1003806848.2670219</v>
      </c>
      <c r="J12" s="259">
        <f>ROUND((I12*10%),0)</f>
        <v>100380685</v>
      </c>
    </row>
    <row r="13" spans="2:10" ht="30" customHeight="1" thickBot="1" x14ac:dyDescent="0.3">
      <c r="B13" s="254">
        <v>2</v>
      </c>
      <c r="C13" s="255">
        <v>15847</v>
      </c>
      <c r="D13" s="256" t="s">
        <v>114</v>
      </c>
      <c r="E13" s="256" t="s">
        <v>115</v>
      </c>
      <c r="F13" s="255">
        <v>830004993</v>
      </c>
      <c r="G13" s="256" t="s">
        <v>117</v>
      </c>
      <c r="H13" s="257">
        <v>45291</v>
      </c>
      <c r="I13" s="258">
        <v>1003806848.2670219</v>
      </c>
      <c r="J13" s="259">
        <f t="shared" ref="J13:J28" si="0">ROUND((I13*10%),0)</f>
        <v>100380685</v>
      </c>
    </row>
    <row r="14" spans="2:10" ht="30" customHeight="1" thickBot="1" x14ac:dyDescent="0.3">
      <c r="B14" s="254">
        <v>3</v>
      </c>
      <c r="C14" s="255">
        <v>15842</v>
      </c>
      <c r="D14" s="256" t="s">
        <v>114</v>
      </c>
      <c r="E14" s="256" t="s">
        <v>115</v>
      </c>
      <c r="F14" s="255">
        <v>830004993</v>
      </c>
      <c r="G14" s="256" t="s">
        <v>118</v>
      </c>
      <c r="H14" s="257">
        <v>45291</v>
      </c>
      <c r="I14" s="258">
        <v>1003806848.2670219</v>
      </c>
      <c r="J14" s="259">
        <f t="shared" si="0"/>
        <v>100380685</v>
      </c>
    </row>
    <row r="15" spans="2:10" ht="30" customHeight="1" thickBot="1" x14ac:dyDescent="0.3">
      <c r="B15" s="254">
        <v>4</v>
      </c>
      <c r="C15" s="255">
        <v>15855</v>
      </c>
      <c r="D15" s="256" t="s">
        <v>119</v>
      </c>
      <c r="E15" s="256" t="s">
        <v>115</v>
      </c>
      <c r="F15" s="255">
        <v>830004993</v>
      </c>
      <c r="G15" s="256" t="s">
        <v>120</v>
      </c>
      <c r="H15" s="257">
        <v>45291</v>
      </c>
      <c r="I15" s="258">
        <v>506835129.99243385</v>
      </c>
      <c r="J15" s="259">
        <f t="shared" si="0"/>
        <v>50683513</v>
      </c>
    </row>
    <row r="16" spans="2:10" ht="30" customHeight="1" thickBot="1" x14ac:dyDescent="0.3">
      <c r="B16" s="254">
        <v>5</v>
      </c>
      <c r="C16" s="255">
        <v>15858</v>
      </c>
      <c r="D16" s="256" t="s">
        <v>114</v>
      </c>
      <c r="E16" s="256" t="s">
        <v>121</v>
      </c>
      <c r="F16" s="255">
        <v>890903024</v>
      </c>
      <c r="G16" s="256" t="s">
        <v>122</v>
      </c>
      <c r="H16" s="257">
        <v>45291</v>
      </c>
      <c r="I16" s="258">
        <v>969489239.54308867</v>
      </c>
      <c r="J16" s="259">
        <f t="shared" si="0"/>
        <v>96948924</v>
      </c>
    </row>
    <row r="17" spans="2:10" ht="30" customHeight="1" thickBot="1" x14ac:dyDescent="0.3">
      <c r="B17" s="254">
        <v>6</v>
      </c>
      <c r="C17" s="255">
        <v>15913</v>
      </c>
      <c r="D17" s="256" t="s">
        <v>123</v>
      </c>
      <c r="E17" s="256" t="s">
        <v>124</v>
      </c>
      <c r="F17" s="255">
        <v>860001307</v>
      </c>
      <c r="G17" s="256" t="s">
        <v>125</v>
      </c>
      <c r="H17" s="257">
        <v>45291</v>
      </c>
      <c r="I17" s="258">
        <v>1231868367.4276602</v>
      </c>
      <c r="J17" s="259">
        <f t="shared" si="0"/>
        <v>123186837</v>
      </c>
    </row>
    <row r="18" spans="2:10" ht="30" customHeight="1" thickBot="1" x14ac:dyDescent="0.3">
      <c r="B18" s="254">
        <v>7</v>
      </c>
      <c r="C18" s="255">
        <v>15939</v>
      </c>
      <c r="D18" s="256" t="s">
        <v>126</v>
      </c>
      <c r="E18" s="256" t="s">
        <v>124</v>
      </c>
      <c r="F18" s="255">
        <v>860001307</v>
      </c>
      <c r="G18" s="256" t="s">
        <v>127</v>
      </c>
      <c r="H18" s="257">
        <v>45291</v>
      </c>
      <c r="I18" s="258">
        <v>494536176.91659975</v>
      </c>
      <c r="J18" s="259">
        <f t="shared" si="0"/>
        <v>49453618</v>
      </c>
    </row>
    <row r="19" spans="2:10" ht="30" customHeight="1" thickBot="1" x14ac:dyDescent="0.3">
      <c r="B19" s="254">
        <v>8</v>
      </c>
      <c r="C19" s="255">
        <v>15943</v>
      </c>
      <c r="D19" s="256" t="s">
        <v>126</v>
      </c>
      <c r="E19" s="256" t="s">
        <v>124</v>
      </c>
      <c r="F19" s="255">
        <v>860001307</v>
      </c>
      <c r="G19" s="256" t="s">
        <v>128</v>
      </c>
      <c r="H19" s="257">
        <v>45291</v>
      </c>
      <c r="I19" s="258">
        <v>496888088.69674611</v>
      </c>
      <c r="J19" s="259">
        <f t="shared" si="0"/>
        <v>49688809</v>
      </c>
    </row>
    <row r="20" spans="2:10" ht="30" customHeight="1" thickBot="1" x14ac:dyDescent="0.3">
      <c r="B20" s="254">
        <v>9</v>
      </c>
      <c r="C20" s="255">
        <v>16003</v>
      </c>
      <c r="D20" s="256" t="s">
        <v>126</v>
      </c>
      <c r="E20" s="256" t="s">
        <v>129</v>
      </c>
      <c r="F20" s="255">
        <v>830060331</v>
      </c>
      <c r="G20" s="256" t="s">
        <v>130</v>
      </c>
      <c r="H20" s="257">
        <v>45291</v>
      </c>
      <c r="I20" s="258">
        <v>487960474.14982927</v>
      </c>
      <c r="J20" s="259">
        <f t="shared" si="0"/>
        <v>48796047</v>
      </c>
    </row>
    <row r="21" spans="2:10" ht="30" customHeight="1" thickBot="1" x14ac:dyDescent="0.3">
      <c r="B21" s="254">
        <v>10</v>
      </c>
      <c r="C21" s="255">
        <v>16004</v>
      </c>
      <c r="D21" s="256" t="s">
        <v>131</v>
      </c>
      <c r="E21" s="256" t="s">
        <v>129</v>
      </c>
      <c r="F21" s="255">
        <v>830060331</v>
      </c>
      <c r="G21" s="256" t="s">
        <v>132</v>
      </c>
      <c r="H21" s="257">
        <v>45291</v>
      </c>
      <c r="I21" s="258">
        <v>512588545.92734849</v>
      </c>
      <c r="J21" s="259">
        <f t="shared" si="0"/>
        <v>51258855</v>
      </c>
    </row>
    <row r="22" spans="2:10" ht="30" customHeight="1" thickBot="1" x14ac:dyDescent="0.3">
      <c r="B22" s="254">
        <v>11</v>
      </c>
      <c r="C22" s="255">
        <v>16010</v>
      </c>
      <c r="D22" s="256" t="s">
        <v>123</v>
      </c>
      <c r="E22" s="256" t="s">
        <v>129</v>
      </c>
      <c r="F22" s="255">
        <v>830060331</v>
      </c>
      <c r="G22" s="256" t="s">
        <v>133</v>
      </c>
      <c r="H22" s="257">
        <v>45291</v>
      </c>
      <c r="I22" s="258">
        <v>1324584875.8228412</v>
      </c>
      <c r="J22" s="259">
        <f t="shared" si="0"/>
        <v>132458488</v>
      </c>
    </row>
    <row r="23" spans="2:10" ht="30" customHeight="1" thickBot="1" x14ac:dyDescent="0.3">
      <c r="B23" s="254">
        <v>12</v>
      </c>
      <c r="C23" s="255">
        <v>16094</v>
      </c>
      <c r="D23" s="256" t="s">
        <v>114</v>
      </c>
      <c r="E23" s="256" t="s">
        <v>124</v>
      </c>
      <c r="F23" s="255">
        <v>860001307</v>
      </c>
      <c r="G23" s="256" t="s">
        <v>134</v>
      </c>
      <c r="H23" s="257">
        <v>45385</v>
      </c>
      <c r="I23" s="258">
        <v>922210709.12403834</v>
      </c>
      <c r="J23" s="259">
        <f t="shared" si="0"/>
        <v>92221071</v>
      </c>
    </row>
    <row r="24" spans="2:10" ht="30" customHeight="1" thickBot="1" x14ac:dyDescent="0.3">
      <c r="B24" s="254">
        <v>13</v>
      </c>
      <c r="C24" s="255">
        <v>9561</v>
      </c>
      <c r="D24" s="256" t="s">
        <v>135</v>
      </c>
      <c r="E24" s="256" t="s">
        <v>136</v>
      </c>
      <c r="F24" s="255">
        <v>830116807</v>
      </c>
      <c r="G24" s="256" t="s">
        <v>137</v>
      </c>
      <c r="H24" s="257">
        <v>45291</v>
      </c>
      <c r="I24" s="258">
        <v>782523515.8619628</v>
      </c>
      <c r="J24" s="259">
        <f t="shared" si="0"/>
        <v>78252352</v>
      </c>
    </row>
    <row r="25" spans="2:10" ht="30" customHeight="1" thickBot="1" x14ac:dyDescent="0.3">
      <c r="B25" s="254">
        <v>14</v>
      </c>
      <c r="C25" s="255">
        <v>9562</v>
      </c>
      <c r="D25" s="256" t="s">
        <v>138</v>
      </c>
      <c r="E25" s="256" t="s">
        <v>136</v>
      </c>
      <c r="F25" s="255">
        <v>830116807</v>
      </c>
      <c r="G25" s="256" t="s">
        <v>139</v>
      </c>
      <c r="H25" s="257">
        <v>45291</v>
      </c>
      <c r="I25" s="258">
        <v>782523515.34963405</v>
      </c>
      <c r="J25" s="259">
        <f t="shared" si="0"/>
        <v>78252352</v>
      </c>
    </row>
    <row r="26" spans="2:10" ht="30" customHeight="1" thickBot="1" x14ac:dyDescent="0.3">
      <c r="B26" s="254">
        <v>15</v>
      </c>
      <c r="C26" s="255">
        <v>9563</v>
      </c>
      <c r="D26" s="256" t="s">
        <v>140</v>
      </c>
      <c r="E26" s="256" t="s">
        <v>136</v>
      </c>
      <c r="F26" s="255">
        <v>830116807</v>
      </c>
      <c r="G26" s="256" t="s">
        <v>141</v>
      </c>
      <c r="H26" s="257">
        <v>45291</v>
      </c>
      <c r="I26" s="258">
        <v>635333819.34005785</v>
      </c>
      <c r="J26" s="259">
        <f t="shared" si="0"/>
        <v>63533382</v>
      </c>
    </row>
    <row r="27" spans="2:10" ht="30" customHeight="1" thickBot="1" x14ac:dyDescent="0.3">
      <c r="B27" s="254">
        <v>16</v>
      </c>
      <c r="C27" s="255">
        <v>16013</v>
      </c>
      <c r="D27" s="256" t="s">
        <v>126</v>
      </c>
      <c r="E27" s="256" t="s">
        <v>124</v>
      </c>
      <c r="F27" s="255">
        <v>860001307</v>
      </c>
      <c r="G27" s="256" t="s">
        <v>142</v>
      </c>
      <c r="H27" s="257">
        <v>45280</v>
      </c>
      <c r="I27" s="258">
        <v>495901129.56663543</v>
      </c>
      <c r="J27" s="259">
        <f t="shared" si="0"/>
        <v>49590113</v>
      </c>
    </row>
    <row r="28" spans="2:10" ht="30" customHeight="1" thickBot="1" x14ac:dyDescent="0.3">
      <c r="B28" s="254">
        <v>17</v>
      </c>
      <c r="C28" s="255"/>
      <c r="D28" s="256" t="s">
        <v>293</v>
      </c>
      <c r="E28" s="256" t="s">
        <v>124</v>
      </c>
      <c r="F28" s="255"/>
      <c r="G28" s="256"/>
      <c r="H28" s="257"/>
      <c r="I28" s="258">
        <v>849826598.69589043</v>
      </c>
      <c r="J28" s="259">
        <f t="shared" si="0"/>
        <v>84982660</v>
      </c>
    </row>
    <row r="29" spans="2:10" ht="30" customHeight="1" thickBot="1" x14ac:dyDescent="0.3">
      <c r="B29" s="260"/>
      <c r="C29" s="261"/>
      <c r="D29" s="261"/>
      <c r="E29" s="262" t="s">
        <v>143</v>
      </c>
      <c r="F29" s="262"/>
      <c r="G29" s="262"/>
      <c r="H29" s="262"/>
      <c r="I29" s="263">
        <f>SUM(I12:I28)</f>
        <v>13504490731.21583</v>
      </c>
      <c r="J29" s="303">
        <f>SUM(J12:J28)/365*82</f>
        <v>303388559.53972602</v>
      </c>
    </row>
    <row r="30" spans="2:10" ht="13.5" thickBot="1" x14ac:dyDescent="0.3">
      <c r="D30" s="264"/>
      <c r="I30" s="265"/>
      <c r="J30" s="265"/>
    </row>
    <row r="31" spans="2:10" x14ac:dyDescent="0.25">
      <c r="E31" s="266"/>
      <c r="F31" s="267"/>
      <c r="G31" s="268"/>
      <c r="H31" s="268"/>
      <c r="I31" s="269"/>
      <c r="J31" s="270"/>
    </row>
    <row r="32" spans="2:10" x14ac:dyDescent="0.2">
      <c r="E32" s="271" t="s">
        <v>144</v>
      </c>
      <c r="F32" s="272"/>
      <c r="G32" s="273"/>
      <c r="H32" s="273"/>
      <c r="I32" s="274"/>
      <c r="J32" s="275">
        <f>I29+J29</f>
        <v>13807879290.755556</v>
      </c>
    </row>
    <row r="33" spans="5:10" ht="13.5" thickBot="1" x14ac:dyDescent="0.25">
      <c r="E33" s="276"/>
      <c r="F33" s="276"/>
      <c r="G33" s="277"/>
      <c r="H33" s="277"/>
      <c r="I33" s="277"/>
      <c r="J33" s="278"/>
    </row>
    <row r="34" spans="5:10" ht="13.5" thickBot="1" x14ac:dyDescent="0.3">
      <c r="E34" s="279" t="s">
        <v>235</v>
      </c>
      <c r="F34" s="280"/>
      <c r="G34" s="281"/>
    </row>
    <row r="35" spans="5:10" x14ac:dyDescent="0.25">
      <c r="E35" s="141" t="s">
        <v>336</v>
      </c>
    </row>
  </sheetData>
  <mergeCells count="2">
    <mergeCell ref="B6:J6"/>
    <mergeCell ref="B8:J8"/>
  </mergeCells>
  <printOptions horizontalCentered="1" verticalCentered="1"/>
  <pageMargins left="0.31496062992125984" right="0.31496062992125984" top="0.35433070866141736" bottom="0.35433070866141736" header="0" footer="0.31496062992125984"/>
  <pageSetup scale="4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9DB9E-FB09-4DF2-8C7F-EF02DF147B09}">
  <dimension ref="B1:E16"/>
  <sheetViews>
    <sheetView showGridLines="0" view="pageBreakPreview" topLeftCell="A11" zoomScale="90" zoomScaleNormal="100" zoomScaleSheetLayoutView="90" workbookViewId="0">
      <selection activeCell="E13" sqref="E13"/>
    </sheetView>
  </sheetViews>
  <sheetFormatPr baseColWidth="10" defaultColWidth="11.42578125" defaultRowHeight="12.75" x14ac:dyDescent="0.25"/>
  <cols>
    <col min="1" max="1" width="2.28515625" style="33" customWidth="1"/>
    <col min="2" max="2" width="7.7109375" style="33" customWidth="1"/>
    <col min="3" max="3" width="80" style="33" customWidth="1"/>
    <col min="4" max="4" width="16.140625" style="33" customWidth="1"/>
    <col min="5" max="5" width="17.7109375" style="33" customWidth="1"/>
    <col min="6" max="6" width="11.42578125" style="33"/>
    <col min="7" max="7" width="15" style="33" bestFit="1" customWidth="1"/>
    <col min="8" max="8" width="12.7109375" style="33" bestFit="1" customWidth="1"/>
    <col min="9" max="255" width="11.42578125" style="33"/>
    <col min="256" max="256" width="20.7109375" style="33" customWidth="1"/>
    <col min="257" max="257" width="66.85546875" style="33" customWidth="1"/>
    <col min="258" max="258" width="19.5703125" style="33" customWidth="1"/>
    <col min="259" max="259" width="21.28515625" style="33" customWidth="1"/>
    <col min="260" max="511" width="11.42578125" style="33"/>
    <col min="512" max="512" width="20.7109375" style="33" customWidth="1"/>
    <col min="513" max="513" width="66.85546875" style="33" customWidth="1"/>
    <col min="514" max="514" width="19.5703125" style="33" customWidth="1"/>
    <col min="515" max="515" width="21.28515625" style="33" customWidth="1"/>
    <col min="516" max="767" width="11.42578125" style="33"/>
    <col min="768" max="768" width="20.7109375" style="33" customWidth="1"/>
    <col min="769" max="769" width="66.85546875" style="33" customWidth="1"/>
    <col min="770" max="770" width="19.5703125" style="33" customWidth="1"/>
    <col min="771" max="771" width="21.28515625" style="33" customWidth="1"/>
    <col min="772" max="1023" width="11.42578125" style="33"/>
    <col min="1024" max="1024" width="20.7109375" style="33" customWidth="1"/>
    <col min="1025" max="1025" width="66.85546875" style="33" customWidth="1"/>
    <col min="1026" max="1026" width="19.5703125" style="33" customWidth="1"/>
    <col min="1027" max="1027" width="21.28515625" style="33" customWidth="1"/>
    <col min="1028" max="1279" width="11.42578125" style="33"/>
    <col min="1280" max="1280" width="20.7109375" style="33" customWidth="1"/>
    <col min="1281" max="1281" width="66.85546875" style="33" customWidth="1"/>
    <col min="1282" max="1282" width="19.5703125" style="33" customWidth="1"/>
    <col min="1283" max="1283" width="21.28515625" style="33" customWidth="1"/>
    <col min="1284" max="1535" width="11.42578125" style="33"/>
    <col min="1536" max="1536" width="20.7109375" style="33" customWidth="1"/>
    <col min="1537" max="1537" width="66.85546875" style="33" customWidth="1"/>
    <col min="1538" max="1538" width="19.5703125" style="33" customWidth="1"/>
    <col min="1539" max="1539" width="21.28515625" style="33" customWidth="1"/>
    <col min="1540" max="1791" width="11.42578125" style="33"/>
    <col min="1792" max="1792" width="20.7109375" style="33" customWidth="1"/>
    <col min="1793" max="1793" width="66.85546875" style="33" customWidth="1"/>
    <col min="1794" max="1794" width="19.5703125" style="33" customWidth="1"/>
    <col min="1795" max="1795" width="21.28515625" style="33" customWidth="1"/>
    <col min="1796" max="2047" width="11.42578125" style="33"/>
    <col min="2048" max="2048" width="20.7109375" style="33" customWidth="1"/>
    <col min="2049" max="2049" width="66.85546875" style="33" customWidth="1"/>
    <col min="2050" max="2050" width="19.5703125" style="33" customWidth="1"/>
    <col min="2051" max="2051" width="21.28515625" style="33" customWidth="1"/>
    <col min="2052" max="2303" width="11.42578125" style="33"/>
    <col min="2304" max="2304" width="20.7109375" style="33" customWidth="1"/>
    <col min="2305" max="2305" width="66.85546875" style="33" customWidth="1"/>
    <col min="2306" max="2306" width="19.5703125" style="33" customWidth="1"/>
    <col min="2307" max="2307" width="21.28515625" style="33" customWidth="1"/>
    <col min="2308" max="2559" width="11.42578125" style="33"/>
    <col min="2560" max="2560" width="20.7109375" style="33" customWidth="1"/>
    <col min="2561" max="2561" width="66.85546875" style="33" customWidth="1"/>
    <col min="2562" max="2562" width="19.5703125" style="33" customWidth="1"/>
    <col min="2563" max="2563" width="21.28515625" style="33" customWidth="1"/>
    <col min="2564" max="2815" width="11.42578125" style="33"/>
    <col min="2816" max="2816" width="20.7109375" style="33" customWidth="1"/>
    <col min="2817" max="2817" width="66.85546875" style="33" customWidth="1"/>
    <col min="2818" max="2818" width="19.5703125" style="33" customWidth="1"/>
    <col min="2819" max="2819" width="21.28515625" style="33" customWidth="1"/>
    <col min="2820" max="3071" width="11.42578125" style="33"/>
    <col min="3072" max="3072" width="20.7109375" style="33" customWidth="1"/>
    <col min="3073" max="3073" width="66.85546875" style="33" customWidth="1"/>
    <col min="3074" max="3074" width="19.5703125" style="33" customWidth="1"/>
    <col min="3075" max="3075" width="21.28515625" style="33" customWidth="1"/>
    <col min="3076" max="3327" width="11.42578125" style="33"/>
    <col min="3328" max="3328" width="20.7109375" style="33" customWidth="1"/>
    <col min="3329" max="3329" width="66.85546875" style="33" customWidth="1"/>
    <col min="3330" max="3330" width="19.5703125" style="33" customWidth="1"/>
    <col min="3331" max="3331" width="21.28515625" style="33" customWidth="1"/>
    <col min="3332" max="3583" width="11.42578125" style="33"/>
    <col min="3584" max="3584" width="20.7109375" style="33" customWidth="1"/>
    <col min="3585" max="3585" width="66.85546875" style="33" customWidth="1"/>
    <col min="3586" max="3586" width="19.5703125" style="33" customWidth="1"/>
    <col min="3587" max="3587" width="21.28515625" style="33" customWidth="1"/>
    <col min="3588" max="3839" width="11.42578125" style="33"/>
    <col min="3840" max="3840" width="20.7109375" style="33" customWidth="1"/>
    <col min="3841" max="3841" width="66.85546875" style="33" customWidth="1"/>
    <col min="3842" max="3842" width="19.5703125" style="33" customWidth="1"/>
    <col min="3843" max="3843" width="21.28515625" style="33" customWidth="1"/>
    <col min="3844" max="4095" width="11.42578125" style="33"/>
    <col min="4096" max="4096" width="20.7109375" style="33" customWidth="1"/>
    <col min="4097" max="4097" width="66.85546875" style="33" customWidth="1"/>
    <col min="4098" max="4098" width="19.5703125" style="33" customWidth="1"/>
    <col min="4099" max="4099" width="21.28515625" style="33" customWidth="1"/>
    <col min="4100" max="4351" width="11.42578125" style="33"/>
    <col min="4352" max="4352" width="20.7109375" style="33" customWidth="1"/>
    <col min="4353" max="4353" width="66.85546875" style="33" customWidth="1"/>
    <col min="4354" max="4354" width="19.5703125" style="33" customWidth="1"/>
    <col min="4355" max="4355" width="21.28515625" style="33" customWidth="1"/>
    <col min="4356" max="4607" width="11.42578125" style="33"/>
    <col min="4608" max="4608" width="20.7109375" style="33" customWidth="1"/>
    <col min="4609" max="4609" width="66.85546875" style="33" customWidth="1"/>
    <col min="4610" max="4610" width="19.5703125" style="33" customWidth="1"/>
    <col min="4611" max="4611" width="21.28515625" style="33" customWidth="1"/>
    <col min="4612" max="4863" width="11.42578125" style="33"/>
    <col min="4864" max="4864" width="20.7109375" style="33" customWidth="1"/>
    <col min="4865" max="4865" width="66.85546875" style="33" customWidth="1"/>
    <col min="4866" max="4866" width="19.5703125" style="33" customWidth="1"/>
    <col min="4867" max="4867" width="21.28515625" style="33" customWidth="1"/>
    <col min="4868" max="5119" width="11.42578125" style="33"/>
    <col min="5120" max="5120" width="20.7109375" style="33" customWidth="1"/>
    <col min="5121" max="5121" width="66.85546875" style="33" customWidth="1"/>
    <col min="5122" max="5122" width="19.5703125" style="33" customWidth="1"/>
    <col min="5123" max="5123" width="21.28515625" style="33" customWidth="1"/>
    <col min="5124" max="5375" width="11.42578125" style="33"/>
    <col min="5376" max="5376" width="20.7109375" style="33" customWidth="1"/>
    <col min="5377" max="5377" width="66.85546875" style="33" customWidth="1"/>
    <col min="5378" max="5378" width="19.5703125" style="33" customWidth="1"/>
    <col min="5379" max="5379" width="21.28515625" style="33" customWidth="1"/>
    <col min="5380" max="5631" width="11.42578125" style="33"/>
    <col min="5632" max="5632" width="20.7109375" style="33" customWidth="1"/>
    <col min="5633" max="5633" width="66.85546875" style="33" customWidth="1"/>
    <col min="5634" max="5634" width="19.5703125" style="33" customWidth="1"/>
    <col min="5635" max="5635" width="21.28515625" style="33" customWidth="1"/>
    <col min="5636" max="5887" width="11.42578125" style="33"/>
    <col min="5888" max="5888" width="20.7109375" style="33" customWidth="1"/>
    <col min="5889" max="5889" width="66.85546875" style="33" customWidth="1"/>
    <col min="5890" max="5890" width="19.5703125" style="33" customWidth="1"/>
    <col min="5891" max="5891" width="21.28515625" style="33" customWidth="1"/>
    <col min="5892" max="6143" width="11.42578125" style="33"/>
    <col min="6144" max="6144" width="20.7109375" style="33" customWidth="1"/>
    <col min="6145" max="6145" width="66.85546875" style="33" customWidth="1"/>
    <col min="6146" max="6146" width="19.5703125" style="33" customWidth="1"/>
    <col min="6147" max="6147" width="21.28515625" style="33" customWidth="1"/>
    <col min="6148" max="6399" width="11.42578125" style="33"/>
    <col min="6400" max="6400" width="20.7109375" style="33" customWidth="1"/>
    <col min="6401" max="6401" width="66.85546875" style="33" customWidth="1"/>
    <col min="6402" max="6402" width="19.5703125" style="33" customWidth="1"/>
    <col min="6403" max="6403" width="21.28515625" style="33" customWidth="1"/>
    <col min="6404" max="6655" width="11.42578125" style="33"/>
    <col min="6656" max="6656" width="20.7109375" style="33" customWidth="1"/>
    <col min="6657" max="6657" width="66.85546875" style="33" customWidth="1"/>
    <col min="6658" max="6658" width="19.5703125" style="33" customWidth="1"/>
    <col min="6659" max="6659" width="21.28515625" style="33" customWidth="1"/>
    <col min="6660" max="6911" width="11.42578125" style="33"/>
    <col min="6912" max="6912" width="20.7109375" style="33" customWidth="1"/>
    <col min="6913" max="6913" width="66.85546875" style="33" customWidth="1"/>
    <col min="6914" max="6914" width="19.5703125" style="33" customWidth="1"/>
    <col min="6915" max="6915" width="21.28515625" style="33" customWidth="1"/>
    <col min="6916" max="7167" width="11.42578125" style="33"/>
    <col min="7168" max="7168" width="20.7109375" style="33" customWidth="1"/>
    <col min="7169" max="7169" width="66.85546875" style="33" customWidth="1"/>
    <col min="7170" max="7170" width="19.5703125" style="33" customWidth="1"/>
    <col min="7171" max="7171" width="21.28515625" style="33" customWidth="1"/>
    <col min="7172" max="7423" width="11.42578125" style="33"/>
    <col min="7424" max="7424" width="20.7109375" style="33" customWidth="1"/>
    <col min="7425" max="7425" width="66.85546875" style="33" customWidth="1"/>
    <col min="7426" max="7426" width="19.5703125" style="33" customWidth="1"/>
    <col min="7427" max="7427" width="21.28515625" style="33" customWidth="1"/>
    <col min="7428" max="7679" width="11.42578125" style="33"/>
    <col min="7680" max="7680" width="20.7109375" style="33" customWidth="1"/>
    <col min="7681" max="7681" width="66.85546875" style="33" customWidth="1"/>
    <col min="7682" max="7682" width="19.5703125" style="33" customWidth="1"/>
    <col min="7683" max="7683" width="21.28515625" style="33" customWidth="1"/>
    <col min="7684" max="7935" width="11.42578125" style="33"/>
    <col min="7936" max="7936" width="20.7109375" style="33" customWidth="1"/>
    <col min="7937" max="7937" width="66.85546875" style="33" customWidth="1"/>
    <col min="7938" max="7938" width="19.5703125" style="33" customWidth="1"/>
    <col min="7939" max="7939" width="21.28515625" style="33" customWidth="1"/>
    <col min="7940" max="8191" width="11.42578125" style="33"/>
    <col min="8192" max="8192" width="20.7109375" style="33" customWidth="1"/>
    <col min="8193" max="8193" width="66.85546875" style="33" customWidth="1"/>
    <col min="8194" max="8194" width="19.5703125" style="33" customWidth="1"/>
    <col min="8195" max="8195" width="21.28515625" style="33" customWidth="1"/>
    <col min="8196" max="8447" width="11.42578125" style="33"/>
    <col min="8448" max="8448" width="20.7109375" style="33" customWidth="1"/>
    <col min="8449" max="8449" width="66.85546875" style="33" customWidth="1"/>
    <col min="8450" max="8450" width="19.5703125" style="33" customWidth="1"/>
    <col min="8451" max="8451" width="21.28515625" style="33" customWidth="1"/>
    <col min="8452" max="8703" width="11.42578125" style="33"/>
    <col min="8704" max="8704" width="20.7109375" style="33" customWidth="1"/>
    <col min="8705" max="8705" width="66.85546875" style="33" customWidth="1"/>
    <col min="8706" max="8706" width="19.5703125" style="33" customWidth="1"/>
    <col min="8707" max="8707" width="21.28515625" style="33" customWidth="1"/>
    <col min="8708" max="8959" width="11.42578125" style="33"/>
    <col min="8960" max="8960" width="20.7109375" style="33" customWidth="1"/>
    <col min="8961" max="8961" width="66.85546875" style="33" customWidth="1"/>
    <col min="8962" max="8962" width="19.5703125" style="33" customWidth="1"/>
    <col min="8963" max="8963" width="21.28515625" style="33" customWidth="1"/>
    <col min="8964" max="9215" width="11.42578125" style="33"/>
    <col min="9216" max="9216" width="20.7109375" style="33" customWidth="1"/>
    <col min="9217" max="9217" width="66.85546875" style="33" customWidth="1"/>
    <col min="9218" max="9218" width="19.5703125" style="33" customWidth="1"/>
    <col min="9219" max="9219" width="21.28515625" style="33" customWidth="1"/>
    <col min="9220" max="9471" width="11.42578125" style="33"/>
    <col min="9472" max="9472" width="20.7109375" style="33" customWidth="1"/>
    <col min="9473" max="9473" width="66.85546875" style="33" customWidth="1"/>
    <col min="9474" max="9474" width="19.5703125" style="33" customWidth="1"/>
    <col min="9475" max="9475" width="21.28515625" style="33" customWidth="1"/>
    <col min="9476" max="9727" width="11.42578125" style="33"/>
    <col min="9728" max="9728" width="20.7109375" style="33" customWidth="1"/>
    <col min="9729" max="9729" width="66.85546875" style="33" customWidth="1"/>
    <col min="9730" max="9730" width="19.5703125" style="33" customWidth="1"/>
    <col min="9731" max="9731" width="21.28515625" style="33" customWidth="1"/>
    <col min="9732" max="9983" width="11.42578125" style="33"/>
    <col min="9984" max="9984" width="20.7109375" style="33" customWidth="1"/>
    <col min="9985" max="9985" width="66.85546875" style="33" customWidth="1"/>
    <col min="9986" max="9986" width="19.5703125" style="33" customWidth="1"/>
    <col min="9987" max="9987" width="21.28515625" style="33" customWidth="1"/>
    <col min="9988" max="10239" width="11.42578125" style="33"/>
    <col min="10240" max="10240" width="20.7109375" style="33" customWidth="1"/>
    <col min="10241" max="10241" width="66.85546875" style="33" customWidth="1"/>
    <col min="10242" max="10242" width="19.5703125" style="33" customWidth="1"/>
    <col min="10243" max="10243" width="21.28515625" style="33" customWidth="1"/>
    <col min="10244" max="10495" width="11.42578125" style="33"/>
    <col min="10496" max="10496" width="20.7109375" style="33" customWidth="1"/>
    <col min="10497" max="10497" width="66.85546875" style="33" customWidth="1"/>
    <col min="10498" max="10498" width="19.5703125" style="33" customWidth="1"/>
    <col min="10499" max="10499" width="21.28515625" style="33" customWidth="1"/>
    <col min="10500" max="10751" width="11.42578125" style="33"/>
    <col min="10752" max="10752" width="20.7109375" style="33" customWidth="1"/>
    <col min="10753" max="10753" width="66.85546875" style="33" customWidth="1"/>
    <col min="10754" max="10754" width="19.5703125" style="33" customWidth="1"/>
    <col min="10755" max="10755" width="21.28515625" style="33" customWidth="1"/>
    <col min="10756" max="11007" width="11.42578125" style="33"/>
    <col min="11008" max="11008" width="20.7109375" style="33" customWidth="1"/>
    <col min="11009" max="11009" width="66.85546875" style="33" customWidth="1"/>
    <col min="11010" max="11010" width="19.5703125" style="33" customWidth="1"/>
    <col min="11011" max="11011" width="21.28515625" style="33" customWidth="1"/>
    <col min="11012" max="11263" width="11.42578125" style="33"/>
    <col min="11264" max="11264" width="20.7109375" style="33" customWidth="1"/>
    <col min="11265" max="11265" width="66.85546875" style="33" customWidth="1"/>
    <col min="11266" max="11266" width="19.5703125" style="33" customWidth="1"/>
    <col min="11267" max="11267" width="21.28515625" style="33" customWidth="1"/>
    <col min="11268" max="11519" width="11.42578125" style="33"/>
    <col min="11520" max="11520" width="20.7109375" style="33" customWidth="1"/>
    <col min="11521" max="11521" width="66.85546875" style="33" customWidth="1"/>
    <col min="11522" max="11522" width="19.5703125" style="33" customWidth="1"/>
    <col min="11523" max="11523" width="21.28515625" style="33" customWidth="1"/>
    <col min="11524" max="11775" width="11.42578125" style="33"/>
    <col min="11776" max="11776" width="20.7109375" style="33" customWidth="1"/>
    <col min="11777" max="11777" width="66.85546875" style="33" customWidth="1"/>
    <col min="11778" max="11778" width="19.5703125" style="33" customWidth="1"/>
    <col min="11779" max="11779" width="21.28515625" style="33" customWidth="1"/>
    <col min="11780" max="12031" width="11.42578125" style="33"/>
    <col min="12032" max="12032" width="20.7109375" style="33" customWidth="1"/>
    <col min="12033" max="12033" width="66.85546875" style="33" customWidth="1"/>
    <col min="12034" max="12034" width="19.5703125" style="33" customWidth="1"/>
    <col min="12035" max="12035" width="21.28515625" style="33" customWidth="1"/>
    <col min="12036" max="12287" width="11.42578125" style="33"/>
    <col min="12288" max="12288" width="20.7109375" style="33" customWidth="1"/>
    <col min="12289" max="12289" width="66.85546875" style="33" customWidth="1"/>
    <col min="12290" max="12290" width="19.5703125" style="33" customWidth="1"/>
    <col min="12291" max="12291" width="21.28515625" style="33" customWidth="1"/>
    <col min="12292" max="12543" width="11.42578125" style="33"/>
    <col min="12544" max="12544" width="20.7109375" style="33" customWidth="1"/>
    <col min="12545" max="12545" width="66.85546875" style="33" customWidth="1"/>
    <col min="12546" max="12546" width="19.5703125" style="33" customWidth="1"/>
    <col min="12547" max="12547" width="21.28515625" style="33" customWidth="1"/>
    <col min="12548" max="12799" width="11.42578125" style="33"/>
    <col min="12800" max="12800" width="20.7109375" style="33" customWidth="1"/>
    <col min="12801" max="12801" width="66.85546875" style="33" customWidth="1"/>
    <col min="12802" max="12802" width="19.5703125" style="33" customWidth="1"/>
    <col min="12803" max="12803" width="21.28515625" style="33" customWidth="1"/>
    <col min="12804" max="13055" width="11.42578125" style="33"/>
    <col min="13056" max="13056" width="20.7109375" style="33" customWidth="1"/>
    <col min="13057" max="13057" width="66.85546875" style="33" customWidth="1"/>
    <col min="13058" max="13058" width="19.5703125" style="33" customWidth="1"/>
    <col min="13059" max="13059" width="21.28515625" style="33" customWidth="1"/>
    <col min="13060" max="13311" width="11.42578125" style="33"/>
    <col min="13312" max="13312" width="20.7109375" style="33" customWidth="1"/>
    <col min="13313" max="13313" width="66.85546875" style="33" customWidth="1"/>
    <col min="13314" max="13314" width="19.5703125" style="33" customWidth="1"/>
    <col min="13315" max="13315" width="21.28515625" style="33" customWidth="1"/>
    <col min="13316" max="13567" width="11.42578125" style="33"/>
    <col min="13568" max="13568" width="20.7109375" style="33" customWidth="1"/>
    <col min="13569" max="13569" width="66.85546875" style="33" customWidth="1"/>
    <col min="13570" max="13570" width="19.5703125" style="33" customWidth="1"/>
    <col min="13571" max="13571" width="21.28515625" style="33" customWidth="1"/>
    <col min="13572" max="13823" width="11.42578125" style="33"/>
    <col min="13824" max="13824" width="20.7109375" style="33" customWidth="1"/>
    <col min="13825" max="13825" width="66.85546875" style="33" customWidth="1"/>
    <col min="13826" max="13826" width="19.5703125" style="33" customWidth="1"/>
    <col min="13827" max="13827" width="21.28515625" style="33" customWidth="1"/>
    <col min="13828" max="14079" width="11.42578125" style="33"/>
    <col min="14080" max="14080" width="20.7109375" style="33" customWidth="1"/>
    <col min="14081" max="14081" width="66.85546875" style="33" customWidth="1"/>
    <col min="14082" max="14082" width="19.5703125" style="33" customWidth="1"/>
    <col min="14083" max="14083" width="21.28515625" style="33" customWidth="1"/>
    <col min="14084" max="14335" width="11.42578125" style="33"/>
    <col min="14336" max="14336" width="20.7109375" style="33" customWidth="1"/>
    <col min="14337" max="14337" width="66.85546875" style="33" customWidth="1"/>
    <col min="14338" max="14338" width="19.5703125" style="33" customWidth="1"/>
    <col min="14339" max="14339" width="21.28515625" style="33" customWidth="1"/>
    <col min="14340" max="14591" width="11.42578125" style="33"/>
    <col min="14592" max="14592" width="20.7109375" style="33" customWidth="1"/>
    <col min="14593" max="14593" width="66.85546875" style="33" customWidth="1"/>
    <col min="14594" max="14594" width="19.5703125" style="33" customWidth="1"/>
    <col min="14595" max="14595" width="21.28515625" style="33" customWidth="1"/>
    <col min="14596" max="14847" width="11.42578125" style="33"/>
    <col min="14848" max="14848" width="20.7109375" style="33" customWidth="1"/>
    <col min="14849" max="14849" width="66.85546875" style="33" customWidth="1"/>
    <col min="14850" max="14850" width="19.5703125" style="33" customWidth="1"/>
    <col min="14851" max="14851" width="21.28515625" style="33" customWidth="1"/>
    <col min="14852" max="15103" width="11.42578125" style="33"/>
    <col min="15104" max="15104" width="20.7109375" style="33" customWidth="1"/>
    <col min="15105" max="15105" width="66.85546875" style="33" customWidth="1"/>
    <col min="15106" max="15106" width="19.5703125" style="33" customWidth="1"/>
    <col min="15107" max="15107" width="21.28515625" style="33" customWidth="1"/>
    <col min="15108" max="15359" width="11.42578125" style="33"/>
    <col min="15360" max="15360" width="20.7109375" style="33" customWidth="1"/>
    <col min="15361" max="15361" width="66.85546875" style="33" customWidth="1"/>
    <col min="15362" max="15362" width="19.5703125" style="33" customWidth="1"/>
    <col min="15363" max="15363" width="21.28515625" style="33" customWidth="1"/>
    <col min="15364" max="15615" width="11.42578125" style="33"/>
    <col min="15616" max="15616" width="20.7109375" style="33" customWidth="1"/>
    <col min="15617" max="15617" width="66.85546875" style="33" customWidth="1"/>
    <col min="15618" max="15618" width="19.5703125" style="33" customWidth="1"/>
    <col min="15619" max="15619" width="21.28515625" style="33" customWidth="1"/>
    <col min="15620" max="15871" width="11.42578125" style="33"/>
    <col min="15872" max="15872" width="20.7109375" style="33" customWidth="1"/>
    <col min="15873" max="15873" width="66.85546875" style="33" customWidth="1"/>
    <col min="15874" max="15874" width="19.5703125" style="33" customWidth="1"/>
    <col min="15875" max="15875" width="21.28515625" style="33" customWidth="1"/>
    <col min="15876" max="16127" width="11.42578125" style="33"/>
    <col min="16128" max="16128" width="20.7109375" style="33" customWidth="1"/>
    <col min="16129" max="16129" width="66.85546875" style="33" customWidth="1"/>
    <col min="16130" max="16130" width="19.5703125" style="33" customWidth="1"/>
    <col min="16131" max="16131" width="21.28515625" style="33" customWidth="1"/>
    <col min="16132" max="16384" width="11.42578125" style="33"/>
  </cols>
  <sheetData>
    <row r="1" spans="2:5" ht="14.85" customHeight="1" x14ac:dyDescent="0.25"/>
    <row r="2" spans="2:5" ht="28.5" customHeight="1" x14ac:dyDescent="0.25"/>
    <row r="3" spans="2:5" ht="27" customHeight="1" x14ac:dyDescent="0.25"/>
    <row r="4" spans="2:5" ht="14.85" customHeight="1" x14ac:dyDescent="0.25"/>
    <row r="5" spans="2:5" ht="35.25" customHeight="1" x14ac:dyDescent="0.25">
      <c r="B5" s="398" t="s">
        <v>58</v>
      </c>
      <c r="C5" s="398"/>
      <c r="D5" s="398"/>
      <c r="E5" s="398"/>
    </row>
    <row r="6" spans="2:5" ht="24" customHeight="1" x14ac:dyDescent="0.25">
      <c r="B6" s="408" t="s">
        <v>59</v>
      </c>
      <c r="C6" s="408"/>
      <c r="D6" s="408"/>
      <c r="E6" s="408"/>
    </row>
    <row r="7" spans="2:5" ht="20.85" customHeight="1" thickBot="1" x14ac:dyDescent="0.3">
      <c r="B7" s="400" t="s">
        <v>146</v>
      </c>
      <c r="C7" s="400"/>
      <c r="D7" s="400"/>
      <c r="E7" s="400"/>
    </row>
    <row r="8" spans="2:5" ht="36" customHeight="1" thickBot="1" x14ac:dyDescent="0.3">
      <c r="B8" s="401" t="s">
        <v>147</v>
      </c>
      <c r="C8" s="402"/>
      <c r="D8" s="402"/>
      <c r="E8" s="403"/>
    </row>
    <row r="9" spans="2:5" ht="33" x14ac:dyDescent="0.25">
      <c r="B9" s="35" t="s">
        <v>108</v>
      </c>
      <c r="C9" s="36" t="s">
        <v>148</v>
      </c>
      <c r="D9" s="34" t="s">
        <v>1</v>
      </c>
      <c r="E9" s="34" t="s">
        <v>288</v>
      </c>
    </row>
    <row r="10" spans="2:5" ht="115.5" customHeight="1" x14ac:dyDescent="0.25">
      <c r="B10" s="37" t="s">
        <v>149</v>
      </c>
      <c r="C10" s="38" t="s">
        <v>150</v>
      </c>
      <c r="D10" s="296">
        <v>9366965.1090014707</v>
      </c>
      <c r="E10" s="40">
        <f>(D10*5%)</f>
        <v>468348.25545007357</v>
      </c>
    </row>
    <row r="11" spans="2:5" ht="129" customHeight="1" x14ac:dyDescent="0.25">
      <c r="B11" s="37" t="s">
        <v>151</v>
      </c>
      <c r="C11" s="38" t="s">
        <v>152</v>
      </c>
      <c r="D11" s="296">
        <v>9366965.1090014707</v>
      </c>
      <c r="E11" s="40">
        <f>(D11*5%)</f>
        <v>468348.25545007357</v>
      </c>
    </row>
    <row r="12" spans="2:5" ht="150" customHeight="1" thickBot="1" x14ac:dyDescent="0.3">
      <c r="B12" s="37" t="s">
        <v>153</v>
      </c>
      <c r="C12" s="38" t="s">
        <v>154</v>
      </c>
      <c r="D12" s="297">
        <v>1101995.9569050579</v>
      </c>
      <c r="E12" s="40">
        <f>(D12*5%)</f>
        <v>55099.797845252899</v>
      </c>
    </row>
    <row r="13" spans="2:5" ht="17.25" thickBot="1" x14ac:dyDescent="0.3">
      <c r="B13" s="41"/>
      <c r="C13" s="42" t="s">
        <v>155</v>
      </c>
      <c r="D13" s="43">
        <f>SUM(D10:D12)</f>
        <v>19835926.174908001</v>
      </c>
      <c r="E13" s="307">
        <f>SUM(E10:E12)/365*82</f>
        <v>222814.51319759674</v>
      </c>
    </row>
    <row r="14" spans="2:5" ht="18.75" thickBot="1" x14ac:dyDescent="0.3">
      <c r="B14" s="44"/>
      <c r="C14" s="45" t="s">
        <v>156</v>
      </c>
      <c r="D14" s="409">
        <f>D13+E13</f>
        <v>20058740.688105598</v>
      </c>
      <c r="E14" s="410"/>
    </row>
    <row r="15" spans="2:5" x14ac:dyDescent="0.25">
      <c r="C15" s="141" t="s">
        <v>337</v>
      </c>
    </row>
    <row r="16" spans="2:5" ht="6" customHeight="1" x14ac:dyDescent="0.25">
      <c r="C16"/>
    </row>
  </sheetData>
  <mergeCells count="5">
    <mergeCell ref="B5:E5"/>
    <mergeCell ref="B6:E6"/>
    <mergeCell ref="B7:E7"/>
    <mergeCell ref="B8:E8"/>
    <mergeCell ref="D14:E14"/>
  </mergeCells>
  <printOptions horizontalCentered="1" verticalCentered="1"/>
  <pageMargins left="0.31496062992125984" right="0.31496062992125984" top="0.35433070866141736" bottom="0.35433070866141736" header="0.31496062992125984" footer="0.31496062992125984"/>
  <pageSetup scale="8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68039-8E34-4267-8ED8-0761D3ED13A9}">
  <sheetPr>
    <tabColor rgb="FFFF0000"/>
  </sheetPr>
  <dimension ref="A2:W19"/>
  <sheetViews>
    <sheetView view="pageBreakPreview" topLeftCell="A6" zoomScaleNormal="100" zoomScaleSheetLayoutView="100" workbookViewId="0">
      <selection activeCell="N16" sqref="N16"/>
    </sheetView>
  </sheetViews>
  <sheetFormatPr baseColWidth="10" defaultColWidth="11.42578125" defaultRowHeight="15" x14ac:dyDescent="0.25"/>
  <cols>
    <col min="1" max="1" width="5" style="2" customWidth="1"/>
    <col min="2" max="2" width="9.42578125" style="2" customWidth="1"/>
    <col min="3" max="3" width="17.85546875" style="2" customWidth="1"/>
    <col min="4" max="4" width="16.7109375" style="2" customWidth="1"/>
    <col min="5" max="5" width="10.7109375" style="2" customWidth="1"/>
    <col min="6" max="6" width="17.140625" style="2" customWidth="1"/>
    <col min="7" max="7" width="22" style="2" customWidth="1"/>
    <col min="8" max="8" width="20.5703125" style="2" hidden="1" customWidth="1"/>
    <col min="9" max="9" width="15.140625" style="2" bestFit="1" customWidth="1"/>
    <col min="10" max="10" width="13.7109375" style="2" customWidth="1"/>
    <col min="11" max="11" width="7.5703125" style="2" customWidth="1"/>
    <col min="12" max="13" width="11.42578125" style="2" customWidth="1"/>
    <col min="14" max="14" width="14.5703125" style="2" customWidth="1"/>
    <col min="15" max="15" width="17.85546875" style="2" customWidth="1"/>
    <col min="16" max="16" width="28" style="2" hidden="1" customWidth="1"/>
    <col min="17" max="17" width="9.5703125" style="2" customWidth="1"/>
    <col min="18" max="18" width="12" style="2" customWidth="1"/>
    <col min="19" max="19" width="19.85546875" style="2" customWidth="1"/>
    <col min="20" max="20" width="7.42578125" style="2" hidden="1" customWidth="1"/>
    <col min="21" max="22" width="14.140625" style="2" hidden="1" customWidth="1"/>
    <col min="23" max="23" width="15.140625" style="2" hidden="1" customWidth="1"/>
    <col min="24" max="16384" width="11.42578125" style="2"/>
  </cols>
  <sheetData>
    <row r="2" spans="1:23" ht="29.25" customHeight="1" x14ac:dyDescent="0.25"/>
    <row r="3" spans="1:23" ht="33" customHeight="1" x14ac:dyDescent="0.3">
      <c r="A3" s="412" t="s">
        <v>36</v>
      </c>
      <c r="B3" s="412"/>
      <c r="C3" s="412"/>
      <c r="D3" s="412"/>
      <c r="E3" s="412"/>
      <c r="F3" s="412"/>
      <c r="G3" s="412"/>
      <c r="H3" s="412"/>
      <c r="I3" s="412"/>
      <c r="J3" s="412"/>
      <c r="K3" s="412"/>
      <c r="L3" s="412"/>
      <c r="M3" s="412"/>
      <c r="N3" s="412"/>
      <c r="O3" s="412"/>
      <c r="P3" s="412"/>
      <c r="Q3" s="412"/>
      <c r="R3" s="412"/>
      <c r="S3" s="412"/>
      <c r="T3" s="412"/>
      <c r="U3" s="412"/>
      <c r="V3" s="412"/>
      <c r="W3" s="412"/>
    </row>
    <row r="4" spans="1:23" ht="20.25" x14ac:dyDescent="0.3">
      <c r="A4" s="413"/>
      <c r="B4" s="413"/>
      <c r="C4" s="413"/>
      <c r="D4" s="413"/>
      <c r="E4" s="413"/>
      <c r="F4" s="413"/>
      <c r="G4" s="413"/>
      <c r="H4" s="413"/>
      <c r="I4" s="413"/>
      <c r="J4" s="413"/>
      <c r="K4" s="413"/>
      <c r="L4" s="413"/>
      <c r="M4" s="413"/>
      <c r="N4" s="413"/>
      <c r="O4" s="413"/>
      <c r="P4" s="413"/>
      <c r="Q4" s="413"/>
      <c r="R4" s="413"/>
      <c r="S4" s="413"/>
      <c r="T4" s="413"/>
      <c r="U4" s="413"/>
      <c r="V4" s="413"/>
      <c r="W4" s="413"/>
    </row>
    <row r="5" spans="1:23" ht="18.75" thickBot="1" x14ac:dyDescent="0.3">
      <c r="A5" s="414" t="s">
        <v>319</v>
      </c>
      <c r="B5" s="414"/>
      <c r="C5" s="414"/>
      <c r="D5" s="414"/>
      <c r="E5" s="414"/>
      <c r="F5" s="414"/>
      <c r="G5" s="414"/>
      <c r="H5" s="414"/>
      <c r="I5" s="414"/>
      <c r="J5" s="414"/>
      <c r="K5" s="414"/>
      <c r="L5" s="414"/>
      <c r="M5" s="414"/>
      <c r="N5" s="414"/>
      <c r="O5" s="414"/>
      <c r="P5" s="414"/>
      <c r="Q5" s="414"/>
      <c r="R5" s="414"/>
      <c r="S5" s="414"/>
      <c r="T5" s="414"/>
      <c r="U5" s="414"/>
      <c r="V5" s="414"/>
      <c r="W5" s="414"/>
    </row>
    <row r="6" spans="1:23" ht="33.75" thickBot="1" x14ac:dyDescent="0.3">
      <c r="B6" s="3" t="s">
        <v>37</v>
      </c>
      <c r="C6" s="3" t="s">
        <v>5</v>
      </c>
      <c r="D6" s="3" t="s">
        <v>316</v>
      </c>
      <c r="E6" s="3" t="s">
        <v>38</v>
      </c>
      <c r="F6" s="3" t="s">
        <v>6</v>
      </c>
      <c r="G6" s="104" t="s">
        <v>7</v>
      </c>
      <c r="H6" s="107" t="s">
        <v>39</v>
      </c>
      <c r="I6" s="107" t="s">
        <v>8</v>
      </c>
      <c r="J6" s="107" t="s">
        <v>9</v>
      </c>
      <c r="K6" s="107" t="s">
        <v>10</v>
      </c>
      <c r="L6" s="108" t="s">
        <v>40</v>
      </c>
      <c r="M6" s="109" t="s">
        <v>13</v>
      </c>
      <c r="N6" s="109" t="s">
        <v>14</v>
      </c>
      <c r="O6" s="110" t="s">
        <v>41</v>
      </c>
      <c r="P6" s="110" t="s">
        <v>11</v>
      </c>
      <c r="Q6" s="110" t="s">
        <v>12</v>
      </c>
      <c r="R6" s="109" t="s">
        <v>42</v>
      </c>
      <c r="S6" s="109" t="s">
        <v>340</v>
      </c>
      <c r="T6" s="109" t="s">
        <v>43</v>
      </c>
      <c r="U6" s="111" t="s">
        <v>15</v>
      </c>
      <c r="V6" s="111" t="s">
        <v>2</v>
      </c>
      <c r="W6" s="111" t="s">
        <v>44</v>
      </c>
    </row>
    <row r="7" spans="1:23" ht="50.1" customHeight="1" thickBot="1" x14ac:dyDescent="0.35">
      <c r="B7" s="4">
        <v>1</v>
      </c>
      <c r="C7" s="1">
        <v>1011897</v>
      </c>
      <c r="D7" s="1" t="s">
        <v>45</v>
      </c>
      <c r="E7" s="5" t="s">
        <v>46</v>
      </c>
      <c r="F7" s="5" t="s">
        <v>16</v>
      </c>
      <c r="G7" s="105" t="s">
        <v>17</v>
      </c>
      <c r="H7" s="112" t="s">
        <v>17</v>
      </c>
      <c r="I7" s="112" t="s">
        <v>18</v>
      </c>
      <c r="J7" s="112" t="s">
        <v>19</v>
      </c>
      <c r="K7" s="113">
        <v>2008</v>
      </c>
      <c r="L7" s="113" t="s">
        <v>47</v>
      </c>
      <c r="M7" s="324">
        <v>46352</v>
      </c>
      <c r="N7" s="324">
        <f>M7+82</f>
        <v>46434</v>
      </c>
      <c r="O7" s="112" t="s">
        <v>48</v>
      </c>
      <c r="P7" s="115" t="s">
        <v>20</v>
      </c>
      <c r="Q7" s="113">
        <v>2494</v>
      </c>
      <c r="R7" s="113">
        <v>9021027</v>
      </c>
      <c r="S7" s="229">
        <v>77700000</v>
      </c>
      <c r="T7" s="116">
        <v>5.5</v>
      </c>
      <c r="U7" s="117">
        <f>S7*T7/100</f>
        <v>4273500</v>
      </c>
      <c r="V7" s="117">
        <f>U7*19/100</f>
        <v>811965</v>
      </c>
      <c r="W7" s="117">
        <f>U7+V7</f>
        <v>5085465</v>
      </c>
    </row>
    <row r="8" spans="1:23" ht="50.1" customHeight="1" thickBot="1" x14ac:dyDescent="0.35">
      <c r="B8" s="4">
        <v>2</v>
      </c>
      <c r="C8" s="1">
        <v>1011897</v>
      </c>
      <c r="D8" s="1" t="s">
        <v>45</v>
      </c>
      <c r="E8" s="5" t="s">
        <v>49</v>
      </c>
      <c r="F8" s="5" t="s">
        <v>21</v>
      </c>
      <c r="G8" s="105" t="s">
        <v>22</v>
      </c>
      <c r="H8" s="112" t="s">
        <v>22</v>
      </c>
      <c r="I8" s="112" t="s">
        <v>18</v>
      </c>
      <c r="J8" s="112" t="s">
        <v>23</v>
      </c>
      <c r="K8" s="113">
        <v>2017</v>
      </c>
      <c r="L8" s="113" t="s">
        <v>47</v>
      </c>
      <c r="M8" s="324">
        <v>46352</v>
      </c>
      <c r="N8" s="324">
        <f t="shared" ref="N8:N11" si="0">M8+82</f>
        <v>46434</v>
      </c>
      <c r="O8" s="112" t="s">
        <v>48</v>
      </c>
      <c r="P8" s="115" t="s">
        <v>24</v>
      </c>
      <c r="Q8" s="113">
        <v>2694</v>
      </c>
      <c r="R8" s="113">
        <v>9006160</v>
      </c>
      <c r="S8" s="299">
        <v>134800000</v>
      </c>
      <c r="T8" s="116"/>
      <c r="U8" s="117"/>
      <c r="V8" s="117"/>
      <c r="W8" s="117"/>
    </row>
    <row r="9" spans="1:23" ht="50.1" customHeight="1" thickBot="1" x14ac:dyDescent="0.3">
      <c r="B9" s="4">
        <v>3</v>
      </c>
      <c r="C9" s="1">
        <v>1011897</v>
      </c>
      <c r="D9" s="1" t="s">
        <v>45</v>
      </c>
      <c r="E9" s="5" t="s">
        <v>244</v>
      </c>
      <c r="F9" s="142">
        <v>27091031070093</v>
      </c>
      <c r="G9" s="105" t="s">
        <v>245</v>
      </c>
      <c r="H9" s="112" t="s">
        <v>245</v>
      </c>
      <c r="I9" s="112" t="s">
        <v>246</v>
      </c>
      <c r="J9" s="112" t="s">
        <v>247</v>
      </c>
      <c r="K9" s="113">
        <v>2017</v>
      </c>
      <c r="L9" s="113" t="s">
        <v>256</v>
      </c>
      <c r="M9" s="324">
        <v>46352</v>
      </c>
      <c r="N9" s="324">
        <f t="shared" si="0"/>
        <v>46434</v>
      </c>
      <c r="O9" s="112" t="s">
        <v>257</v>
      </c>
      <c r="P9" s="112" t="s">
        <v>257</v>
      </c>
      <c r="Q9" s="113">
        <v>1600</v>
      </c>
      <c r="R9" s="144" t="s">
        <v>260</v>
      </c>
      <c r="S9" s="299">
        <v>91000000</v>
      </c>
      <c r="T9" s="116"/>
      <c r="U9" s="117"/>
      <c r="V9" s="117"/>
      <c r="W9" s="117"/>
    </row>
    <row r="10" spans="1:23" ht="50.1" customHeight="1" thickBot="1" x14ac:dyDescent="0.3">
      <c r="B10" s="4">
        <v>4</v>
      </c>
      <c r="C10" s="1">
        <v>1011897</v>
      </c>
      <c r="D10" s="1" t="s">
        <v>45</v>
      </c>
      <c r="E10" s="5" t="s">
        <v>248</v>
      </c>
      <c r="F10" s="142" t="s">
        <v>249</v>
      </c>
      <c r="G10" s="105" t="s">
        <v>250</v>
      </c>
      <c r="H10" s="112" t="s">
        <v>250</v>
      </c>
      <c r="I10" s="112" t="s">
        <v>251</v>
      </c>
      <c r="J10" s="112" t="s">
        <v>252</v>
      </c>
      <c r="K10" s="113">
        <v>2013</v>
      </c>
      <c r="L10" s="113" t="s">
        <v>256</v>
      </c>
      <c r="M10" s="324">
        <v>46352</v>
      </c>
      <c r="N10" s="324">
        <f t="shared" si="0"/>
        <v>46434</v>
      </c>
      <c r="O10" s="112" t="s">
        <v>258</v>
      </c>
      <c r="P10" s="112" t="s">
        <v>258</v>
      </c>
      <c r="Q10" s="113">
        <v>1999</v>
      </c>
      <c r="R10" s="144" t="s">
        <v>261</v>
      </c>
      <c r="S10" s="299">
        <v>84300000</v>
      </c>
      <c r="T10" s="116"/>
      <c r="U10" s="117"/>
      <c r="V10" s="117"/>
      <c r="W10" s="117"/>
    </row>
    <row r="11" spans="1:23" ht="50.1" customHeight="1" thickBot="1" x14ac:dyDescent="0.3">
      <c r="B11" s="4">
        <v>5</v>
      </c>
      <c r="C11" s="1">
        <v>1011897</v>
      </c>
      <c r="D11" s="1" t="s">
        <v>45</v>
      </c>
      <c r="E11" s="5" t="s">
        <v>253</v>
      </c>
      <c r="F11" s="143">
        <v>27091030781385</v>
      </c>
      <c r="G11" s="105" t="s">
        <v>254</v>
      </c>
      <c r="H11" s="112" t="s">
        <v>254</v>
      </c>
      <c r="I11" s="112" t="s">
        <v>246</v>
      </c>
      <c r="J11" s="112" t="s">
        <v>255</v>
      </c>
      <c r="K11" s="113">
        <v>2016</v>
      </c>
      <c r="L11" s="113" t="s">
        <v>256</v>
      </c>
      <c r="M11" s="324">
        <v>46352</v>
      </c>
      <c r="N11" s="324">
        <f t="shared" si="0"/>
        <v>46434</v>
      </c>
      <c r="O11" s="112" t="s">
        <v>259</v>
      </c>
      <c r="P11" s="112" t="s">
        <v>284</v>
      </c>
      <c r="Q11" s="113">
        <v>1595</v>
      </c>
      <c r="R11" s="144" t="s">
        <v>262</v>
      </c>
      <c r="S11" s="299">
        <v>87700000</v>
      </c>
      <c r="T11" s="116">
        <v>5.5</v>
      </c>
      <c r="U11" s="117">
        <f>S11*T11/100</f>
        <v>4823500</v>
      </c>
      <c r="V11" s="117">
        <f>U11*19/100</f>
        <v>916465</v>
      </c>
      <c r="W11" s="117">
        <f>U11+V11</f>
        <v>5739965</v>
      </c>
    </row>
    <row r="12" spans="1:23" ht="12.75" customHeight="1" thickBot="1" x14ac:dyDescent="0.35">
      <c r="B12" s="8"/>
      <c r="C12" s="9"/>
      <c r="D12" s="9"/>
      <c r="E12" s="10"/>
      <c r="F12" s="10"/>
      <c r="G12" s="10"/>
      <c r="H12" s="118"/>
      <c r="I12" s="411" t="s">
        <v>234</v>
      </c>
      <c r="J12" s="411"/>
      <c r="K12" s="411"/>
      <c r="L12" s="411"/>
      <c r="M12" s="411"/>
      <c r="N12" s="411"/>
      <c r="O12" s="411"/>
      <c r="P12" s="411"/>
      <c r="Q12" s="411"/>
      <c r="R12" s="121"/>
      <c r="S12" s="232">
        <f>SUM(S7:S11)</f>
        <v>475500000</v>
      </c>
      <c r="T12" s="121"/>
      <c r="U12" s="121">
        <f>SUM(U7:U11)</f>
        <v>9097000</v>
      </c>
      <c r="V12" s="121">
        <f>SUM(V7:V11)</f>
        <v>1728430</v>
      </c>
      <c r="W12" s="121">
        <f>SUM(W7:W11)</f>
        <v>10825430</v>
      </c>
    </row>
    <row r="13" spans="1:23" ht="50.1" customHeight="1" thickBot="1" x14ac:dyDescent="0.35">
      <c r="B13" s="4">
        <v>1</v>
      </c>
      <c r="C13" s="1">
        <v>1011898</v>
      </c>
      <c r="D13" s="1" t="s">
        <v>50</v>
      </c>
      <c r="E13" s="5" t="s">
        <v>51</v>
      </c>
      <c r="F13" s="5">
        <v>99134798</v>
      </c>
      <c r="G13" s="105" t="s">
        <v>25</v>
      </c>
      <c r="H13" s="112" t="s">
        <v>25</v>
      </c>
      <c r="I13" s="112" t="s">
        <v>26</v>
      </c>
      <c r="J13" s="112" t="s">
        <v>27</v>
      </c>
      <c r="K13" s="113">
        <v>2024</v>
      </c>
      <c r="L13" s="113" t="s">
        <v>47</v>
      </c>
      <c r="M13" s="324">
        <v>46352</v>
      </c>
      <c r="N13" s="324">
        <f t="shared" ref="N13:N16" si="1">M13+82</f>
        <v>46434</v>
      </c>
      <c r="O13" s="112" t="s">
        <v>52</v>
      </c>
      <c r="P13" s="115" t="s">
        <v>28</v>
      </c>
      <c r="Q13" s="113">
        <v>6700</v>
      </c>
      <c r="R13" s="113">
        <v>3626107</v>
      </c>
      <c r="S13" s="229">
        <v>462800000</v>
      </c>
      <c r="T13" s="116">
        <v>5.5</v>
      </c>
      <c r="U13" s="117">
        <f t="shared" ref="U13:U16" si="2">S13*T13/100</f>
        <v>25454000</v>
      </c>
      <c r="V13" s="117">
        <f t="shared" ref="V13:V16" si="3">U13*19/100</f>
        <v>4836260</v>
      </c>
      <c r="W13" s="117">
        <f t="shared" ref="W13:W16" si="4">U13+V13</f>
        <v>30290260</v>
      </c>
    </row>
    <row r="14" spans="1:23" ht="50.1" customHeight="1" thickBot="1" x14ac:dyDescent="0.35">
      <c r="B14" s="4">
        <v>2</v>
      </c>
      <c r="C14" s="1">
        <v>1011898</v>
      </c>
      <c r="D14" s="1" t="s">
        <v>50</v>
      </c>
      <c r="E14" s="5" t="s">
        <v>53</v>
      </c>
      <c r="F14" s="5">
        <v>99133359</v>
      </c>
      <c r="G14" s="105" t="s">
        <v>29</v>
      </c>
      <c r="H14" s="112" t="s">
        <v>29</v>
      </c>
      <c r="I14" s="112" t="s">
        <v>26</v>
      </c>
      <c r="J14" s="112" t="s">
        <v>27</v>
      </c>
      <c r="K14" s="113">
        <v>2024</v>
      </c>
      <c r="L14" s="113" t="s">
        <v>47</v>
      </c>
      <c r="M14" s="324">
        <v>46352</v>
      </c>
      <c r="N14" s="324">
        <f t="shared" si="1"/>
        <v>46434</v>
      </c>
      <c r="O14" s="112" t="s">
        <v>52</v>
      </c>
      <c r="P14" s="115" t="s">
        <v>28</v>
      </c>
      <c r="Q14" s="113">
        <v>6700</v>
      </c>
      <c r="R14" s="113">
        <v>3626107</v>
      </c>
      <c r="S14" s="229">
        <v>462800000</v>
      </c>
      <c r="T14" s="116">
        <v>5.5</v>
      </c>
      <c r="U14" s="117">
        <f t="shared" si="2"/>
        <v>25454000</v>
      </c>
      <c r="V14" s="117">
        <f t="shared" si="3"/>
        <v>4836260</v>
      </c>
      <c r="W14" s="117">
        <f t="shared" si="4"/>
        <v>30290260</v>
      </c>
    </row>
    <row r="15" spans="1:23" ht="50.1" customHeight="1" thickBot="1" x14ac:dyDescent="0.35">
      <c r="B15" s="4">
        <v>3</v>
      </c>
      <c r="C15" s="1">
        <v>1011898</v>
      </c>
      <c r="D15" s="1" t="s">
        <v>50</v>
      </c>
      <c r="E15" s="5" t="s">
        <v>54</v>
      </c>
      <c r="F15" s="5">
        <v>93165101</v>
      </c>
      <c r="G15" s="105" t="s">
        <v>30</v>
      </c>
      <c r="H15" s="112" t="s">
        <v>30</v>
      </c>
      <c r="I15" s="112" t="s">
        <v>31</v>
      </c>
      <c r="J15" s="112" t="s">
        <v>32</v>
      </c>
      <c r="K15" s="113">
        <v>2024</v>
      </c>
      <c r="L15" s="113" t="s">
        <v>47</v>
      </c>
      <c r="M15" s="324">
        <v>46352</v>
      </c>
      <c r="N15" s="324">
        <f t="shared" si="1"/>
        <v>46434</v>
      </c>
      <c r="O15" s="112" t="s">
        <v>52</v>
      </c>
      <c r="P15" s="115" t="s">
        <v>28</v>
      </c>
      <c r="Q15" s="113">
        <v>6690</v>
      </c>
      <c r="R15" s="113">
        <v>18965024</v>
      </c>
      <c r="S15" s="229">
        <v>317100000</v>
      </c>
      <c r="T15" s="116">
        <v>5.5</v>
      </c>
      <c r="U15" s="117">
        <f t="shared" si="2"/>
        <v>17440500</v>
      </c>
      <c r="V15" s="117">
        <f t="shared" si="3"/>
        <v>3313695</v>
      </c>
      <c r="W15" s="117">
        <f t="shared" si="4"/>
        <v>20754195</v>
      </c>
    </row>
    <row r="16" spans="1:23" ht="50.1" customHeight="1" thickBot="1" x14ac:dyDescent="0.35">
      <c r="B16" s="6">
        <v>4</v>
      </c>
      <c r="C16" s="1">
        <v>1011898</v>
      </c>
      <c r="D16" s="1" t="s">
        <v>50</v>
      </c>
      <c r="E16" s="7" t="s">
        <v>55</v>
      </c>
      <c r="F16" s="7">
        <v>93165098</v>
      </c>
      <c r="G16" s="106" t="s">
        <v>33</v>
      </c>
      <c r="H16" s="112" t="s">
        <v>33</v>
      </c>
      <c r="I16" s="112" t="s">
        <v>31</v>
      </c>
      <c r="J16" s="112" t="s">
        <v>32</v>
      </c>
      <c r="K16" s="113">
        <v>2024</v>
      </c>
      <c r="L16" s="113" t="s">
        <v>47</v>
      </c>
      <c r="M16" s="324">
        <v>46352</v>
      </c>
      <c r="N16" s="324">
        <f t="shared" si="1"/>
        <v>46434</v>
      </c>
      <c r="O16" s="112" t="s">
        <v>52</v>
      </c>
      <c r="P16" s="115" t="s">
        <v>28</v>
      </c>
      <c r="Q16" s="113">
        <v>6690</v>
      </c>
      <c r="R16" s="113">
        <v>18965024</v>
      </c>
      <c r="S16" s="229">
        <v>317100000</v>
      </c>
      <c r="T16" s="116">
        <v>5.5</v>
      </c>
      <c r="U16" s="117">
        <f t="shared" si="2"/>
        <v>17440500</v>
      </c>
      <c r="V16" s="117">
        <f t="shared" si="3"/>
        <v>3313695</v>
      </c>
      <c r="W16" s="117">
        <f t="shared" si="4"/>
        <v>20754195</v>
      </c>
    </row>
    <row r="17" spans="2:23" ht="12.75" customHeight="1" thickBot="1" x14ac:dyDescent="0.35">
      <c r="B17" s="8"/>
      <c r="C17" s="9"/>
      <c r="D17" s="9"/>
      <c r="E17" s="10"/>
      <c r="F17" s="10"/>
      <c r="G17" s="10"/>
      <c r="H17" s="118"/>
      <c r="I17" s="411" t="s">
        <v>233</v>
      </c>
      <c r="J17" s="411"/>
      <c r="K17" s="411"/>
      <c r="L17" s="411"/>
      <c r="M17" s="411"/>
      <c r="N17" s="411"/>
      <c r="O17" s="411"/>
      <c r="P17" s="411"/>
      <c r="Q17" s="411"/>
      <c r="R17" s="119"/>
      <c r="S17" s="232">
        <f>SUM(S13:S16)</f>
        <v>1559800000</v>
      </c>
      <c r="T17" s="121"/>
      <c r="U17" s="121">
        <f>SUM(U13:U16)</f>
        <v>85789000</v>
      </c>
      <c r="V17" s="121">
        <f>SUM(V13:V16)</f>
        <v>16299910</v>
      </c>
      <c r="W17" s="121">
        <f>SUM(W13:W16)</f>
        <v>102088910</v>
      </c>
    </row>
    <row r="18" spans="2:23" ht="37.5" customHeight="1" thickBot="1" x14ac:dyDescent="0.35">
      <c r="B18" s="8"/>
      <c r="C18" s="9"/>
      <c r="D18" s="9"/>
      <c r="E18" s="10"/>
      <c r="F18" s="10"/>
      <c r="G18" s="10"/>
      <c r="H18" s="118"/>
      <c r="I18" s="411" t="s">
        <v>232</v>
      </c>
      <c r="J18" s="411"/>
      <c r="K18" s="411"/>
      <c r="L18" s="411"/>
      <c r="M18" s="411"/>
      <c r="N18" s="411"/>
      <c r="O18" s="411"/>
      <c r="P18" s="411"/>
      <c r="Q18" s="411"/>
      <c r="R18" s="119"/>
      <c r="S18" s="233">
        <f>S12+S17</f>
        <v>2035300000</v>
      </c>
      <c r="T18" s="119"/>
      <c r="U18" s="120">
        <f>U12+U17</f>
        <v>94886000</v>
      </c>
      <c r="V18" s="120">
        <f>V12+V17</f>
        <v>18028340</v>
      </c>
      <c r="W18" s="120">
        <f>W12+W17</f>
        <v>112914340</v>
      </c>
    </row>
    <row r="19" spans="2:23" x14ac:dyDescent="0.25">
      <c r="B19" s="141" t="s">
        <v>338</v>
      </c>
      <c r="I19" s="141"/>
    </row>
  </sheetData>
  <mergeCells count="6">
    <mergeCell ref="I18:Q18"/>
    <mergeCell ref="A3:W3"/>
    <mergeCell ref="A4:W4"/>
    <mergeCell ref="A5:W5"/>
    <mergeCell ref="I17:Q17"/>
    <mergeCell ref="I12:Q12"/>
  </mergeCells>
  <dataValidations count="3">
    <dataValidation type="whole" allowBlank="1" showInputMessage="1" showErrorMessage="1" errorTitle="Error Modelo" error="Digite años iguales o mayores a 1970" promptTitle="Modelo" prompt="Modelos iguales o mayores a 1970" sqref="K13:K16" xr:uid="{600AF8EE-D44E-42CA-8190-8EF5FC86B574}">
      <formula1>1970</formula1>
      <formula2>YEAR(TODAY())+1</formula2>
    </dataValidation>
    <dataValidation type="list" allowBlank="1" showInputMessage="1" showErrorMessage="1" sqref="L13:L16 L7:L11" xr:uid="{62F518D3-142D-4559-9629-427FDA5DC3AA}">
      <formula1>Servicio</formula1>
    </dataValidation>
    <dataValidation type="list" allowBlank="1" showInputMessage="1" showErrorMessage="1" sqref="P13:P16 P7:P8" xr:uid="{68EA64A3-7B17-4969-BFCC-21C7324AA3B7}">
      <formula1>INDIRECT(SUBSTITUTE(O7&amp;"subtipo"," ",""))</formula1>
    </dataValidation>
  </dataValidations>
  <printOptions horizontalCentered="1" verticalCentered="1"/>
  <pageMargins left="0.70866141732283472" right="0.70866141732283472" top="0.74803149606299213" bottom="0.55118110236220474" header="0.31496062992125984" footer="0.31496062992125984"/>
  <pageSetup paperSize="9" scale="53"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20CA6-51DE-4216-9E90-6AECB8C7271C}">
  <sheetPr>
    <tabColor rgb="FFFF0000"/>
  </sheetPr>
  <dimension ref="A2:W18"/>
  <sheetViews>
    <sheetView tabSelected="1" view="pageBreakPreview" topLeftCell="E3" zoomScaleNormal="100" zoomScaleSheetLayoutView="100" workbookViewId="0">
      <selection activeCell="L7" sqref="L7"/>
    </sheetView>
  </sheetViews>
  <sheetFormatPr baseColWidth="10" defaultColWidth="11.42578125" defaultRowHeight="15" x14ac:dyDescent="0.25"/>
  <cols>
    <col min="1" max="1" width="5" style="2" customWidth="1"/>
    <col min="2" max="2" width="9.42578125" style="2" customWidth="1"/>
    <col min="3" max="3" width="16.140625" style="2" customWidth="1"/>
    <col min="4" max="4" width="18" style="2" hidden="1" customWidth="1"/>
    <col min="5" max="5" width="15.28515625" style="2" customWidth="1"/>
    <col min="6" max="6" width="16.140625" style="2" bestFit="1" customWidth="1"/>
    <col min="7" max="7" width="22" style="2" customWidth="1"/>
    <col min="8" max="8" width="20.5703125" style="2" hidden="1" customWidth="1"/>
    <col min="9" max="9" width="13.28515625" style="2" customWidth="1"/>
    <col min="10" max="10" width="13.7109375" style="2" customWidth="1"/>
    <col min="11" max="11" width="7.5703125" style="2" customWidth="1"/>
    <col min="12" max="13" width="11.42578125" style="2" customWidth="1"/>
    <col min="14" max="14" width="14.5703125" style="2" customWidth="1"/>
    <col min="15" max="15" width="7.42578125" style="2" customWidth="1"/>
    <col min="16" max="16" width="17.85546875" style="2" customWidth="1"/>
    <col min="17" max="17" width="28" style="2" hidden="1" customWidth="1"/>
    <col min="18" max="18" width="9.5703125" style="2" bestFit="1" customWidth="1"/>
    <col min="19" max="19" width="9.5703125" style="2" customWidth="1"/>
    <col min="20" max="21" width="17.7109375" style="2" customWidth="1"/>
    <col min="22" max="22" width="15.140625" style="2" customWidth="1"/>
    <col min="23" max="23" width="18.28515625" style="2" customWidth="1"/>
    <col min="24" max="16384" width="11.42578125" style="2"/>
  </cols>
  <sheetData>
    <row r="2" spans="1:23" ht="29.25" customHeight="1" x14ac:dyDescent="0.25"/>
    <row r="3" spans="1:23" ht="33" customHeight="1" x14ac:dyDescent="0.3">
      <c r="A3" s="412" t="s">
        <v>36</v>
      </c>
      <c r="B3" s="412"/>
      <c r="C3" s="412"/>
      <c r="D3" s="412"/>
      <c r="E3" s="412"/>
      <c r="F3" s="412"/>
      <c r="G3" s="412"/>
      <c r="H3" s="412"/>
      <c r="I3" s="412"/>
      <c r="J3" s="412"/>
      <c r="K3" s="412"/>
      <c r="L3" s="412"/>
      <c r="M3" s="412"/>
      <c r="N3" s="412"/>
      <c r="O3" s="412"/>
      <c r="P3" s="412"/>
      <c r="Q3" s="412"/>
      <c r="R3" s="412"/>
      <c r="S3" s="412"/>
      <c r="T3" s="412"/>
      <c r="U3" s="412"/>
      <c r="V3" s="412"/>
      <c r="W3" s="412"/>
    </row>
    <row r="4" spans="1:23" ht="20.25" x14ac:dyDescent="0.3">
      <c r="A4" s="413"/>
      <c r="B4" s="413"/>
      <c r="C4" s="413"/>
      <c r="D4" s="413"/>
      <c r="E4" s="413"/>
      <c r="F4" s="413"/>
      <c r="G4" s="413"/>
      <c r="H4" s="413"/>
      <c r="I4" s="413"/>
      <c r="J4" s="413"/>
      <c r="K4" s="413"/>
      <c r="L4" s="413"/>
      <c r="M4" s="413"/>
      <c r="N4" s="413"/>
      <c r="O4" s="413"/>
      <c r="P4" s="413"/>
      <c r="Q4" s="413"/>
      <c r="R4" s="413"/>
      <c r="S4" s="413"/>
      <c r="T4" s="413"/>
      <c r="U4" s="413"/>
      <c r="V4" s="413"/>
      <c r="W4" s="413"/>
    </row>
    <row r="5" spans="1:23" ht="18.75" thickBot="1" x14ac:dyDescent="0.3">
      <c r="A5" s="414" t="s">
        <v>294</v>
      </c>
      <c r="B5" s="414"/>
      <c r="C5" s="414"/>
      <c r="D5" s="414"/>
      <c r="E5" s="414"/>
      <c r="F5" s="414"/>
      <c r="G5" s="414"/>
      <c r="H5" s="414"/>
      <c r="I5" s="414"/>
      <c r="J5" s="414"/>
      <c r="K5" s="414"/>
      <c r="L5" s="414"/>
      <c r="M5" s="414"/>
      <c r="N5" s="414"/>
      <c r="O5" s="414"/>
      <c r="P5" s="414"/>
      <c r="Q5" s="414"/>
      <c r="R5" s="414"/>
      <c r="S5" s="414"/>
      <c r="T5" s="414"/>
      <c r="U5" s="414"/>
      <c r="V5" s="414"/>
      <c r="W5" s="414"/>
    </row>
    <row r="6" spans="1:23" ht="50.1" customHeight="1" x14ac:dyDescent="0.25">
      <c r="B6" s="3" t="s">
        <v>37</v>
      </c>
      <c r="C6" s="3" t="s">
        <v>5</v>
      </c>
      <c r="D6" s="3" t="s">
        <v>272</v>
      </c>
      <c r="E6" s="3" t="s">
        <v>38</v>
      </c>
      <c r="F6" s="3" t="s">
        <v>6</v>
      </c>
      <c r="G6" s="3" t="s">
        <v>7</v>
      </c>
      <c r="H6" s="3" t="s">
        <v>39</v>
      </c>
      <c r="I6" s="3" t="s">
        <v>8</v>
      </c>
      <c r="J6" s="3" t="s">
        <v>9</v>
      </c>
      <c r="K6" s="3" t="s">
        <v>10</v>
      </c>
      <c r="L6" s="151" t="s">
        <v>40</v>
      </c>
      <c r="M6" s="152" t="s">
        <v>13</v>
      </c>
      <c r="N6" s="152" t="s">
        <v>14</v>
      </c>
      <c r="O6" s="316"/>
      <c r="P6" s="153" t="s">
        <v>41</v>
      </c>
      <c r="Q6" s="153" t="s">
        <v>11</v>
      </c>
      <c r="R6" s="153" t="s">
        <v>12</v>
      </c>
      <c r="S6" s="153" t="s">
        <v>273</v>
      </c>
      <c r="T6" s="154" t="s">
        <v>15</v>
      </c>
      <c r="U6" s="154" t="s">
        <v>263</v>
      </c>
      <c r="V6" s="154" t="s">
        <v>274</v>
      </c>
      <c r="W6" s="154" t="s">
        <v>44</v>
      </c>
    </row>
    <row r="7" spans="1:23" ht="50.1" customHeight="1" thickBot="1" x14ac:dyDescent="0.35">
      <c r="B7" s="4">
        <v>2</v>
      </c>
      <c r="C7" s="163">
        <v>4337491</v>
      </c>
      <c r="D7" s="163" t="s">
        <v>280</v>
      </c>
      <c r="E7" s="5" t="s">
        <v>51</v>
      </c>
      <c r="F7" s="5">
        <v>99134798</v>
      </c>
      <c r="G7" s="155" t="s">
        <v>25</v>
      </c>
      <c r="H7" s="155" t="s">
        <v>25</v>
      </c>
      <c r="I7" s="155" t="s">
        <v>26</v>
      </c>
      <c r="J7" s="155" t="s">
        <v>27</v>
      </c>
      <c r="K7" s="5">
        <v>2024</v>
      </c>
      <c r="L7" s="5" t="s">
        <v>47</v>
      </c>
      <c r="M7" s="418">
        <v>0</v>
      </c>
      <c r="N7" s="418">
        <v>0</v>
      </c>
      <c r="O7" s="419">
        <f>N7-M7</f>
        <v>0</v>
      </c>
      <c r="P7" s="420" t="s">
        <v>52</v>
      </c>
      <c r="Q7" s="421" t="s">
        <v>28</v>
      </c>
      <c r="R7" s="422">
        <v>6700</v>
      </c>
      <c r="S7" s="422">
        <v>320</v>
      </c>
      <c r="T7" s="423">
        <v>842400</v>
      </c>
      <c r="U7" s="423">
        <v>438000</v>
      </c>
      <c r="V7" s="423">
        <v>2400</v>
      </c>
      <c r="W7" s="423">
        <f t="shared" ref="W7:W15" si="0">T7+U7+V7</f>
        <v>1282800</v>
      </c>
    </row>
    <row r="8" spans="1:23" ht="50.1" customHeight="1" thickBot="1" x14ac:dyDescent="0.35">
      <c r="B8" s="4">
        <v>3</v>
      </c>
      <c r="C8" s="163">
        <v>4337492</v>
      </c>
      <c r="D8" s="163" t="s">
        <v>281</v>
      </c>
      <c r="E8" s="5" t="s">
        <v>53</v>
      </c>
      <c r="F8" s="5">
        <v>99133359</v>
      </c>
      <c r="G8" s="155" t="s">
        <v>29</v>
      </c>
      <c r="H8" s="155" t="s">
        <v>29</v>
      </c>
      <c r="I8" s="155" t="s">
        <v>26</v>
      </c>
      <c r="J8" s="155" t="s">
        <v>27</v>
      </c>
      <c r="K8" s="5">
        <v>2024</v>
      </c>
      <c r="L8" s="5" t="s">
        <v>47</v>
      </c>
      <c r="M8" s="418">
        <v>0</v>
      </c>
      <c r="N8" s="418">
        <v>0</v>
      </c>
      <c r="O8" s="419">
        <f t="shared" ref="O8:O15" si="1">N8-M8</f>
        <v>0</v>
      </c>
      <c r="P8" s="420" t="s">
        <v>52</v>
      </c>
      <c r="Q8" s="421" t="s">
        <v>28</v>
      </c>
      <c r="R8" s="422">
        <v>6700</v>
      </c>
      <c r="S8" s="422">
        <v>320</v>
      </c>
      <c r="T8" s="423">
        <v>842400</v>
      </c>
      <c r="U8" s="423">
        <v>438000</v>
      </c>
      <c r="V8" s="423">
        <v>2400</v>
      </c>
      <c r="W8" s="423">
        <f t="shared" si="0"/>
        <v>1282800</v>
      </c>
    </row>
    <row r="9" spans="1:23" ht="50.1" customHeight="1" thickBot="1" x14ac:dyDescent="0.35">
      <c r="B9" s="4">
        <v>4</v>
      </c>
      <c r="C9" s="163">
        <v>4337493</v>
      </c>
      <c r="D9" s="163" t="s">
        <v>282</v>
      </c>
      <c r="E9" s="5" t="s">
        <v>54</v>
      </c>
      <c r="F9" s="5">
        <v>93165101</v>
      </c>
      <c r="G9" s="155" t="s">
        <v>30</v>
      </c>
      <c r="H9" s="155" t="s">
        <v>30</v>
      </c>
      <c r="I9" s="155" t="s">
        <v>31</v>
      </c>
      <c r="J9" s="155" t="s">
        <v>32</v>
      </c>
      <c r="K9" s="5">
        <v>2024</v>
      </c>
      <c r="L9" s="5" t="s">
        <v>47</v>
      </c>
      <c r="M9" s="230">
        <v>46350</v>
      </c>
      <c r="N9" s="230">
        <v>46714</v>
      </c>
      <c r="O9" s="317">
        <f t="shared" si="1"/>
        <v>364</v>
      </c>
      <c r="P9" s="155" t="s">
        <v>52</v>
      </c>
      <c r="Q9" s="156" t="s">
        <v>28</v>
      </c>
      <c r="R9" s="5">
        <v>6690</v>
      </c>
      <c r="S9" s="5">
        <v>320</v>
      </c>
      <c r="T9" s="157">
        <v>842400</v>
      </c>
      <c r="U9" s="157">
        <v>438000</v>
      </c>
      <c r="V9" s="157">
        <v>2400</v>
      </c>
      <c r="W9" s="157">
        <f t="shared" si="0"/>
        <v>1282800</v>
      </c>
    </row>
    <row r="10" spans="1:23" ht="50.1" customHeight="1" thickBot="1" x14ac:dyDescent="0.35">
      <c r="B10" s="4">
        <v>5</v>
      </c>
      <c r="C10" s="163">
        <v>4337494</v>
      </c>
      <c r="D10" s="163" t="s">
        <v>283</v>
      </c>
      <c r="E10" s="5" t="s">
        <v>55</v>
      </c>
      <c r="F10" s="5">
        <v>93165098</v>
      </c>
      <c r="G10" s="155" t="s">
        <v>33</v>
      </c>
      <c r="H10" s="155" t="s">
        <v>33</v>
      </c>
      <c r="I10" s="155" t="s">
        <v>31</v>
      </c>
      <c r="J10" s="155" t="s">
        <v>32</v>
      </c>
      <c r="K10" s="5">
        <v>2024</v>
      </c>
      <c r="L10" s="5" t="s">
        <v>47</v>
      </c>
      <c r="M10" s="230">
        <v>46350</v>
      </c>
      <c r="N10" s="230">
        <v>46714</v>
      </c>
      <c r="O10" s="317">
        <f t="shared" si="1"/>
        <v>364</v>
      </c>
      <c r="P10" s="155" t="s">
        <v>52</v>
      </c>
      <c r="Q10" s="156" t="s">
        <v>28</v>
      </c>
      <c r="R10" s="5">
        <v>6690</v>
      </c>
      <c r="S10" s="5">
        <v>320</v>
      </c>
      <c r="T10" s="157">
        <v>842400</v>
      </c>
      <c r="U10" s="157">
        <v>438000</v>
      </c>
      <c r="V10" s="157">
        <v>2400</v>
      </c>
      <c r="W10" s="157">
        <f t="shared" si="0"/>
        <v>1282800</v>
      </c>
    </row>
    <row r="11" spans="1:23" ht="50.1" customHeight="1" thickBot="1" x14ac:dyDescent="0.35">
      <c r="B11" s="4">
        <v>6</v>
      </c>
      <c r="C11" s="163">
        <v>4337489</v>
      </c>
      <c r="D11" s="163" t="s">
        <v>278</v>
      </c>
      <c r="E11" s="5" t="s">
        <v>46</v>
      </c>
      <c r="F11" s="5" t="s">
        <v>16</v>
      </c>
      <c r="G11" s="155" t="s">
        <v>17</v>
      </c>
      <c r="H11" s="155" t="s">
        <v>17</v>
      </c>
      <c r="I11" s="155" t="s">
        <v>18</v>
      </c>
      <c r="J11" s="155" t="s">
        <v>19</v>
      </c>
      <c r="K11" s="5">
        <v>2008</v>
      </c>
      <c r="L11" s="5" t="s">
        <v>47</v>
      </c>
      <c r="M11" s="230">
        <v>46386</v>
      </c>
      <c r="N11" s="230">
        <v>46750</v>
      </c>
      <c r="O11" s="317">
        <f t="shared" si="1"/>
        <v>364</v>
      </c>
      <c r="P11" s="155" t="s">
        <v>48</v>
      </c>
      <c r="Q11" s="156" t="s">
        <v>20</v>
      </c>
      <c r="R11" s="5">
        <v>2494</v>
      </c>
      <c r="S11" s="5">
        <v>222</v>
      </c>
      <c r="T11" s="157">
        <v>736200</v>
      </c>
      <c r="U11" s="157">
        <v>382800</v>
      </c>
      <c r="V11" s="157">
        <v>2400</v>
      </c>
      <c r="W11" s="157">
        <f t="shared" si="0"/>
        <v>1121400</v>
      </c>
    </row>
    <row r="12" spans="1:23" ht="50.1" customHeight="1" thickBot="1" x14ac:dyDescent="0.35">
      <c r="B12" s="4">
        <v>7</v>
      </c>
      <c r="C12" s="163">
        <v>4337490</v>
      </c>
      <c r="D12" s="163" t="s">
        <v>279</v>
      </c>
      <c r="E12" s="7" t="s">
        <v>49</v>
      </c>
      <c r="F12" s="7" t="s">
        <v>21</v>
      </c>
      <c r="G12" s="158" t="s">
        <v>22</v>
      </c>
      <c r="H12" s="158" t="s">
        <v>22</v>
      </c>
      <c r="I12" s="158" t="s">
        <v>18</v>
      </c>
      <c r="J12" s="158" t="s">
        <v>23</v>
      </c>
      <c r="K12" s="7">
        <v>2017</v>
      </c>
      <c r="L12" s="7" t="s">
        <v>47</v>
      </c>
      <c r="M12" s="230">
        <v>46386</v>
      </c>
      <c r="N12" s="230">
        <v>46750</v>
      </c>
      <c r="O12" s="317">
        <f t="shared" si="1"/>
        <v>364</v>
      </c>
      <c r="P12" s="158" t="s">
        <v>48</v>
      </c>
      <c r="Q12" s="159" t="s">
        <v>24</v>
      </c>
      <c r="R12" s="7">
        <v>2694</v>
      </c>
      <c r="S12" s="5">
        <v>231</v>
      </c>
      <c r="T12" s="157">
        <v>728900</v>
      </c>
      <c r="U12" s="157">
        <v>379000</v>
      </c>
      <c r="V12" s="157">
        <v>2400</v>
      </c>
      <c r="W12" s="157">
        <f t="shared" si="0"/>
        <v>1110300</v>
      </c>
    </row>
    <row r="13" spans="1:23" ht="50.1" customHeight="1" thickBot="1" x14ac:dyDescent="0.3">
      <c r="B13" s="4">
        <v>1</v>
      </c>
      <c r="C13" s="165">
        <v>4351309000</v>
      </c>
      <c r="D13" s="165" t="s">
        <v>289</v>
      </c>
      <c r="E13" s="5" t="s">
        <v>253</v>
      </c>
      <c r="F13" s="143">
        <v>27091030781385</v>
      </c>
      <c r="G13" s="105" t="s">
        <v>254</v>
      </c>
      <c r="H13" s="112" t="s">
        <v>254</v>
      </c>
      <c r="I13" s="112" t="s">
        <v>246</v>
      </c>
      <c r="J13" s="112" t="s">
        <v>255</v>
      </c>
      <c r="K13" s="113">
        <v>2016</v>
      </c>
      <c r="L13" s="113" t="s">
        <v>256</v>
      </c>
      <c r="M13" s="114">
        <v>46447</v>
      </c>
      <c r="N13" s="114">
        <v>46812</v>
      </c>
      <c r="O13" s="317">
        <f t="shared" si="1"/>
        <v>365</v>
      </c>
      <c r="P13" s="112" t="s">
        <v>259</v>
      </c>
      <c r="Q13" s="113" t="s">
        <v>277</v>
      </c>
      <c r="R13" s="113">
        <v>1595</v>
      </c>
      <c r="S13" s="144">
        <v>522</v>
      </c>
      <c r="T13" s="229">
        <v>444100</v>
      </c>
      <c r="U13" s="157">
        <v>230900</v>
      </c>
      <c r="V13" s="157">
        <v>2400</v>
      </c>
      <c r="W13" s="157">
        <f t="shared" si="0"/>
        <v>677400</v>
      </c>
    </row>
    <row r="14" spans="1:23" ht="50.1" customHeight="1" thickBot="1" x14ac:dyDescent="0.3">
      <c r="B14" s="4">
        <v>8</v>
      </c>
      <c r="C14" s="166">
        <v>9800020237</v>
      </c>
      <c r="D14" s="162"/>
      <c r="E14" s="5" t="s">
        <v>244</v>
      </c>
      <c r="F14" s="142">
        <v>27091031070093</v>
      </c>
      <c r="G14" s="105" t="s">
        <v>245</v>
      </c>
      <c r="H14" s="112" t="s">
        <v>245</v>
      </c>
      <c r="I14" s="112" t="s">
        <v>246</v>
      </c>
      <c r="J14" s="112" t="s">
        <v>247</v>
      </c>
      <c r="K14" s="113">
        <v>2017</v>
      </c>
      <c r="L14" s="113" t="s">
        <v>256</v>
      </c>
      <c r="M14" s="114">
        <v>46495</v>
      </c>
      <c r="N14" s="114">
        <v>46860</v>
      </c>
      <c r="O14" s="317">
        <f t="shared" si="1"/>
        <v>365</v>
      </c>
      <c r="P14" s="112" t="s">
        <v>257</v>
      </c>
      <c r="Q14" s="113" t="s">
        <v>276</v>
      </c>
      <c r="R14" s="113">
        <v>1600</v>
      </c>
      <c r="S14" s="144">
        <v>221</v>
      </c>
      <c r="T14" s="164">
        <v>621200</v>
      </c>
      <c r="U14" s="157">
        <v>323000</v>
      </c>
      <c r="V14" s="157">
        <v>2400</v>
      </c>
      <c r="W14" s="157">
        <f t="shared" si="0"/>
        <v>946600</v>
      </c>
    </row>
    <row r="15" spans="1:23" ht="50.1" customHeight="1" thickBot="1" x14ac:dyDescent="0.3">
      <c r="B15" s="4">
        <v>9</v>
      </c>
      <c r="C15" s="166">
        <v>9800020238</v>
      </c>
      <c r="D15" s="162"/>
      <c r="E15" s="5" t="s">
        <v>248</v>
      </c>
      <c r="F15" s="142" t="s">
        <v>249</v>
      </c>
      <c r="G15" s="105" t="s">
        <v>250</v>
      </c>
      <c r="H15" s="112" t="s">
        <v>250</v>
      </c>
      <c r="I15" s="112" t="s">
        <v>251</v>
      </c>
      <c r="J15" s="112" t="s">
        <v>252</v>
      </c>
      <c r="K15" s="113">
        <v>2013</v>
      </c>
      <c r="L15" s="113" t="s">
        <v>256</v>
      </c>
      <c r="M15" s="114">
        <v>46495</v>
      </c>
      <c r="N15" s="114">
        <v>46860</v>
      </c>
      <c r="O15" s="317">
        <f t="shared" si="1"/>
        <v>365</v>
      </c>
      <c r="P15" s="112" t="s">
        <v>258</v>
      </c>
      <c r="Q15" s="113" t="s">
        <v>258</v>
      </c>
      <c r="R15" s="113">
        <v>1999</v>
      </c>
      <c r="S15" s="144">
        <v>222</v>
      </c>
      <c r="T15" s="157">
        <v>736200</v>
      </c>
      <c r="U15" s="157">
        <v>382800</v>
      </c>
      <c r="V15" s="157">
        <v>2400</v>
      </c>
      <c r="W15" s="157">
        <f t="shared" si="0"/>
        <v>1121400</v>
      </c>
    </row>
    <row r="16" spans="1:23" ht="50.1" customHeight="1" thickBot="1" x14ac:dyDescent="0.35">
      <c r="B16" s="8"/>
      <c r="C16" s="9"/>
      <c r="D16" s="9"/>
      <c r="E16" s="10"/>
      <c r="F16" s="10"/>
      <c r="G16" s="10"/>
      <c r="H16" s="10"/>
      <c r="I16" s="415" t="s">
        <v>275</v>
      </c>
      <c r="J16" s="416"/>
      <c r="K16" s="416"/>
      <c r="L16" s="416"/>
      <c r="M16" s="416"/>
      <c r="N16" s="416"/>
      <c r="O16" s="416"/>
      <c r="P16" s="416"/>
      <c r="Q16" s="416"/>
      <c r="R16" s="417"/>
      <c r="S16" s="160"/>
      <c r="T16" s="161">
        <f>SUM(T7:T15)</f>
        <v>6636200</v>
      </c>
      <c r="U16" s="161">
        <f>SUM(U7:U15)</f>
        <v>3450500</v>
      </c>
      <c r="V16" s="161">
        <f>SUM(V7:V15)</f>
        <v>21600</v>
      </c>
      <c r="W16" s="161">
        <f>SUM(W7:W15)</f>
        <v>10108300</v>
      </c>
    </row>
    <row r="17" spans="2:23" x14ac:dyDescent="0.25">
      <c r="B17" s="141" t="s">
        <v>337</v>
      </c>
      <c r="T17" s="318" t="s">
        <v>351</v>
      </c>
    </row>
    <row r="18" spans="2:23" ht="16.5" thickBot="1" x14ac:dyDescent="0.3">
      <c r="B18" s="319" t="s">
        <v>352</v>
      </c>
      <c r="C18" s="320"/>
      <c r="D18" s="320"/>
      <c r="E18" s="320"/>
      <c r="F18" s="320"/>
      <c r="G18" s="321"/>
      <c r="H18" s="320"/>
      <c r="I18" s="320"/>
      <c r="J18" s="320"/>
      <c r="K18" s="320"/>
      <c r="L18" s="320"/>
      <c r="M18" s="320"/>
      <c r="N18" s="320"/>
      <c r="O18" s="320"/>
      <c r="P18" s="320"/>
      <c r="Q18" s="322">
        <v>10260900</v>
      </c>
      <c r="R18" s="321"/>
      <c r="S18" s="320"/>
      <c r="T18" s="323"/>
      <c r="U18" s="320"/>
      <c r="V18" s="320"/>
      <c r="W18" s="231"/>
    </row>
  </sheetData>
  <autoFilter ref="B6:W6" xr:uid="{02220CA6-51DE-4216-9E90-6AECB8C7271C}"/>
  <sortState xmlns:xlrd2="http://schemas.microsoft.com/office/spreadsheetml/2017/richdata2" ref="B7:W15">
    <sortCondition ref="M7:M15"/>
  </sortState>
  <mergeCells count="4">
    <mergeCell ref="A3:W3"/>
    <mergeCell ref="A4:W4"/>
    <mergeCell ref="A5:W5"/>
    <mergeCell ref="I16:R16"/>
  </mergeCells>
  <dataValidations count="3">
    <dataValidation type="whole" allowBlank="1" showInputMessage="1" showErrorMessage="1" errorTitle="Error Modelo" error="Digite años iguales o mayores a 1970" promptTitle="Modelo" prompt="Modelos iguales o mayores a 1970" sqref="K9:K12" xr:uid="{24AA4969-11B6-4BBA-944B-E54C3D6C2CAF}">
      <formula1>1970</formula1>
      <formula2>YEAR(TODAY())+1</formula2>
    </dataValidation>
    <dataValidation type="list" allowBlank="1" showInputMessage="1" showErrorMessage="1" sqref="L7:L15" xr:uid="{A59235B8-C20B-4C95-A608-F2DEB6776974}">
      <formula1>Servicio</formula1>
    </dataValidation>
    <dataValidation type="list" allowBlank="1" showInputMessage="1" showErrorMessage="1" sqref="Q7:Q12" xr:uid="{4E02A755-5395-463C-8C9F-4D6DBAB57304}">
      <formula1>INDIRECT(SUBSTITUTE(P7&amp;"subtipo"," ",""))</formula1>
    </dataValidation>
  </dataValidations>
  <printOptions horizontalCentered="1" verticalCentered="1"/>
  <pageMargins left="0.31496062992125984" right="0.31496062992125984" top="0.35433070866141736" bottom="0.35433070866141736" header="0.31496062992125984" footer="0.31496062992125984"/>
  <pageSetup paperSize="9"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9</vt:i4>
      </vt:variant>
    </vt:vector>
  </HeadingPairs>
  <TitlesOfParts>
    <vt:vector size="17" baseType="lpstr">
      <vt:lpstr>ESTUDIO DE MERCADO 2026</vt:lpstr>
      <vt:lpstr>TASASPROMEDIO</vt:lpstr>
      <vt:lpstr>VRES ASEGURADOS TRDM ACTUAL</vt:lpstr>
      <vt:lpstr>R. BIENES TRIAN.T TROCV</vt:lpstr>
      <vt:lpstr>R. BIENES EYM</vt:lpstr>
      <vt:lpstr>R. BIENES CASCO</vt:lpstr>
      <vt:lpstr>AUTOS</vt:lpstr>
      <vt:lpstr>SOAT ESTUD MERCADO</vt:lpstr>
      <vt:lpstr>AUTOS!Área_de_impresión</vt:lpstr>
      <vt:lpstr>'ESTUDIO DE MERCADO 2026'!Área_de_impresión</vt:lpstr>
      <vt:lpstr>'R. BIENES CASCO'!Área_de_impresión</vt:lpstr>
      <vt:lpstr>'R. BIENES EYM'!Área_de_impresión</vt:lpstr>
      <vt:lpstr>'R. BIENES TRIAN.T TROCV'!Área_de_impresión</vt:lpstr>
      <vt:lpstr>'SOAT ESTUD MERCADO'!Área_de_impresión</vt:lpstr>
      <vt:lpstr>TASASPROMEDIO!Área_de_impresión</vt:lpstr>
      <vt:lpstr>'VRES ASEGURADOS TRDM ACTUAL'!Área_de_impresión</vt:lpstr>
      <vt:lpstr>TASASPROMEDIO!Títulos_a_imprimir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José Cadena González</dc:creator>
  <cp:lastModifiedBy>Cesar Mauricio Martínez Delgado</cp:lastModifiedBy>
  <cp:lastPrinted>2026-09-24T13:44:01Z</cp:lastPrinted>
  <dcterms:created xsi:type="dcterms:W3CDTF">2025-09-24T17:09:08Z</dcterms:created>
  <dcterms:modified xsi:type="dcterms:W3CDTF">2026-10-20T00:17:56Z</dcterms:modified>
</cp:coreProperties>
</file>