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C:\Users\diego\Desktop\DIEGO FORERO\TRABAJO\CAJICÁ\2026\PROCESOS\DOTACIÓN INSTITUTO Y CASAS\ESTUDIO DE MERCADO\"/>
    </mc:Choice>
  </mc:AlternateContent>
  <xr:revisionPtr revIDLastSave="0" documentId="13_ncr:1_{973EABDD-5C1A-4D88-93DD-E996E38648EE}" xr6:coauthVersionLast="47" xr6:coauthVersionMax="47" xr10:uidLastSave="{00000000-0000-0000-0000-000000000000}"/>
  <bookViews>
    <workbookView xWindow="-120" yWindow="-120" windowWidth="20730" windowHeight="11040" xr2:uid="{00000000-000D-0000-FFFF-FFFF00000000}"/>
  </bookViews>
  <sheets>
    <sheet name="Matriz Tecnica" sheetId="1" r:id="rId1"/>
  </sheets>
  <definedNames>
    <definedName name="_xlnm._FilterDatabase" localSheetId="0" hidden="1">'Matriz Tecnica'!$AC$8:$AE$62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W67" i="1" l="1"/>
  <c r="O67" i="1"/>
  <c r="G67" i="1"/>
  <c r="AA66" i="1"/>
  <c r="Z66" i="1"/>
  <c r="AB66" i="1" s="1"/>
  <c r="Y66" i="1"/>
  <c r="S66" i="1"/>
  <c r="AA65" i="1"/>
  <c r="Z65" i="1"/>
  <c r="AB65" i="1" s="1"/>
  <c r="Y65" i="1"/>
  <c r="S65" i="1"/>
  <c r="K66" i="1"/>
  <c r="J66" i="1"/>
  <c r="L66" i="1" s="1"/>
  <c r="I66" i="1"/>
  <c r="K65" i="1"/>
  <c r="K67" i="1" s="1"/>
  <c r="J65" i="1"/>
  <c r="L65" i="1" s="1"/>
  <c r="L67" i="1" s="1"/>
  <c r="I65" i="1"/>
  <c r="I67" i="1" s="1"/>
  <c r="Z38" i="1"/>
  <c r="AB38" i="1" s="1"/>
  <c r="Y38" i="1"/>
  <c r="J67" i="1" l="1"/>
  <c r="S67" i="1"/>
  <c r="Y67" i="1"/>
  <c r="AA67" i="1"/>
  <c r="AB67" i="1"/>
  <c r="Z67" i="1"/>
  <c r="Q66" i="1"/>
  <c r="R66" i="1"/>
  <c r="R65" i="1"/>
  <c r="Q65" i="1"/>
  <c r="Q67" i="1" s="1"/>
  <c r="AA61" i="1"/>
  <c r="AA60" i="1"/>
  <c r="AA59" i="1"/>
  <c r="AA58" i="1"/>
  <c r="AA57" i="1"/>
  <c r="AA54" i="1"/>
  <c r="AA53" i="1"/>
  <c r="AA52" i="1"/>
  <c r="AA51" i="1"/>
  <c r="AA50" i="1"/>
  <c r="AA47" i="1"/>
  <c r="AA46" i="1"/>
  <c r="AA45" i="1"/>
  <c r="AA44" i="1"/>
  <c r="AA43" i="1"/>
  <c r="AA42" i="1"/>
  <c r="AA41" i="1"/>
  <c r="AA38" i="1"/>
  <c r="AA37" i="1"/>
  <c r="AA36" i="1"/>
  <c r="AA35" i="1"/>
  <c r="AA34" i="1"/>
  <c r="AA33" i="1"/>
  <c r="AA30" i="1"/>
  <c r="AA29" i="1"/>
  <c r="AA26" i="1"/>
  <c r="AA25" i="1"/>
  <c r="AA24" i="1"/>
  <c r="AA23" i="1"/>
  <c r="AA22" i="1"/>
  <c r="AA21" i="1"/>
  <c r="AA20" i="1"/>
  <c r="AB19" i="1"/>
  <c r="AA19" i="1"/>
  <c r="AA18" i="1"/>
  <c r="AA17" i="1"/>
  <c r="AA16" i="1"/>
  <c r="AA15" i="1"/>
  <c r="AA14" i="1"/>
  <c r="AA13" i="1"/>
  <c r="AA12" i="1"/>
  <c r="AA11" i="1"/>
  <c r="AA10" i="1"/>
  <c r="AA9" i="1"/>
  <c r="W62" i="1"/>
  <c r="Z61" i="1"/>
  <c r="AB61" i="1" s="1"/>
  <c r="Y61" i="1"/>
  <c r="Z60" i="1"/>
  <c r="AB60" i="1" s="1"/>
  <c r="Y60" i="1"/>
  <c r="Z59" i="1"/>
  <c r="AB59" i="1" s="1"/>
  <c r="Y59" i="1"/>
  <c r="Z58" i="1"/>
  <c r="AB58" i="1" s="1"/>
  <c r="Y58" i="1"/>
  <c r="Z57" i="1"/>
  <c r="AB57" i="1" s="1"/>
  <c r="Y57" i="1"/>
  <c r="W55" i="1"/>
  <c r="Z54" i="1"/>
  <c r="AB54" i="1" s="1"/>
  <c r="Y54" i="1"/>
  <c r="Z53" i="1"/>
  <c r="AB53" i="1" s="1"/>
  <c r="Y53" i="1"/>
  <c r="Z52" i="1"/>
  <c r="AB52" i="1" s="1"/>
  <c r="Y52" i="1"/>
  <c r="Z51" i="1"/>
  <c r="AB51" i="1" s="1"/>
  <c r="Y51" i="1"/>
  <c r="Z50" i="1"/>
  <c r="Y50" i="1"/>
  <c r="W48" i="1"/>
  <c r="Z47" i="1"/>
  <c r="AB47" i="1" s="1"/>
  <c r="Y47" i="1"/>
  <c r="Z46" i="1"/>
  <c r="AB46" i="1" s="1"/>
  <c r="Y46" i="1"/>
  <c r="Z45" i="1"/>
  <c r="AB45" i="1" s="1"/>
  <c r="Y45" i="1"/>
  <c r="Z44" i="1"/>
  <c r="AB44" i="1" s="1"/>
  <c r="Y44" i="1"/>
  <c r="Z43" i="1"/>
  <c r="AB43" i="1" s="1"/>
  <c r="Y43" i="1"/>
  <c r="Z42" i="1"/>
  <c r="AB42" i="1" s="1"/>
  <c r="Y42" i="1"/>
  <c r="Z41" i="1"/>
  <c r="AB41" i="1" s="1"/>
  <c r="Y41" i="1"/>
  <c r="W39" i="1"/>
  <c r="Z37" i="1"/>
  <c r="AB37" i="1" s="1"/>
  <c r="Z36" i="1"/>
  <c r="AB36" i="1" s="1"/>
  <c r="Y36" i="1"/>
  <c r="Z35" i="1"/>
  <c r="AB35" i="1" s="1"/>
  <c r="Y35" i="1"/>
  <c r="Z34" i="1"/>
  <c r="AB34" i="1" s="1"/>
  <c r="Y34" i="1"/>
  <c r="Z33" i="1"/>
  <c r="AB33" i="1" s="1"/>
  <c r="Y33" i="1"/>
  <c r="W31" i="1"/>
  <c r="Z30" i="1"/>
  <c r="AB30" i="1" s="1"/>
  <c r="Y30" i="1"/>
  <c r="Z29" i="1"/>
  <c r="AB29" i="1" s="1"/>
  <c r="Y29" i="1"/>
  <c r="Z26" i="1"/>
  <c r="AB26" i="1" s="1"/>
  <c r="Y26" i="1"/>
  <c r="Z25" i="1"/>
  <c r="AB25" i="1" s="1"/>
  <c r="Y25" i="1"/>
  <c r="Z24" i="1"/>
  <c r="AB24" i="1" s="1"/>
  <c r="W27" i="1"/>
  <c r="Z23" i="1"/>
  <c r="AB23" i="1" s="1"/>
  <c r="Y23" i="1"/>
  <c r="Z22" i="1"/>
  <c r="AB22" i="1" s="1"/>
  <c r="Y22" i="1"/>
  <c r="Z21" i="1"/>
  <c r="AB21" i="1" s="1"/>
  <c r="Y21" i="1"/>
  <c r="Z20" i="1"/>
  <c r="AB20" i="1" s="1"/>
  <c r="Y20" i="1"/>
  <c r="Z19" i="1"/>
  <c r="Y19" i="1"/>
  <c r="Z18" i="1"/>
  <c r="AB18" i="1" s="1"/>
  <c r="Y18" i="1"/>
  <c r="Z17" i="1"/>
  <c r="AB17" i="1" s="1"/>
  <c r="Y17" i="1"/>
  <c r="Z16" i="1"/>
  <c r="AB16" i="1" s="1"/>
  <c r="Y16" i="1"/>
  <c r="Z15" i="1"/>
  <c r="AB15" i="1" s="1"/>
  <c r="Y15" i="1"/>
  <c r="Z14" i="1"/>
  <c r="AB14" i="1" s="1"/>
  <c r="Y14" i="1"/>
  <c r="Z13" i="1"/>
  <c r="AB13" i="1" s="1"/>
  <c r="Y13" i="1"/>
  <c r="Z12" i="1"/>
  <c r="AB12" i="1" s="1"/>
  <c r="Y12" i="1"/>
  <c r="Z11" i="1"/>
  <c r="AB11" i="1" s="1"/>
  <c r="Y11" i="1"/>
  <c r="Z10" i="1"/>
  <c r="AB10" i="1" s="1"/>
  <c r="Y10" i="1"/>
  <c r="Z9" i="1"/>
  <c r="AB9" i="1" s="1"/>
  <c r="Y9" i="1"/>
  <c r="S61" i="1"/>
  <c r="S60" i="1"/>
  <c r="S59" i="1"/>
  <c r="S58" i="1"/>
  <c r="S57" i="1"/>
  <c r="R61" i="1"/>
  <c r="T61" i="1" s="1"/>
  <c r="Q61" i="1"/>
  <c r="R60" i="1"/>
  <c r="T60" i="1" s="1"/>
  <c r="Q60" i="1"/>
  <c r="R59" i="1"/>
  <c r="T59" i="1" s="1"/>
  <c r="Q59" i="1"/>
  <c r="R58" i="1"/>
  <c r="T58" i="1" s="1"/>
  <c r="Q58" i="1"/>
  <c r="R57" i="1"/>
  <c r="T57" i="1" s="1"/>
  <c r="Q57" i="1"/>
  <c r="S54" i="1"/>
  <c r="S53" i="1"/>
  <c r="S52" i="1"/>
  <c r="S51" i="1"/>
  <c r="S50" i="1"/>
  <c r="R54" i="1"/>
  <c r="T54" i="1" s="1"/>
  <c r="Q54" i="1"/>
  <c r="R53" i="1"/>
  <c r="T53" i="1" s="1"/>
  <c r="Q53" i="1"/>
  <c r="R52" i="1"/>
  <c r="T52" i="1" s="1"/>
  <c r="Q52" i="1"/>
  <c r="R51" i="1"/>
  <c r="T51" i="1" s="1"/>
  <c r="Q51" i="1"/>
  <c r="R50" i="1"/>
  <c r="T50" i="1" s="1"/>
  <c r="Q50" i="1"/>
  <c r="S47" i="1"/>
  <c r="S46" i="1"/>
  <c r="S45" i="1"/>
  <c r="S44" i="1"/>
  <c r="S43" i="1"/>
  <c r="S42" i="1"/>
  <c r="S41" i="1"/>
  <c r="R47" i="1"/>
  <c r="T47" i="1" s="1"/>
  <c r="Q47" i="1"/>
  <c r="R46" i="1"/>
  <c r="T46" i="1" s="1"/>
  <c r="Q46" i="1"/>
  <c r="R45" i="1"/>
  <c r="T45" i="1" s="1"/>
  <c r="Q45" i="1"/>
  <c r="R44" i="1"/>
  <c r="T44" i="1" s="1"/>
  <c r="Q44" i="1"/>
  <c r="R43" i="1"/>
  <c r="T43" i="1" s="1"/>
  <c r="Q43" i="1"/>
  <c r="R42" i="1"/>
  <c r="T42" i="1" s="1"/>
  <c r="Q42" i="1"/>
  <c r="R41" i="1"/>
  <c r="T41" i="1" s="1"/>
  <c r="Q41" i="1"/>
  <c r="S38" i="1"/>
  <c r="S37" i="1"/>
  <c r="S36" i="1"/>
  <c r="S35" i="1"/>
  <c r="S34" i="1"/>
  <c r="S33" i="1"/>
  <c r="R38" i="1"/>
  <c r="Q38" i="1"/>
  <c r="R37" i="1"/>
  <c r="T37" i="1" s="1"/>
  <c r="Q37" i="1"/>
  <c r="R36" i="1"/>
  <c r="T36" i="1" s="1"/>
  <c r="Q36" i="1"/>
  <c r="R35" i="1"/>
  <c r="T35" i="1" s="1"/>
  <c r="Q35" i="1"/>
  <c r="R34" i="1"/>
  <c r="T34" i="1" s="1"/>
  <c r="Q34" i="1"/>
  <c r="R33" i="1"/>
  <c r="T33" i="1" s="1"/>
  <c r="Q33" i="1"/>
  <c r="O30" i="1"/>
  <c r="S30" i="1" s="1"/>
  <c r="O29" i="1"/>
  <c r="S29" i="1" s="1"/>
  <c r="S25" i="1"/>
  <c r="S24" i="1"/>
  <c r="S23" i="1"/>
  <c r="S22" i="1"/>
  <c r="S21" i="1"/>
  <c r="S20" i="1"/>
  <c r="S19" i="1"/>
  <c r="S18" i="1"/>
  <c r="S17" i="1"/>
  <c r="S16" i="1"/>
  <c r="S15" i="1"/>
  <c r="S14" i="1"/>
  <c r="S13" i="1"/>
  <c r="S12" i="1"/>
  <c r="S11" i="1"/>
  <c r="S10" i="1"/>
  <c r="S9" i="1"/>
  <c r="O26" i="1"/>
  <c r="S26" i="1" s="1"/>
  <c r="R25" i="1"/>
  <c r="T25" i="1" s="1"/>
  <c r="Q25" i="1"/>
  <c r="R24" i="1"/>
  <c r="T24" i="1" s="1"/>
  <c r="Q24" i="1"/>
  <c r="R23" i="1"/>
  <c r="T23" i="1" s="1"/>
  <c r="Q23" i="1"/>
  <c r="R22" i="1"/>
  <c r="T22" i="1" s="1"/>
  <c r="Q22" i="1"/>
  <c r="R21" i="1"/>
  <c r="T21" i="1" s="1"/>
  <c r="Q21" i="1"/>
  <c r="R20" i="1"/>
  <c r="T20" i="1" s="1"/>
  <c r="Q20" i="1"/>
  <c r="R19" i="1"/>
  <c r="T19" i="1" s="1"/>
  <c r="Q19" i="1"/>
  <c r="R18" i="1"/>
  <c r="T18" i="1" s="1"/>
  <c r="Q18" i="1"/>
  <c r="R17" i="1"/>
  <c r="T17" i="1" s="1"/>
  <c r="Q17" i="1"/>
  <c r="R16" i="1"/>
  <c r="T16" i="1" s="1"/>
  <c r="Q16" i="1"/>
  <c r="R15" i="1"/>
  <c r="T15" i="1" s="1"/>
  <c r="Q15" i="1"/>
  <c r="R14" i="1"/>
  <c r="T14" i="1" s="1"/>
  <c r="Q14" i="1"/>
  <c r="R13" i="1"/>
  <c r="T13" i="1" s="1"/>
  <c r="Q13" i="1"/>
  <c r="R12" i="1"/>
  <c r="T12" i="1" s="1"/>
  <c r="Q12" i="1"/>
  <c r="R11" i="1"/>
  <c r="T11" i="1" s="1"/>
  <c r="Q11" i="1"/>
  <c r="R10" i="1"/>
  <c r="T10" i="1" s="1"/>
  <c r="Q10" i="1"/>
  <c r="R9" i="1"/>
  <c r="T9" i="1" s="1"/>
  <c r="Q9" i="1"/>
  <c r="AC65" i="1" l="1"/>
  <c r="AD65" i="1"/>
  <c r="T66" i="1"/>
  <c r="AF66" i="1" s="1"/>
  <c r="AC66" i="1"/>
  <c r="AD66" i="1"/>
  <c r="V70" i="1"/>
  <c r="T65" i="1"/>
  <c r="R67" i="1"/>
  <c r="AA62" i="1"/>
  <c r="Y31" i="1"/>
  <c r="T38" i="1"/>
  <c r="AF38" i="1" s="1"/>
  <c r="AD38" i="1"/>
  <c r="AC38" i="1"/>
  <c r="AA31" i="1"/>
  <c r="Z31" i="1"/>
  <c r="AA27" i="1"/>
  <c r="V73" i="1" s="1"/>
  <c r="Y62" i="1"/>
  <c r="Z62" i="1"/>
  <c r="AA55" i="1"/>
  <c r="AB50" i="1"/>
  <c r="Y55" i="1"/>
  <c r="Z48" i="1"/>
  <c r="AA48" i="1"/>
  <c r="Y48" i="1"/>
  <c r="AA39" i="1"/>
  <c r="Z39" i="1"/>
  <c r="AB27" i="1"/>
  <c r="Z27" i="1"/>
  <c r="V72" i="1" s="1"/>
  <c r="AB31" i="1"/>
  <c r="AB48" i="1"/>
  <c r="AB39" i="1"/>
  <c r="AB62" i="1"/>
  <c r="Z55" i="1"/>
  <c r="Y37" i="1"/>
  <c r="Y39" i="1" s="1"/>
  <c r="Y24" i="1"/>
  <c r="Y27" i="1" s="1"/>
  <c r="V71" i="1" s="1"/>
  <c r="Q29" i="1"/>
  <c r="R29" i="1"/>
  <c r="T29" i="1" s="1"/>
  <c r="Q30" i="1"/>
  <c r="R30" i="1"/>
  <c r="T30" i="1" s="1"/>
  <c r="Q26" i="1"/>
  <c r="R26" i="1"/>
  <c r="T26" i="1" s="1"/>
  <c r="AE65" i="1" l="1"/>
  <c r="T67" i="1"/>
  <c r="AF65" i="1"/>
  <c r="AE66" i="1"/>
  <c r="AE38" i="1"/>
  <c r="AB55" i="1"/>
  <c r="V74" i="1" s="1"/>
  <c r="O62" i="1"/>
  <c r="Q62" i="1"/>
  <c r="S62" i="1"/>
  <c r="O55" i="1"/>
  <c r="S55" i="1"/>
  <c r="Q55" i="1"/>
  <c r="O48" i="1"/>
  <c r="Q48" i="1"/>
  <c r="S48" i="1"/>
  <c r="R48" i="1"/>
  <c r="O39" i="1"/>
  <c r="S39" i="1"/>
  <c r="Q39" i="1"/>
  <c r="S31" i="1"/>
  <c r="R31" i="1"/>
  <c r="Q31" i="1"/>
  <c r="O31" i="1"/>
  <c r="T31" i="1"/>
  <c r="Q27" i="1"/>
  <c r="O27" i="1"/>
  <c r="R27" i="1"/>
  <c r="S27" i="1"/>
  <c r="K61" i="1"/>
  <c r="J61" i="1"/>
  <c r="I61" i="1"/>
  <c r="K60" i="1"/>
  <c r="J60" i="1"/>
  <c r="I60" i="1"/>
  <c r="K59" i="1"/>
  <c r="J59" i="1"/>
  <c r="I59" i="1"/>
  <c r="K58" i="1"/>
  <c r="J58" i="1"/>
  <c r="I58" i="1"/>
  <c r="K57" i="1"/>
  <c r="J57" i="1"/>
  <c r="I57" i="1"/>
  <c r="K54" i="1"/>
  <c r="J54" i="1"/>
  <c r="I54" i="1"/>
  <c r="K53" i="1"/>
  <c r="J53" i="1"/>
  <c r="I53" i="1"/>
  <c r="K52" i="1"/>
  <c r="J52" i="1"/>
  <c r="I52" i="1"/>
  <c r="K51" i="1"/>
  <c r="J51" i="1"/>
  <c r="I51" i="1"/>
  <c r="K50" i="1"/>
  <c r="J50" i="1"/>
  <c r="I50" i="1"/>
  <c r="L45" i="1"/>
  <c r="AF45" i="1" s="1"/>
  <c r="K45" i="1"/>
  <c r="G45" i="1"/>
  <c r="G48" i="1" s="1"/>
  <c r="K47" i="1"/>
  <c r="J47" i="1"/>
  <c r="I47" i="1"/>
  <c r="K46" i="1"/>
  <c r="J46" i="1"/>
  <c r="I46" i="1"/>
  <c r="K44" i="1"/>
  <c r="J44" i="1"/>
  <c r="I44" i="1"/>
  <c r="K43" i="1"/>
  <c r="J43" i="1"/>
  <c r="I43" i="1"/>
  <c r="K42" i="1"/>
  <c r="J42" i="1"/>
  <c r="I42" i="1"/>
  <c r="K41" i="1"/>
  <c r="J41" i="1"/>
  <c r="I41" i="1"/>
  <c r="L37" i="1"/>
  <c r="AF37" i="1" s="1"/>
  <c r="K37" i="1"/>
  <c r="G37" i="1"/>
  <c r="I37" i="1" s="1"/>
  <c r="J37" i="1"/>
  <c r="K36" i="1"/>
  <c r="J36" i="1"/>
  <c r="I36" i="1"/>
  <c r="K35" i="1"/>
  <c r="J35" i="1"/>
  <c r="I35" i="1"/>
  <c r="K34" i="1"/>
  <c r="J34" i="1"/>
  <c r="I34" i="1"/>
  <c r="K33" i="1"/>
  <c r="J33" i="1"/>
  <c r="I33" i="1"/>
  <c r="K30" i="1"/>
  <c r="J30" i="1"/>
  <c r="I30" i="1"/>
  <c r="K29" i="1"/>
  <c r="J29" i="1"/>
  <c r="I29" i="1"/>
  <c r="L24" i="1"/>
  <c r="AF24" i="1" s="1"/>
  <c r="K24" i="1"/>
  <c r="G24" i="1"/>
  <c r="I24" i="1" s="1"/>
  <c r="K26" i="1"/>
  <c r="J26" i="1"/>
  <c r="I26" i="1"/>
  <c r="K25" i="1"/>
  <c r="J25" i="1"/>
  <c r="I25" i="1"/>
  <c r="K23" i="1"/>
  <c r="J23" i="1"/>
  <c r="I23" i="1"/>
  <c r="K22" i="1"/>
  <c r="J22" i="1"/>
  <c r="I22" i="1"/>
  <c r="K21" i="1"/>
  <c r="J21" i="1"/>
  <c r="I21" i="1"/>
  <c r="K20" i="1"/>
  <c r="J20" i="1"/>
  <c r="I20" i="1"/>
  <c r="K19" i="1"/>
  <c r="J19" i="1"/>
  <c r="I19" i="1"/>
  <c r="K18" i="1"/>
  <c r="J18" i="1"/>
  <c r="I18" i="1"/>
  <c r="K17" i="1"/>
  <c r="J17" i="1"/>
  <c r="I17" i="1"/>
  <c r="K16" i="1"/>
  <c r="J16" i="1"/>
  <c r="I16" i="1"/>
  <c r="K15" i="1"/>
  <c r="J15" i="1"/>
  <c r="I15" i="1"/>
  <c r="K14" i="1"/>
  <c r="J14" i="1"/>
  <c r="I14" i="1"/>
  <c r="K13" i="1"/>
  <c r="J13" i="1"/>
  <c r="I13" i="1"/>
  <c r="K12" i="1"/>
  <c r="J12" i="1"/>
  <c r="I12" i="1"/>
  <c r="K11" i="1"/>
  <c r="J11" i="1"/>
  <c r="I11" i="1"/>
  <c r="K10" i="1"/>
  <c r="J10" i="1"/>
  <c r="I10" i="1"/>
  <c r="K9" i="1"/>
  <c r="J9" i="1"/>
  <c r="I9" i="1"/>
  <c r="G62" i="1"/>
  <c r="G55" i="1"/>
  <c r="G31" i="1"/>
  <c r="N73" i="1" l="1"/>
  <c r="N70" i="1"/>
  <c r="N71" i="1"/>
  <c r="G39" i="1"/>
  <c r="G27" i="1"/>
  <c r="F70" i="1" s="1"/>
  <c r="J24" i="1"/>
  <c r="L9" i="1"/>
  <c r="AF9" i="1" s="1"/>
  <c r="AD9" i="1"/>
  <c r="AC9" i="1"/>
  <c r="L17" i="1"/>
  <c r="AF17" i="1" s="1"/>
  <c r="AD17" i="1"/>
  <c r="AC17" i="1"/>
  <c r="L26" i="1"/>
  <c r="AF26" i="1" s="1"/>
  <c r="AD26" i="1"/>
  <c r="AC26" i="1"/>
  <c r="L33" i="1"/>
  <c r="AF33" i="1" s="1"/>
  <c r="AD33" i="1"/>
  <c r="AC33" i="1"/>
  <c r="L59" i="1"/>
  <c r="AF59" i="1" s="1"/>
  <c r="AC59" i="1"/>
  <c r="AD59" i="1"/>
  <c r="L10" i="1"/>
  <c r="AF10" i="1" s="1"/>
  <c r="AD10" i="1"/>
  <c r="AC10" i="1"/>
  <c r="L18" i="1"/>
  <c r="AF18" i="1" s="1"/>
  <c r="AC18" i="1"/>
  <c r="AD18" i="1"/>
  <c r="AE18" i="1" s="1"/>
  <c r="L34" i="1"/>
  <c r="AF34" i="1" s="1"/>
  <c r="AC34" i="1"/>
  <c r="AD34" i="1"/>
  <c r="AE34" i="1" s="1"/>
  <c r="L54" i="1"/>
  <c r="AF54" i="1" s="1"/>
  <c r="AD54" i="1"/>
  <c r="AC54" i="1"/>
  <c r="L41" i="1"/>
  <c r="AF41" i="1" s="1"/>
  <c r="AD41" i="1"/>
  <c r="AC41" i="1"/>
  <c r="L15" i="1"/>
  <c r="AF15" i="1" s="1"/>
  <c r="AD15" i="1"/>
  <c r="AC15" i="1"/>
  <c r="L23" i="1"/>
  <c r="AF23" i="1" s="1"/>
  <c r="AD23" i="1"/>
  <c r="AC23" i="1"/>
  <c r="L35" i="1"/>
  <c r="AF35" i="1" s="1"/>
  <c r="AD35" i="1"/>
  <c r="AC35" i="1"/>
  <c r="L51" i="1"/>
  <c r="AF51" i="1" s="1"/>
  <c r="AD51" i="1"/>
  <c r="AC51" i="1"/>
  <c r="L61" i="1"/>
  <c r="AF61" i="1" s="1"/>
  <c r="AD61" i="1"/>
  <c r="AC61" i="1"/>
  <c r="L42" i="1"/>
  <c r="AF42" i="1" s="1"/>
  <c r="AC42" i="1"/>
  <c r="AD42" i="1"/>
  <c r="AE42" i="1" s="1"/>
  <c r="L12" i="1"/>
  <c r="AF12" i="1" s="1"/>
  <c r="AC12" i="1"/>
  <c r="AD12" i="1"/>
  <c r="AE12" i="1" s="1"/>
  <c r="L16" i="1"/>
  <c r="AF16" i="1" s="1"/>
  <c r="AD16" i="1"/>
  <c r="AC16" i="1"/>
  <c r="L30" i="1"/>
  <c r="AF30" i="1" s="1"/>
  <c r="AD30" i="1"/>
  <c r="AC30" i="1"/>
  <c r="L52" i="1"/>
  <c r="AC52" i="1"/>
  <c r="AD52" i="1"/>
  <c r="AE52" i="1" s="1"/>
  <c r="L58" i="1"/>
  <c r="AF58" i="1" s="1"/>
  <c r="AC58" i="1"/>
  <c r="AD58" i="1"/>
  <c r="AE58" i="1" s="1"/>
  <c r="L43" i="1"/>
  <c r="AF43" i="1" s="1"/>
  <c r="AC43" i="1"/>
  <c r="AD43" i="1"/>
  <c r="L13" i="1"/>
  <c r="AF13" i="1" s="1"/>
  <c r="AD13" i="1"/>
  <c r="AC13" i="1"/>
  <c r="L21" i="1"/>
  <c r="AF21" i="1" s="1"/>
  <c r="AD21" i="1"/>
  <c r="AC21" i="1"/>
  <c r="AD37" i="1"/>
  <c r="AC37" i="1"/>
  <c r="L53" i="1"/>
  <c r="AF53" i="1" s="1"/>
  <c r="AD53" i="1"/>
  <c r="AC53" i="1"/>
  <c r="L44" i="1"/>
  <c r="AF44" i="1" s="1"/>
  <c r="AD44" i="1"/>
  <c r="AC44" i="1"/>
  <c r="L14" i="1"/>
  <c r="AF14" i="1" s="1"/>
  <c r="AD14" i="1"/>
  <c r="AC14" i="1"/>
  <c r="L22" i="1"/>
  <c r="AF22" i="1" s="1"/>
  <c r="AD22" i="1"/>
  <c r="AC22" i="1"/>
  <c r="L50" i="1"/>
  <c r="AF50" i="1" s="1"/>
  <c r="AC50" i="1"/>
  <c r="AD50" i="1"/>
  <c r="AE50" i="1" s="1"/>
  <c r="L60" i="1"/>
  <c r="AF60" i="1" s="1"/>
  <c r="AD60" i="1"/>
  <c r="AC60" i="1"/>
  <c r="L46" i="1"/>
  <c r="AF46" i="1" s="1"/>
  <c r="AD46" i="1"/>
  <c r="AC46" i="1"/>
  <c r="L11" i="1"/>
  <c r="AD11" i="1"/>
  <c r="AC11" i="1"/>
  <c r="L19" i="1"/>
  <c r="AF19" i="1" s="1"/>
  <c r="AD19" i="1"/>
  <c r="AC19" i="1"/>
  <c r="L29" i="1"/>
  <c r="AF29" i="1" s="1"/>
  <c r="AD29" i="1"/>
  <c r="AC29" i="1"/>
  <c r="L57" i="1"/>
  <c r="AF57" i="1" s="1"/>
  <c r="AD57" i="1"/>
  <c r="AC57" i="1"/>
  <c r="L47" i="1"/>
  <c r="AF47" i="1" s="1"/>
  <c r="AD47" i="1"/>
  <c r="AC47" i="1"/>
  <c r="AC24" i="1"/>
  <c r="AD24" i="1"/>
  <c r="L20" i="1"/>
  <c r="AF20" i="1" s="1"/>
  <c r="AD20" i="1"/>
  <c r="AC20" i="1"/>
  <c r="L25" i="1"/>
  <c r="AF25" i="1" s="1"/>
  <c r="AD25" i="1"/>
  <c r="AC25" i="1"/>
  <c r="L36" i="1"/>
  <c r="AF36" i="1" s="1"/>
  <c r="AD36" i="1"/>
  <c r="AC36" i="1"/>
  <c r="T39" i="1"/>
  <c r="T55" i="1"/>
  <c r="T27" i="1"/>
  <c r="T62" i="1"/>
  <c r="T48" i="1"/>
  <c r="R55" i="1"/>
  <c r="R39" i="1"/>
  <c r="N72" i="1" s="1"/>
  <c r="R62" i="1"/>
  <c r="J45" i="1"/>
  <c r="I45" i="1"/>
  <c r="K27" i="1"/>
  <c r="I27" i="1"/>
  <c r="J27" i="1"/>
  <c r="K62" i="1"/>
  <c r="I62" i="1"/>
  <c r="K55" i="1"/>
  <c r="I31" i="1"/>
  <c r="I55" i="1"/>
  <c r="K31" i="1"/>
  <c r="J62" i="1"/>
  <c r="J55" i="1"/>
  <c r="K39" i="1"/>
  <c r="K48" i="1"/>
  <c r="I48" i="1"/>
  <c r="I39" i="1"/>
  <c r="J39" i="1"/>
  <c r="J31" i="1"/>
  <c r="F73" i="1" l="1"/>
  <c r="N74" i="1"/>
  <c r="F71" i="1"/>
  <c r="AE43" i="1"/>
  <c r="AE59" i="1"/>
  <c r="AE36" i="1"/>
  <c r="L27" i="1"/>
  <c r="AF11" i="1"/>
  <c r="AF67" i="1" s="1"/>
  <c r="L55" i="1"/>
  <c r="AF52" i="1"/>
  <c r="L39" i="1"/>
  <c r="L62" i="1"/>
  <c r="AE24" i="1"/>
  <c r="L48" i="1"/>
  <c r="AE33" i="1"/>
  <c r="AE46" i="1"/>
  <c r="AE25" i="1"/>
  <c r="AE13" i="1"/>
  <c r="AE61" i="1"/>
  <c r="AE60" i="1"/>
  <c r="AE20" i="1"/>
  <c r="AE16" i="1"/>
  <c r="AE51" i="1"/>
  <c r="AE17" i="1"/>
  <c r="AE35" i="1"/>
  <c r="AE54" i="1"/>
  <c r="AE9" i="1"/>
  <c r="AE21" i="1"/>
  <c r="AE23" i="1"/>
  <c r="AE57" i="1"/>
  <c r="AE14" i="1"/>
  <c r="AE30" i="1"/>
  <c r="AE15" i="1"/>
  <c r="AE26" i="1"/>
  <c r="AE29" i="1"/>
  <c r="AE44" i="1"/>
  <c r="L31" i="1"/>
  <c r="AE41" i="1"/>
  <c r="AE10" i="1"/>
  <c r="AE19" i="1"/>
  <c r="AE53" i="1"/>
  <c r="J48" i="1"/>
  <c r="F72" i="1" s="1"/>
  <c r="AD45" i="1"/>
  <c r="AC45" i="1"/>
  <c r="AE47" i="1"/>
  <c r="AE11" i="1"/>
  <c r="AE22" i="1"/>
  <c r="AE37" i="1"/>
  <c r="F74" i="1" l="1"/>
  <c r="AE45" i="1"/>
</calcChain>
</file>

<file path=xl/sharedStrings.xml><?xml version="1.0" encoding="utf-8"?>
<sst xmlns="http://schemas.openxmlformats.org/spreadsheetml/2006/main" count="437" uniqueCount="218">
  <si>
    <t>Objeto</t>
  </si>
  <si>
    <t>Item</t>
  </si>
  <si>
    <t>Especificacion tecnica minima exigida</t>
  </si>
  <si>
    <t>Unidad</t>
  </si>
  <si>
    <t>Cantidad</t>
  </si>
  <si>
    <t>Marca ofertada</t>
  </si>
  <si>
    <t>Referencia ofertada</t>
  </si>
  <si>
    <t>1. AUDIO</t>
  </si>
  <si>
    <t>Sistema inalambrico interactivo de participacion de 2 canales, compuesto por receptor Hub DSP de doble canal con funciones integradas de receptor, DSP y mezclador, transmisor principal de formato blando y seguro tipo audiencia apto para captura por lanzamiento, y transmisor adicional tipo clip o wearable compatible con el mismo ecosistema, incluyendo sus respectivos cargadores o base de carga. La solucion debera operar en banda DECT/DECT 6.0, con cifrado AES256, alcance minimo de 100 m en linea de vista, latencia aproximada de 19 ms, control y monitoreo por software o API, audio por red Dante 4x4, salidas balanceadas y no balanceadas, alimentacion por USB-C o PoE y capacidad de crecimiento dentro de la misma plataforma. No se aceptan microfonos inalambricos convencionales ni soluciones adaptadas.</t>
  </si>
  <si>
    <t>Und</t>
  </si>
  <si>
    <t>Sistema inalambrico digital UHF de mano para voz, compuesto por receptor fijo de rack y transmisor de mano con capsula dinamica cardioide vocal e interruptor de silenciamiento integrado. La solucion debera operar en tecnologia digital UHF, con hasta 2240 frecuencias seleccionables, ancho de banda minimo de 56 MHz, escalabilidad de hasta 90 canales, rango dinamico de 134 dB, latencia maxima de 1.9 ms, alcance hasta 100 m en entorno ideal y gestion mediante aplicacion movil por Bluetooth Low Energy. El receptor debera incluir salida balanceada XLR y salida no balanceada 1/4 pulgadas o equivalente.</t>
  </si>
  <si>
    <t>Microfono de diadema de perfil bajo tipo condensador prepolarizado, orientado a voz hablada, con patron omnidireccional, respuesta en frecuencia de 20 Hz a 20 kHz (+/-3 dB), sensibilidad aproximada de 5 mV/Pa, SPL maximo de 143 dB, nivel de ruido equivalente no mayor a 27 dB(A), capsula miniatura de 3.3 mm, brazo de microfono de aproximadamente 1.1 mm, peso aproximado de 7 g sin cable, cable de 1.6 m y conector original compatible con el bodypack ofertado. Debera contar con banda para el cuello ajustable, estructura metalica resistente y presentacion discreta para uso prolongado.</t>
  </si>
  <si>
    <t>Sistema inalambrico digital UHF tipo bodypack, compuesto por receptor fijo de rack y transmisor petaca metalico, totalmente compatible con el mismo ecosistema inalambrico de los microfonos de mano ofertados y apto para uso con diademas profesionales. La solucion debera ofrecer hasta 2240 frecuencias seleccionables, ancho de banda minimo de 56 MHz, escalabilidad de hasta 90 canales, respuesta de 20 Hz a 20 kHz, rango dinamico de 134 dB, latencia maxima de 1.9 ms, alcance hasta 100 m en entorno ideal, sincronizacion y control por Bluetooth Low Energy, y autonomia de hasta 12 horas con bateria recargable o hasta 8 horas con AA. El bodypack debera tener mute programable y carcasa metalica robusta.</t>
  </si>
  <si>
    <t>Microfono alambrico de mano para voz, tipo dinamico, patron cardioide, con interruptor on/off silencioso, respuesta en frecuencia de 40 Hz a 16 kHz, sensibilidad aproximada de 2.7 mV/Pa, impedancia nominal de 350 ohm, conector XLR de 3 pines, cuerpo metalico robusto, capsula montada con amortiguacion contra ruido de manipulacion y bobina compensadora de zumbido. Debera incluir pinza o clip y estuche o pouch.</t>
  </si>
  <si>
    <t>Estacion de asistencia auditiva por red IP para distribucion de audio en tiempo real hacia dispositivos moviles de usuarios, apta para escucha asistida, interpretacion, escucha focalizada y retorno de participacion. Debera operar bajo esquema BYOD mediante aplicacion movil, con capacidad minima de 100 usuarios simultaneos por estacion, baja latencia, 2 entradas XLR, 2 salidas XLR, interfaz Dante de entrada y salida, puertos de control y streaming por RJ45, alimentacion PoE IEEE 802.3af Clase 3, gestion centralizada por software y capacidad de integracion con sistemas de control de terceros.</t>
  </si>
  <si>
    <t>Router o punto de acceso inalambrico de doble banda, apto para soportar el sistema de asistencia auditiva, con velocidad combinada minima de 300 Mbps en 2.4 GHz y 867 Mbps en 5 GHz, puertos Gigabit Ethernet, sistema operativo OpenWrt o equivalente de perfil abierto, soporte para OpenVPN y WireGuard, modo router/AP/bridge, puerto USB 2.0, alimentacion por USB-C y herramientas de administracion local y remota. Debera ser apto para operacion continua y seguro para integrarse a la red del sistema de audio asistido.</t>
  </si>
  <si>
    <t>Base o pedestal de microfono de piso tipo tripode con boom desmontable, de construccion metalica robusta, altura ajustable en rango aproximado de 35 a 59 pulgadas, brazo telescopico de aproximadamente 28 pulgadas con rotacion de 360 grados o equivalente, sistema de bloqueo de facil ajuste, base triangular estable con apoyos antideslizantes y elementos de gestion de cableado. Debera permitir uso como pedestal recto o con boom para escenario, auditorio o conferencia.</t>
  </si>
  <si>
    <t>Snake de audio de 8 canales con 4 retornos, longitud minima de 30 metros, con stage box metalica de perfil bajo o equivalente, conectores XLR identificados por canal, pares individualmente blindados al 100 %, calibre aproximado 25 AWG, construccion heavy duty en acero o equivalente, alivio de tension en extremos y codificacion numerica y por color. Apto para venues, auditorios, iglesias o rigs moviles.</t>
  </si>
  <si>
    <t>Consola digital compacta de 40 entradas y 25 buses o equivalente superior, con 16 preamplificadores programables diseno MIDAS o equivalente profesional, 17 faders motorizados de 100 mm, pantalla TFT a color de 7 pulgadas, procesamiento interno de 40 bits floating point, latencia local aproximada de 0.8 ms, ecualizacion, compresion y puerta por canal, 8 motores de efectos internos, escenas o memorias, interfaz de audio USB/FireWire 32x32 o equivalente, 8 salidas XLR, conectividad AES50 doble, Ultranet, AES/EBU, MIDI y control remoto por red desde software o app para tablet. Debera ser apta para operacion profesional en eventos, auditorios o espacios institucionales.</t>
  </si>
  <si>
    <t>Sistema portatil autoamplificado tipo columna, todo en uno, con arreglo vertical de 12 transductores de alta frecuencia de 2.5 pulgadas y subwoofer de 12 pulgadas bass-reflex, con cobertura minima de 130 grados horizontal x 30 grados vertical, nivel maximo de presion sonora no inferior a 130 dB SPL y amplificacion integrada clase D de 2.000 W pico o superior. Debera incorporar mezclador digital integrado de 7 canales, DSP profesional, conectividad Bluetooth y control por aplicacion movil. No se aceptan ensamblajes genericos de subwoofer y satelites.</t>
  </si>
  <si>
    <t>Altavoz pasivo de superficie, ultracompacto, de dos vias, impedancia nominal de 8 ohmios, apto para aplicaciones de musica ambiental, refuerzo sonoro y voceo en espacios interiores y exteriores. Debera incorporar woofer de 5.25 pulgadas y tweeter de 0.75 pulgadas o equivalente, cobertura minima de 100 grados x 100 grados, potencia minima de 100 W continuos y 200 W program, respuesta en frecuencia de al menos 60 Hz a 20 kHz, herraje de montaje incluido y construccion resistente a intemperie.</t>
  </si>
  <si>
    <t>Amplificador de potencia profesional clase D, de 2 canales, para instalacion fija, con capacidad de operacion en modo estereo sobre 4 y 8 ohmios, y en modo puente para 8 ohmios, 16 ohmios, 70V y 100V. Debera entregar una potencia minima de 200 W por canal en estereo y 400 W en modo puente, con respuesta en frecuencia de 20 Hz a 20 kHz +/-1 dB, formato ultracompacto maximo 1U y media anchura de rack o equivalente, enfriamiento por conveccion sin ventiladores, control remoto de volumen o mute o standby y protecciones internas.</t>
  </si>
  <si>
    <t>Extension de audio XLR, cable balanceado profesional de 20 metros, con conectores metalicos, blindaje contra interferencia e identificacion.</t>
  </si>
  <si>
    <t>Extension de audio XLR, cable balanceado profesional de 2 metros, con conectores metalicos, blindaje contra interferencia e identificacion.</t>
  </si>
  <si>
    <t>Cable de audio profesional para interconexion e instalacion, balanceado o segun aplicacion requerida, de uso institucional o escenico, con longitud total acumulada minima de 80 metros.</t>
  </si>
  <si>
    <t>M</t>
  </si>
  <si>
    <t>Servicio de instalacion, configuracion, programacion, ajuste y puesta en marcha del sistema de audio, incluyendo montaje, interconexion, configuracion de consola, coordinacion basica de frecuencias, ajuste de microfonos inalambricos, integracion del sistema de asistencia auditiva, pruebas funcionales y entrega operativa.</t>
  </si>
  <si>
    <t>Gl</t>
  </si>
  <si>
    <t>2. TARIMA</t>
  </si>
  <si>
    <t>Tarima modular escenica con dimensiones finales aproximadas de 7.32 m de frente por 2.44 m de fondo y altura de 60 cm, conformada por 6 modulos de aproximadamente 1.22 m x 2.44 m cada uno. Debera contar con estructura metalica o de aluminio de alta resistencia, superficie antideslizante, sistema de acople seguro entre modulos, patas firmes y nivelacion adecuada. No se aceptan soluciones improvisadas sin sistema modular profesional.</t>
  </si>
  <si>
    <t>Servicio de instalacion y nivelacion de tarima, incluyendo ensamble, verificacion de estabilidad estructural y entrega lista para uso.</t>
  </si>
  <si>
    <t>3. LUCES</t>
  </si>
  <si>
    <t>Luminaria LED multiproposito tipo wash/efecto, con minimo 18 LEDs quad-color RGB+UV de 6 W o equivalente, operacion en al menos 6 zonas independientes, control DMX, autonomo, maestro-esclavo e IR, canales DMX seleccionables, estrobo hasta 25 Hz, conectores XLR de 3 pines, angulo de haz aproximado de 40 grados, angulo de campo de 64 grados y capacidad de enlace de alimentacion entre unidades. No se acepta un PAR LED basico convencional.</t>
  </si>
  <si>
    <t>Luminaria LED tipo wash de blanco variable para iluminacion frontal de escenario o presentadores, con mezcla de LEDs blanco frio, blanco calido y ambar, rango de temperatura de color de 2700 K a 13000 K, operacion silenciosa sin ventilador, salida libre de parpadeo para uso con camara, control DMX por XLR de 3 y 5 pines, conectividad de alimentacion con bloqueo seguro y lentes intercambiables para modificar el haz. No se aceptan reflectores domesticos o arquitectonicos no disenados para escenario.</t>
  </si>
  <si>
    <t>Controlador DMX universal de 384 canales, con capacidad de control de hasta 12 luminarias inteligentes de hasta 32 canales cada una, almacenamiento de 30 bancos de 8 escenas, 6 secuencias o chases programables, funciones de fog, strobe, beat activation, tap-sync y auto-run, compatibilidad MIDI, selector de polaridad DMX, joystick asignable y formato rack 4U con conectores DMX XLR de 3 pines.</t>
  </si>
  <si>
    <t>Clamp de aluminio de alta resistencia, diseno angosto, compatible con truss de 50 mm, cierre envolvente de seguridad que abrace completamente la estructura, perno roscado M12 y capacidad minima de carga vertical de 110 kg.</t>
  </si>
  <si>
    <t>Cable DMX de impedancia adecuada para control de iluminacion, con conectores compatibles, longitud total acumulada minima de 80 metros, identificado e instalado profesionalmente. No se aceptara sustitucion simple por cable de microfono sin justificacion tecnica del fabricante.</t>
  </si>
  <si>
    <t>Servicio de instalacion, configuracion y programacion del sistema de iluminacion, incluyendo montaje, direccionamiento DMX, programacion de escenas basicas, enfoque, orientacion y pruebas funcionales.</t>
  </si>
  <si>
    <t>4. VIDEO</t>
  </si>
  <si>
    <t>Pantalla de proyeccion electrica premium de 133 pulgadas, formato 16:9, con area util minima de 2945 x 1655 mm, tela blanca mate de 4 capas con soporte en fibra de vidrio, ganancia 1.0, angulo de vision minimo de 160 grados y restauracion de color del 97% o equivalente. El material debera ser resistente a humedad, moho, deformacion y estiramiento, con superficie plana antideformacion. Debera incorporar motor tubular silencioso de posicionamiento preciso, control IR y opciones adicionales de control por RS-232 y contacto seco, apta para montaje en pared o techo.</t>
  </si>
  <si>
    <t>Proyector profesional de tiro corto con fuente de luz laser, tecnologia 3LCD de 3 chips o equivalente, resolucion nativa Full HD 1080p, brillo minimo de 4.000 lumenes de color y 4.000 lumenes de blanco, relacion de tiro aproximada entre 0.45 y 0.61, capacidad de proyeccion de hasta 132 pulgadas, pantalla dividida para hasta cuatro fuentes, transmision inalambrica multiusuario e instalacion en 360 grados. Debera incluir al menos 2 entradas HDMI, puerto RJ45, RS-232C, USB tipo A y USB tipo B. No se aceptan proyectores domesticos de entretenimiento.</t>
  </si>
  <si>
    <t>Soporte de proyector a techo, metalico, con capacidad de carga adecuada al proyector ofertado, ajuste de inclinacion y nivel, e incluye anclajes y herrajes necesarios.</t>
  </si>
  <si>
    <t>Kit profesional de extension audiovisual compuesto por transmisor mural single-gang de bajo perfil con entradas HDMI y USB-C, y receptor remoto con salida HDMI y 2 puertos USB tipo A, capaz de transportar video hasta 4K/60, audio multicanal y datos USB 2.0 sobre HDBaseT o tecnologia equivalente hasta 100 metros en Cat 6A, con ancho de banda de 18 Gbps, alimentacion PoC, control RS-232, gestion EDID, compatibilidad HDR y acabado arquitectonico discreto. No se aceptan extensores HDMI basicos ni soluciones de diferente fabricante sin compatibilidad nativa.</t>
  </si>
  <si>
    <t>Cable para enlace AV estructurado compatible con sistema de extension tipo HDBaseT o equivalente, con longitud total acumulada minima de 40 metros, instalado, certificado o probado segun requerimiento del sistema ofertado.</t>
  </si>
  <si>
    <t>Cable HDMI premium de alta velocidad, longitud de 2 metros, con capacidad minima de 18 Gbps, compatible con senales 4K/60 Hz 4:4:4, HDR, Wide Color Gamut, Dolby Vision, HDCP 2.3, ARC y transporte de audio multicanal hasta 7.1 o equivalente. Debera ser apto para instalaciones audiovisuales profesionales y contar con clasificacion para instalacion en muro tipo CL3 o equivalente.</t>
  </si>
  <si>
    <t>Servicio de instalacion, configuracion y puesta en marcha del sistema de video, incluyendo montaje de pantalla, montaje de proyector, instalacion de soporte, integracion del sistema de transmision AV, ajuste de imagen, enfoque, geometria y pruebas operativas con HDMI y USB-C.</t>
  </si>
  <si>
    <t>5. SALAS DE MUSICA x 3</t>
  </si>
  <si>
    <t>Altavoz portatil autoamplificado recargable, de dos vias, con woofer de 8 pulgadas y transductor de alta frecuencia de 1 pulgada o equivalente, nivel maximo de presion sonora no inferior a 112 dB SPL y respuesta en frecuencia extendida hasta 37.5 Hz o equivalente. Debera incorporar mezclador digital integrado de minimo 4 canales, entradas 2 combo XLR/TRS, 1 entrada Hi-Z de 1/4 de pulgada y 1 entrada auxiliar de 3.5 mm, phantom power, efectos integrados, ducking, Bluetooth con aplicacion movil y bateria intercambiable de hasta 12 horas.</t>
  </si>
  <si>
    <t>Soporte de piso tipo tripode para altavoz, compatible con inserto estandar de 35 mm, altura telescopica ajustable en un rango aproximado de 40 a 71 pulgadas, construccion metalica robusta con tuberia reforzada, mecanismo de bloqueo por tension, pasador de seguridad y capacidad minima de carga de 132 lb por unidad. Debera ser plegable para facilitar transporte y almacenamiento.</t>
  </si>
  <si>
    <t>Sistema inalambrico digital UHF con receptor de rack, transmisor bodypack y microfono headset cardioide, ancho de banda minimo de 56 MHz, hasta 2.240 frecuencias seleccionables, escalabilidad hasta 90 canales, respuesta de 20 Hz a 20 kHz, rango dinamico de 134 dB, latencia maxima de 1.9 ms, alcance hasta 100 m, bodypack robusto preferiblemente metalico y configuracion mediante aplicacion movil por Bluetooth Low Energy. No se aceptan diademas omnidireccionales como equivalentes para este item.</t>
  </si>
  <si>
    <t>Extension de audio XLR de 2 metros, cable balanceado profesional, con conectores metalicos y terminacion de fabrica o profesional.</t>
  </si>
  <si>
    <t>Servicio de instalacion, configuracion y puesta en operacion para salas de musica, incluyendo distribucion por espacios, emparejamiento de sistemas inalambricos, pruebas de audio y entrega operativa en las 3 salas.</t>
  </si>
  <si>
    <t>6. MICROFONERIA ADICIONAL</t>
  </si>
  <si>
    <t>Receptor portatil digital UHF de un canal para video, con Bluetooth integrado para sincronizacion y control, ancho de banda minimo de 56 MHz, rango dinamico de 134 dB, latencia maxima de 1.9 ms, autonomia minima de 7 horas, alimentacion por bateria o USB-C, montaje versatil con cold shoe y accesorios incluidos, y salidas o cableado aptos para conexion a camara y audio profesional.</t>
  </si>
  <si>
    <t>Transmisor digital UHF tipo plug-on, compatible con los receptores portatiles ofertados, con conector XLR integrado, entrada adicional de 3.5 mm, alimentacion phantom real de +48 V, ranura microSD para grabacion local, Bluetooth para sincronizacion y control, ancho de banda minimo de 56 MHz, rango dinamico de 134 dB, latencia maxima de 1.9 ms y alimentacion por baterias AA o bateria recargable dedicada.</t>
  </si>
  <si>
    <t>Microfono de condensador verdadero de gran diafragma de 1 pulgada, patron cardioide, respuesta 20 Hz a 20 kHz, sensibilidad aproximada de 25 mV/Pa, SPL maximo minimo de 140 dB, rango dinamico minimo de 130 dB, bajo ruido propio, alimentacion phantom 48 V, cuerpo metalico y capsula con suspension interna. No se aceptan microfonos electret, dinamicos, pencil o de pequeno diafragma como equivalentes.</t>
  </si>
  <si>
    <t>Extension de audio XLR de 2 metros, cable balanceado profesional, con conectores metalicos y terminacion profesional.</t>
  </si>
  <si>
    <t>Servicio de instalacion, configuracion, emparejamiento y pruebas del sistema de microfoneria adicional, incluyendo verificacion de compatibilidad entre receptores portatiles, transmisores plug-on y microfonos de condensador, pruebas de phantom power si aplica y entrega operativa.</t>
  </si>
  <si>
    <t>%
IVA</t>
  </si>
  <si>
    <t>Valor Unitario Con IVA</t>
  </si>
  <si>
    <t>Valor unitario sin IVA</t>
  </si>
  <si>
    <t>Valor total sin IVA</t>
  </si>
  <si>
    <t>Valor total con IVA</t>
  </si>
  <si>
    <t>ESTUDIO DE MERCADO DOTACIÓN CASA DE LA CULTURA No. 2</t>
  </si>
  <si>
    <t>SUBTOTAL</t>
  </si>
  <si>
    <t>Valor IVA</t>
  </si>
  <si>
    <t>RESUMEN</t>
  </si>
  <si>
    <t>Total Valor Unitario sin IVA</t>
  </si>
  <si>
    <t>Total IVA</t>
  </si>
  <si>
    <t>Total Valor Unitario con IVA</t>
  </si>
  <si>
    <t>Divisor de antena activo para UHF Wireless SLX4, BLX4R, BLX24R SLX receptores con 2 paletas de antena direccional activa
Divisor de antena activa de cinco vías y sistema de distribución de energía para receptores QLX-D, ULX, ULX-D, SLX y BLX (solo BLX4R)
Descripción de la antena: Radio
Impedancia: 50.0 ohm
Alcance máximo: 328.1 ft
Número de canales: 5
Tipo de alimentación: Corded Electri</t>
  </si>
  <si>
    <t>NIT</t>
  </si>
  <si>
    <t>DIRECCIÓN</t>
  </si>
  <si>
    <t>TELÉFONO</t>
  </si>
  <si>
    <t>PROPONENTE</t>
  </si>
  <si>
    <t>Suministro, instalación, configuración, programación, integración, realización de pruebas y puesta en funcionamiento de una solución audiovisual compuesta por sistemas de audio profesional y sus accesorios, destinada a la Casa de la Cultura No. 2, escenario administrado por el Instituto Municipal de Cultura y Turismo de Cajicá.</t>
  </si>
  <si>
    <t>CATCHBOX</t>
  </si>
  <si>
    <t>PAAB00AB00EJ00-0</t>
  </si>
  <si>
    <t>SENNHEISER</t>
  </si>
  <si>
    <t>EW-D 835-S</t>
  </si>
  <si>
    <t>SL HEADMIC</t>
  </si>
  <si>
    <t>EW-D SK</t>
  </si>
  <si>
    <t>E 835-S</t>
  </si>
  <si>
    <t>GL-INET</t>
  </si>
  <si>
    <t>GL-SFT1200</t>
  </si>
  <si>
    <t>PROEL</t>
  </si>
  <si>
    <t xml:space="preserve">PRO200BK </t>
  </si>
  <si>
    <t>SEISMIC</t>
  </si>
  <si>
    <t>SACB-8x4x100</t>
  </si>
  <si>
    <t>MIDAS</t>
  </si>
  <si>
    <t>M32 LIVE</t>
  </si>
  <si>
    <t>JBL</t>
  </si>
  <si>
    <t>PRX ONE</t>
  </si>
  <si>
    <t>CONTROL 25-1L</t>
  </si>
  <si>
    <t>QSC</t>
  </si>
  <si>
    <t>SPA2-200</t>
  </si>
  <si>
    <t>BELDEN / NEUTRIK</t>
  </si>
  <si>
    <t>SEEL</t>
  </si>
  <si>
    <t>EW-D ASA+ AWM UHF + POWER SUPPLY</t>
  </si>
  <si>
    <t>* 1192A
* XLR3</t>
  </si>
  <si>
    <t>* Cable Belden para Microfono - BELDEN (80 metros)
* Pareja de conectores hembra y macho -  NEUTRIK (1 Unidad)</t>
  </si>
  <si>
    <t>PROLYTE</t>
  </si>
  <si>
    <t>SM-D-T-200100</t>
  </si>
  <si>
    <t>CHAUVET DJ</t>
  </si>
  <si>
    <t>WASH FX 2</t>
  </si>
  <si>
    <t>EVE P-140 VW</t>
  </si>
  <si>
    <t>ADJ</t>
  </si>
  <si>
    <t>DMX OPERATOR 384</t>
  </si>
  <si>
    <t>COSMIC TRUSS</t>
  </si>
  <si>
    <t>G15AD</t>
  </si>
  <si>
    <t>* Cable para DMX - BELDEN (80 metros)
* Pareja de conectores XLR5 macho y hembra NEUTRIK (1 Unidad)</t>
  </si>
  <si>
    <t>* 1800B
* XLRS</t>
  </si>
  <si>
    <t>LUMENE</t>
  </si>
  <si>
    <t xml:space="preserve"> MAJESTIC HD 350 C (16:9)</t>
  </si>
  <si>
    <t>EPSON</t>
  </si>
  <si>
    <t>POWERLITE L210SF</t>
  </si>
  <si>
    <t>NORTH BAYEAOU</t>
  </si>
  <si>
    <t>NBT817-60</t>
  </si>
  <si>
    <t>KRAMER</t>
  </si>
  <si>
    <t>SWT3-22-HU-WP-T + TP580R</t>
  </si>
  <si>
    <t>AVPRO</t>
  </si>
  <si>
    <t>EDGE AC-BT02-AUHD</t>
  </si>
  <si>
    <t>* Cable Qpcom (40 METROS)
* Pareja de conectores RJ45 (1 UNIDAD)</t>
  </si>
  <si>
    <t>EON ONE Compact</t>
  </si>
  <si>
    <t>PYLE</t>
  </si>
  <si>
    <t>PSTK107</t>
  </si>
  <si>
    <t>EW-D ME3 SET</t>
  </si>
  <si>
    <t>EW-EP EK</t>
  </si>
  <si>
    <t>EW-DP SKP</t>
  </si>
  <si>
    <t>MK4</t>
  </si>
  <si>
    <t>SEEL S.A.</t>
  </si>
  <si>
    <t>INTEGRACION AV</t>
  </si>
  <si>
    <t xml:space="preserve">CATCHBOX </t>
  </si>
  <si>
    <t xml:space="preserve">SENNHEISER </t>
  </si>
  <si>
    <t xml:space="preserve">EW-D 835-S SET </t>
  </si>
  <si>
    <t>SL HEADMIC 1</t>
  </si>
  <si>
    <t>e 835-S</t>
  </si>
  <si>
    <t xml:space="preserve">MobileConnect Station </t>
  </si>
  <si>
    <t xml:space="preserve">GLNet </t>
  </si>
  <si>
    <t>INNOGEAR</t>
  </si>
  <si>
    <t>TS-280</t>
  </si>
  <si>
    <t>SEISMIC AUDIO</t>
  </si>
  <si>
    <t>SACB 8x4x100</t>
  </si>
  <si>
    <t>BEHRINGER</t>
  </si>
  <si>
    <t>X32</t>
  </si>
  <si>
    <t>EXTRON</t>
  </si>
  <si>
    <t>XPA/U 2002- SB</t>
  </si>
  <si>
    <t>N/A</t>
  </si>
  <si>
    <t>CABLE 20 METROS</t>
  </si>
  <si>
    <t>CABLE 2 METROS</t>
  </si>
  <si>
    <t>CABLE AUDIO</t>
  </si>
  <si>
    <t>INSTALACION</t>
  </si>
  <si>
    <t>SHURE</t>
  </si>
  <si>
    <t>UA844+SWB</t>
  </si>
  <si>
    <t>TARIMA</t>
  </si>
  <si>
    <t>CHAUVET</t>
  </si>
  <si>
    <t>WASHF-X2</t>
  </si>
  <si>
    <t>EVE P-140/VW</t>
  </si>
  <si>
    <t>OBEY-70</t>
  </si>
  <si>
    <t>CLP-15N</t>
  </si>
  <si>
    <t>CBL/DMX</t>
  </si>
  <si>
    <t xml:space="preserve">SOLIDVIEW </t>
  </si>
  <si>
    <t>TL 1002</t>
  </si>
  <si>
    <t>PowerLite- L210SF</t>
  </si>
  <si>
    <t>SOPORTE</t>
  </si>
  <si>
    <t>MI/604</t>
  </si>
  <si>
    <t xml:space="preserve">AVPRO EDGE </t>
  </si>
  <si>
    <t xml:space="preserve">AC/CXWP/LPDHU-KIT </t>
  </si>
  <si>
    <t>CABLE RED</t>
  </si>
  <si>
    <t>AC-BT02/AUHD</t>
  </si>
  <si>
    <t xml:space="preserve">EON ONE </t>
  </si>
  <si>
    <t>Pyle</t>
  </si>
  <si>
    <t xml:space="preserve">EW-D ME3 SET (Q1-6) </t>
  </si>
  <si>
    <t>CABL-AUD</t>
  </si>
  <si>
    <t xml:space="preserve">MK4 </t>
  </si>
  <si>
    <t>CABLE DE AUDIO</t>
  </si>
  <si>
    <t>SMART LIFE S.A.S.</t>
  </si>
  <si>
    <t>EW-D 835-S SET (Q1-6)</t>
  </si>
  <si>
    <t>SL HEADMIC 1 BE</t>
  </si>
  <si>
    <t xml:space="preserve">GL.iNet </t>
  </si>
  <si>
    <t>TS280</t>
  </si>
  <si>
    <t>XPA U 2002 SB</t>
  </si>
  <si>
    <t xml:space="preserve">SMART LIFE </t>
  </si>
  <si>
    <t>EXT-20</t>
  </si>
  <si>
    <t>EXT-2</t>
  </si>
  <si>
    <t xml:space="preserve">CBL-AUD </t>
  </si>
  <si>
    <t>INST</t>
  </si>
  <si>
    <t>WASHFX2</t>
  </si>
  <si>
    <t>OBEY70</t>
  </si>
  <si>
    <t>CLP15N</t>
  </si>
  <si>
    <t>CBL-DMX</t>
  </si>
  <si>
    <t>TL-1002</t>
  </si>
  <si>
    <t>PowerLite L210SF</t>
  </si>
  <si>
    <t xml:space="preserve">MOUNT-IT  </t>
  </si>
  <si>
    <t>MI-604</t>
  </si>
  <si>
    <t xml:space="preserve">AC-CXWP-LPDHU-KIT </t>
  </si>
  <si>
    <t>CABL-HDBT</t>
  </si>
  <si>
    <t>AC-BT02-AUHD</t>
  </si>
  <si>
    <t>DIFERENCIA
MAX-MIN</t>
  </si>
  <si>
    <t>MIN
VALOR TOTAL
CON IVA</t>
  </si>
  <si>
    <t>MAX
VALOR TOTAL
CON IVA</t>
  </si>
  <si>
    <t>PROMEDIO</t>
  </si>
  <si>
    <t>Valor unitario</t>
  </si>
  <si>
    <t>7, ELEMENTOS ADICIONALES</t>
  </si>
  <si>
    <t>Planta eléctrica.
Potencia Stand by 8500 W. Límite superior MSNM 2800. Potencia máxima, 8500 W. Porcentaje de derrateo por altitud (% por cada msnm). 1% X 100 msnm. Potencia nominal, 8000 W. Velocidad, 3600 RPM. Frecuencia, 60 HZ. Suministro Eléctrico. Corriente alterna (diseñado para conexión en la red). Tipo de combustible, Gasolina. Uso de herramienta, Profesional. Ruedas para traslado. Regulador de voltaje. Salidas, 4. Amperaje, 36 A. Nivel de protección, IP 23. Potencia, 8500 W. Duración batería, 1 - 240 min. Motor, GASOLINA. Nivel de ruido, 84 dBA. Partida, Eléctrica. Fase, Bifásico. Voltaje, 110 V, 220 V.</t>
  </si>
  <si>
    <t xml:space="preserve">Ups Powest Titan 3kva 120vac 3000va Online
Potencia pico, 3000VA. Voltaje de entrada, 120V. Voltaje de salida, 120v. Voltaje de entrada CA, 120. Voltaje de Salida CA, 120. Rango de voltaje de entrada, amplio rango. Rango de voltaje de entrada CA, amplio rango. </t>
  </si>
  <si>
    <t>DUCATI</t>
  </si>
  <si>
    <t>DGR9000ES</t>
  </si>
  <si>
    <t>UPS ON LINE 3KVA</t>
  </si>
  <si>
    <t>POWEST 3KVA</t>
  </si>
  <si>
    <t>PLANTA
ELECTRICA</t>
  </si>
  <si>
    <t>P- ELECT 3084</t>
  </si>
  <si>
    <t>UPS</t>
  </si>
  <si>
    <t>UPS -3KVA</t>
  </si>
  <si>
    <t>Bauker</t>
  </si>
  <si>
    <t>Planta eléctrica</t>
  </si>
  <si>
    <t>UPS APC</t>
  </si>
  <si>
    <t>Schneider Electric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</si>
</sst>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name val="Calibri"/>
      <scheme val="minor"/>
    </font>
    <font>
      <b/>
      <sz val="14"/>
      <color rgb="FFFFFFFF"/>
      <name val="Calibri"/>
      <family val="2"/>
    </font>
    <font>
      <sz val="11"/>
      <name val="Calibri"/>
      <family val="2"/>
    </font>
    <font>
      <sz val="11"/>
      <name val="Calibri"/>
      <family val="2"/>
    </font>
    <font>
      <b/>
      <sz val="10"/>
      <color rgb="FF000000"/>
      <name val="Calibri"/>
      <family val="2"/>
    </font>
    <font>
      <b/>
      <sz val="11"/>
      <color rgb="FFFFFFFF"/>
      <name val="Calibri"/>
      <family val="2"/>
    </font>
    <font>
      <b/>
      <sz val="11"/>
      <color rgb="FF000000"/>
      <name val="Calibri"/>
      <family val="2"/>
    </font>
    <font>
      <sz val="10"/>
      <color rgb="FF000000"/>
      <name val="Calibri"/>
      <family val="2"/>
    </font>
    <font>
      <sz val="11"/>
      <name val="Calibri"/>
      <family val="2"/>
      <scheme val="minor"/>
    </font>
    <font>
      <b/>
      <sz val="11"/>
      <color rgb="FF000000"/>
      <name val="Calibri"/>
    </font>
    <font>
      <sz val="11"/>
      <name val="Calibri"/>
    </font>
    <font>
      <sz val="10"/>
      <color rgb="FF000000"/>
      <name val="Calibri"/>
    </font>
  </fonts>
  <fills count="7">
    <fill>
      <patternFill patternType="none"/>
    </fill>
    <fill>
      <patternFill patternType="gray125"/>
    </fill>
    <fill>
      <patternFill patternType="solid">
        <fgColor rgb="FF1F4E78"/>
        <bgColor rgb="FF1F4E78"/>
      </patternFill>
    </fill>
    <fill>
      <patternFill patternType="solid">
        <fgColor rgb="FFE7E6E6"/>
        <bgColor rgb="FFE7E6E6"/>
      </patternFill>
    </fill>
    <fill>
      <patternFill patternType="solid">
        <fgColor rgb="FFD9EAF7"/>
        <bgColor rgb="FFD9EAF7"/>
      </patternFill>
    </fill>
    <fill>
      <patternFill patternType="solid">
        <fgColor theme="5" tint="0.79998168889431442"/>
        <bgColor rgb="FFFCE4D6"/>
      </patternFill>
    </fill>
    <fill>
      <patternFill patternType="solid">
        <fgColor theme="5" tint="0.79998168889431442"/>
        <bgColor indexed="64"/>
      </patternFill>
    </fill>
  </fills>
  <borders count="12">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rgb="FFBFBFBF"/>
      </left>
      <right/>
      <top/>
      <bottom style="thin">
        <color rgb="FFBFBFBF"/>
      </bottom>
      <diagonal/>
    </border>
    <border>
      <left/>
      <right/>
      <top/>
      <bottom style="thin">
        <color rgb="FFBFBFBF"/>
      </bottom>
      <diagonal/>
    </border>
    <border>
      <left/>
      <right style="thin">
        <color rgb="FFBFBFBF"/>
      </right>
      <top/>
      <bottom style="thin">
        <color rgb="FFBFBFBF"/>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1F4E78"/>
      </left>
      <right style="medium">
        <color rgb="FF1F4E78"/>
      </right>
      <top style="medium">
        <color rgb="FF1F4E78"/>
      </top>
      <bottom/>
      <diagonal/>
    </border>
  </borders>
  <cellStyleXfs count="2">
    <xf numFmtId="0" fontId="0" fillId="0" borderId="0"/>
    <xf numFmtId="44" fontId="8" fillId="0" borderId="0" applyFont="0" applyFill="0" applyBorder="0" applyAlignment="0" applyProtection="0"/>
  </cellStyleXfs>
  <cellXfs count="76">
    <xf numFmtId="0" fontId="0" fillId="0" borderId="0" xfId="0" applyFont="1" applyAlignment="1"/>
    <xf numFmtId="0" fontId="3" fillId="0" borderId="0" xfId="0" applyFont="1" applyAlignment="1">
      <alignment horizontal="left" vertical="top" wrapText="1"/>
    </xf>
    <xf numFmtId="0" fontId="3"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left" vertical="top" wrapText="1"/>
    </xf>
    <xf numFmtId="0" fontId="0" fillId="0" borderId="2" xfId="0" applyFont="1" applyBorder="1" applyAlignment="1"/>
    <xf numFmtId="0" fontId="7" fillId="5" borderId="3" xfId="0" applyFont="1" applyFill="1" applyBorder="1" applyAlignment="1">
      <alignment horizontal="center" vertical="center" wrapText="1"/>
    </xf>
    <xf numFmtId="164" fontId="7" fillId="5" borderId="3" xfId="1" applyNumberFormat="1" applyFont="1" applyFill="1" applyBorder="1" applyAlignment="1">
      <alignment horizontal="center" vertical="center" wrapText="1"/>
    </xf>
    <xf numFmtId="164" fontId="0" fillId="6" borderId="3" xfId="1" applyNumberFormat="1" applyFont="1" applyFill="1" applyBorder="1" applyAlignment="1">
      <alignment horizontal="center" vertical="center"/>
    </xf>
    <xf numFmtId="0" fontId="6" fillId="4" borderId="2" xfId="0" applyFont="1" applyFill="1" applyBorder="1" applyAlignment="1">
      <alignment horizontal="left" vertical="center"/>
    </xf>
    <xf numFmtId="0" fontId="3" fillId="0" borderId="2" xfId="0" applyFont="1" applyBorder="1"/>
    <xf numFmtId="0" fontId="7" fillId="0" borderId="2" xfId="0" applyFont="1" applyBorder="1" applyAlignment="1">
      <alignment horizontal="center" vertical="center" wrapText="1"/>
    </xf>
    <xf numFmtId="0" fontId="7" fillId="0" borderId="2" xfId="0" applyFont="1" applyBorder="1" applyAlignment="1">
      <alignment horizontal="left" vertical="top" wrapText="1"/>
    </xf>
    <xf numFmtId="0" fontId="7" fillId="5" borderId="2" xfId="0" applyFont="1" applyFill="1" applyBorder="1" applyAlignment="1">
      <alignment horizontal="center" vertical="center" wrapText="1"/>
    </xf>
    <xf numFmtId="164" fontId="7" fillId="5" borderId="2" xfId="1" applyNumberFormat="1" applyFont="1" applyFill="1" applyBorder="1" applyAlignment="1">
      <alignment horizontal="center" vertical="center" wrapText="1"/>
    </xf>
    <xf numFmtId="164" fontId="7" fillId="5" borderId="3" xfId="0" applyNumberFormat="1" applyFont="1" applyFill="1" applyBorder="1" applyAlignment="1">
      <alignment horizontal="center" vertical="center" wrapText="1"/>
    </xf>
    <xf numFmtId="0" fontId="3" fillId="0" borderId="4" xfId="0" applyFont="1" applyBorder="1" applyAlignment="1">
      <alignment vertical="center" wrapText="1"/>
    </xf>
    <xf numFmtId="0" fontId="2" fillId="0" borderId="5" xfId="0" applyFont="1" applyBorder="1" applyAlignment="1"/>
    <xf numFmtId="0" fontId="2" fillId="0" borderId="6" xfId="0" applyFont="1" applyBorder="1" applyAlignment="1"/>
    <xf numFmtId="0" fontId="3" fillId="0" borderId="2" xfId="0" applyFont="1" applyBorder="1" applyAlignment="1">
      <alignment vertical="center" wrapText="1"/>
    </xf>
    <xf numFmtId="0" fontId="2" fillId="0" borderId="2" xfId="0" applyFont="1" applyBorder="1" applyAlignment="1"/>
    <xf numFmtId="0" fontId="2" fillId="0" borderId="3" xfId="0" applyFont="1" applyBorder="1" applyAlignment="1">
      <alignment horizontal="left" vertical="center" wrapText="1"/>
    </xf>
    <xf numFmtId="164" fontId="3" fillId="0" borderId="3" xfId="0" applyNumberFormat="1" applyFont="1" applyBorder="1" applyAlignment="1">
      <alignment horizontal="center" vertical="center" wrapText="1"/>
    </xf>
    <xf numFmtId="0" fontId="4" fillId="3" borderId="3" xfId="0" applyFont="1" applyFill="1" applyBorder="1" applyAlignment="1">
      <alignment horizontal="left" vertical="center"/>
    </xf>
    <xf numFmtId="0" fontId="2" fillId="0" borderId="3" xfId="0" applyFont="1" applyBorder="1" applyAlignment="1">
      <alignment horizontal="center" vertical="top" wrapText="1"/>
    </xf>
    <xf numFmtId="0" fontId="4" fillId="3" borderId="3" xfId="0" applyFont="1" applyFill="1" applyBorder="1" applyAlignment="1">
      <alignment horizontal="center" vertical="center"/>
    </xf>
    <xf numFmtId="0" fontId="5" fillId="2" borderId="11"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7" fillId="0" borderId="3" xfId="0" applyFont="1" applyFill="1" applyBorder="1" applyAlignment="1">
      <alignment horizontal="center" vertical="center" wrapText="1"/>
    </xf>
    <xf numFmtId="164" fontId="7" fillId="0" borderId="3" xfId="1" applyNumberFormat="1" applyFont="1" applyFill="1" applyBorder="1" applyAlignment="1">
      <alignment horizontal="center" vertical="center" wrapText="1"/>
    </xf>
    <xf numFmtId="164" fontId="7" fillId="0" borderId="3" xfId="0" applyNumberFormat="1" applyFont="1" applyFill="1" applyBorder="1" applyAlignment="1">
      <alignment horizontal="center" vertical="center" wrapText="1"/>
    </xf>
    <xf numFmtId="164" fontId="0" fillId="0" borderId="3" xfId="1" applyNumberFormat="1" applyFont="1" applyFill="1" applyBorder="1" applyAlignment="1">
      <alignment horizontal="center" vertical="center"/>
    </xf>
    <xf numFmtId="164" fontId="7" fillId="0" borderId="2" xfId="1"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3" fillId="0" borderId="2" xfId="0" applyFont="1" applyFill="1" applyBorder="1"/>
    <xf numFmtId="0" fontId="0" fillId="0" borderId="2" xfId="0" applyFont="1" applyFill="1" applyBorder="1" applyAlignment="1"/>
    <xf numFmtId="0" fontId="2" fillId="0" borderId="2" xfId="0" applyFont="1" applyFill="1" applyBorder="1" applyAlignment="1"/>
    <xf numFmtId="0" fontId="2" fillId="0" borderId="5" xfId="0" applyFont="1" applyFill="1" applyBorder="1" applyAlignment="1"/>
    <xf numFmtId="0" fontId="2" fillId="0" borderId="6" xfId="0" applyFont="1" applyFill="1" applyBorder="1" applyAlignment="1"/>
    <xf numFmtId="0" fontId="3" fillId="0" borderId="2" xfId="0" applyFont="1" applyFill="1" applyBorder="1" applyAlignment="1">
      <alignment vertical="center" wrapText="1"/>
    </xf>
    <xf numFmtId="0" fontId="2" fillId="0" borderId="3" xfId="0" applyFont="1" applyFill="1" applyBorder="1" applyAlignment="1">
      <alignment horizontal="left" vertical="center" wrapText="1"/>
    </xf>
    <xf numFmtId="164" fontId="3" fillId="0" borderId="3"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top" wrapText="1"/>
    </xf>
    <xf numFmtId="0" fontId="0" fillId="0" borderId="0" xfId="0" applyFont="1" applyFill="1" applyAlignment="1"/>
    <xf numFmtId="164" fontId="0" fillId="0" borderId="0" xfId="0" applyNumberFormat="1" applyFont="1" applyAlignment="1"/>
    <xf numFmtId="164" fontId="0" fillId="0" borderId="0" xfId="0" applyNumberFormat="1" applyFont="1" applyAlignment="1">
      <alignment horizontal="center" vertical="center"/>
    </xf>
    <xf numFmtId="0" fontId="0" fillId="0" borderId="0" xfId="0" applyFont="1" applyAlignment="1">
      <alignment horizontal="center" vertical="center"/>
    </xf>
    <xf numFmtId="0" fontId="8" fillId="0" borderId="3" xfId="0" applyFont="1" applyBorder="1" applyAlignment="1">
      <alignment horizontal="center" vertical="center" wrapText="1"/>
    </xf>
    <xf numFmtId="164" fontId="0" fillId="0" borderId="3" xfId="0" applyNumberFormat="1" applyFont="1" applyBorder="1" applyAlignment="1">
      <alignment horizontal="center" vertical="center"/>
    </xf>
    <xf numFmtId="0" fontId="9" fillId="4" borderId="2" xfId="0" applyFont="1" applyFill="1" applyBorder="1" applyAlignment="1">
      <alignment horizontal="left" vertical="center"/>
    </xf>
    <xf numFmtId="0" fontId="10" fillId="0" borderId="2" xfId="0" applyFont="1" applyBorder="1"/>
    <xf numFmtId="0" fontId="0" fillId="0" borderId="2" xfId="0" applyBorder="1"/>
    <xf numFmtId="0" fontId="11" fillId="0" borderId="3" xfId="0" applyFont="1" applyBorder="1" applyAlignment="1">
      <alignment horizontal="center" vertical="center" wrapText="1"/>
    </xf>
    <xf numFmtId="0" fontId="11" fillId="0" borderId="3" xfId="0" applyFont="1" applyBorder="1" applyAlignment="1">
      <alignment horizontal="left" vertical="top" wrapText="1"/>
    </xf>
    <xf numFmtId="0" fontId="11" fillId="5" borderId="3" xfId="0" applyFont="1" applyFill="1" applyBorder="1" applyAlignment="1">
      <alignment horizontal="center" vertical="center" wrapText="1"/>
    </xf>
    <xf numFmtId="164" fontId="11" fillId="5" borderId="3" xfId="1" applyNumberFormat="1" applyFont="1" applyFill="1" applyBorder="1" applyAlignment="1">
      <alignment horizontal="center" vertical="center" wrapText="1"/>
    </xf>
    <xf numFmtId="164" fontId="11" fillId="5"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xf>
    <xf numFmtId="0" fontId="3" fillId="0" borderId="3" xfId="0" applyFont="1" applyFill="1" applyBorder="1" applyAlignment="1">
      <alignment horizontal="center" vertical="center"/>
    </xf>
    <xf numFmtId="0" fontId="7" fillId="0" borderId="7" xfId="0" applyFont="1" applyFill="1" applyBorder="1" applyAlignment="1">
      <alignment horizontal="center" vertical="center" wrapText="1"/>
    </xf>
    <xf numFmtId="0" fontId="2" fillId="0" borderId="3" xfId="0" applyFont="1" applyBorder="1" applyAlignment="1">
      <alignment horizontal="center" vertical="top" wrapText="1"/>
    </xf>
    <xf numFmtId="0" fontId="7" fillId="5" borderId="7"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Border="1" applyAlignment="1">
      <alignment horizontal="center" vertical="center"/>
    </xf>
    <xf numFmtId="0" fontId="3"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2" fillId="0" borderId="3" xfId="0" applyFont="1" applyFill="1" applyBorder="1" applyAlignment="1">
      <alignment horizontal="center" vertical="center" wrapText="1"/>
    </xf>
    <xf numFmtId="0" fontId="3" fillId="0" borderId="8" xfId="0" applyFont="1" applyFill="1" applyBorder="1" applyAlignment="1">
      <alignment horizontal="center" vertical="center"/>
    </xf>
    <xf numFmtId="164" fontId="0" fillId="6" borderId="8" xfId="1" applyNumberFormat="1" applyFont="1" applyFill="1" applyBorder="1" applyAlignment="1">
      <alignment horizontal="center" vertical="center"/>
    </xf>
    <xf numFmtId="0" fontId="0" fillId="0" borderId="3" xfId="0" applyFont="1" applyBorder="1" applyAlignment="1">
      <alignment horizontal="center" vertical="center"/>
    </xf>
    <xf numFmtId="0" fontId="8" fillId="0" borderId="3"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F100"/>
  <sheetViews>
    <sheetView showGridLines="0" tabSelected="1" topLeftCell="V1" zoomScale="84" workbookViewId="0">
      <pane ySplit="6" topLeftCell="A63" activePane="bottomLeft" state="frozen"/>
      <selection pane="bottomLeft" activeCell="AF66" sqref="AF66"/>
    </sheetView>
  </sheetViews>
  <sheetFormatPr baseColWidth="10" defaultColWidth="14.42578125" defaultRowHeight="15" customHeight="1" x14ac:dyDescent="0.25"/>
  <cols>
    <col min="1" max="1" width="13.7109375" customWidth="1"/>
    <col min="2" max="2" width="95" customWidth="1"/>
    <col min="3" max="4" width="12" customWidth="1"/>
    <col min="5" max="5" width="18" customWidth="1"/>
    <col min="6" max="6" width="20" customWidth="1"/>
    <col min="7" max="7" width="16" customWidth="1"/>
    <col min="8" max="8" width="4.140625" bestFit="1" customWidth="1"/>
    <col min="9" max="9" width="12.140625" bestFit="1" customWidth="1"/>
    <col min="10" max="10" width="18" customWidth="1"/>
    <col min="11" max="11" width="17" bestFit="1" customWidth="1"/>
    <col min="12" max="12" width="17.5703125" bestFit="1" customWidth="1"/>
    <col min="13" max="13" width="18" customWidth="1"/>
    <col min="14" max="14" width="19.7109375" bestFit="1" customWidth="1"/>
    <col min="15" max="15" width="16" customWidth="1"/>
    <col min="16" max="16" width="4.140625" bestFit="1" customWidth="1"/>
    <col min="17" max="17" width="13.42578125" bestFit="1" customWidth="1"/>
    <col min="18" max="18" width="18" customWidth="1"/>
    <col min="19" max="19" width="17" bestFit="1" customWidth="1"/>
    <col min="20" max="20" width="17.5703125" bestFit="1" customWidth="1"/>
    <col min="21" max="21" width="18" customWidth="1"/>
    <col min="22" max="22" width="20" customWidth="1"/>
    <col min="23" max="23" width="16" customWidth="1"/>
    <col min="24" max="24" width="4.140625" bestFit="1" customWidth="1"/>
    <col min="25" max="25" width="12.140625" bestFit="1" customWidth="1"/>
    <col min="26" max="26" width="18" customWidth="1"/>
    <col min="27" max="28" width="24.28515625" bestFit="1" customWidth="1"/>
    <col min="29" max="29" width="18.5703125" customWidth="1"/>
    <col min="30" max="30" width="17.85546875" customWidth="1"/>
    <col min="32" max="32" width="15.85546875" bestFit="1" customWidth="1"/>
  </cols>
  <sheetData>
    <row r="1" spans="1:32" ht="27.75" customHeight="1" x14ac:dyDescent="0.25">
      <c r="A1" s="63" t="s">
        <v>63</v>
      </c>
      <c r="B1" s="63"/>
      <c r="C1" s="63"/>
      <c r="D1" s="63"/>
      <c r="E1" s="63"/>
      <c r="F1" s="63"/>
      <c r="G1" s="63"/>
      <c r="H1" s="63"/>
      <c r="I1" s="64"/>
      <c r="J1" s="63"/>
      <c r="K1" s="63"/>
      <c r="L1" s="63"/>
    </row>
    <row r="2" spans="1:32" x14ac:dyDescent="0.25">
      <c r="B2" s="1"/>
      <c r="H2" s="1"/>
      <c r="I2" s="1"/>
    </row>
    <row r="3" spans="1:32" ht="42" customHeight="1" x14ac:dyDescent="0.25">
      <c r="A3" s="23" t="s">
        <v>0</v>
      </c>
      <c r="B3" s="61" t="s">
        <v>75</v>
      </c>
      <c r="C3" s="61"/>
      <c r="D3" s="61"/>
      <c r="E3" s="61"/>
      <c r="F3" s="61"/>
      <c r="G3" s="61"/>
      <c r="H3" s="61"/>
      <c r="I3" s="61"/>
      <c r="J3" s="61"/>
      <c r="K3" s="61"/>
      <c r="L3" s="61"/>
    </row>
    <row r="4" spans="1:32" ht="42" customHeight="1" x14ac:dyDescent="0.25">
      <c r="A4" s="23" t="s">
        <v>74</v>
      </c>
      <c r="B4" s="24"/>
      <c r="C4" s="25" t="s">
        <v>71</v>
      </c>
      <c r="D4" s="68"/>
      <c r="E4" s="69"/>
      <c r="F4" s="25" t="s">
        <v>72</v>
      </c>
      <c r="G4" s="68"/>
      <c r="H4" s="70"/>
      <c r="I4" s="69"/>
      <c r="J4" s="25" t="s">
        <v>73</v>
      </c>
      <c r="K4" s="68"/>
      <c r="L4" s="69"/>
    </row>
    <row r="5" spans="1:32" ht="15.75" thickBot="1" x14ac:dyDescent="0.3">
      <c r="B5" s="1"/>
      <c r="H5" s="1"/>
      <c r="I5" s="1"/>
    </row>
    <row r="6" spans="1:32" ht="27.75" customHeight="1" x14ac:dyDescent="0.25">
      <c r="A6" s="26" t="s">
        <v>1</v>
      </c>
      <c r="B6" s="26" t="s">
        <v>2</v>
      </c>
      <c r="C6" s="26" t="s">
        <v>3</v>
      </c>
      <c r="D6" s="26" t="s">
        <v>4</v>
      </c>
      <c r="E6" s="26" t="s">
        <v>5</v>
      </c>
      <c r="F6" s="26" t="s">
        <v>6</v>
      </c>
      <c r="G6" s="26" t="s">
        <v>60</v>
      </c>
      <c r="H6" s="26" t="s">
        <v>58</v>
      </c>
      <c r="I6" s="26" t="s">
        <v>65</v>
      </c>
      <c r="J6" s="26" t="s">
        <v>59</v>
      </c>
      <c r="K6" s="26" t="s">
        <v>61</v>
      </c>
      <c r="L6" s="26" t="s">
        <v>62</v>
      </c>
      <c r="M6" s="26" t="s">
        <v>5</v>
      </c>
      <c r="N6" s="26" t="s">
        <v>6</v>
      </c>
      <c r="O6" s="26" t="s">
        <v>60</v>
      </c>
      <c r="P6" s="26" t="s">
        <v>58</v>
      </c>
      <c r="Q6" s="26" t="s">
        <v>65</v>
      </c>
      <c r="R6" s="26" t="s">
        <v>59</v>
      </c>
      <c r="S6" s="26" t="s">
        <v>61</v>
      </c>
      <c r="T6" s="26" t="s">
        <v>62</v>
      </c>
      <c r="U6" s="26" t="s">
        <v>5</v>
      </c>
      <c r="V6" s="26" t="s">
        <v>6</v>
      </c>
      <c r="W6" s="26" t="s">
        <v>60</v>
      </c>
      <c r="X6" s="26" t="s">
        <v>58</v>
      </c>
      <c r="Y6" s="26" t="s">
        <v>65</v>
      </c>
      <c r="Z6" s="26" t="s">
        <v>59</v>
      </c>
      <c r="AA6" s="26" t="s">
        <v>61</v>
      </c>
      <c r="AB6" s="26" t="s">
        <v>62</v>
      </c>
    </row>
    <row r="7" spans="1:32" ht="27.75" customHeight="1" x14ac:dyDescent="0.25">
      <c r="A7" s="27"/>
      <c r="B7" s="27"/>
      <c r="C7" s="27"/>
      <c r="D7" s="27"/>
      <c r="E7" s="27"/>
      <c r="F7" s="27"/>
      <c r="G7" s="27"/>
      <c r="H7" s="27"/>
      <c r="I7" s="27"/>
      <c r="J7" s="27"/>
      <c r="K7" s="27"/>
      <c r="L7" s="27"/>
      <c r="M7" s="27"/>
      <c r="N7" s="27"/>
      <c r="O7" s="27"/>
      <c r="P7" s="27"/>
      <c r="Q7" s="27"/>
      <c r="R7" s="27"/>
      <c r="S7" s="27"/>
      <c r="T7" s="27"/>
      <c r="U7" s="27"/>
      <c r="V7" s="27"/>
      <c r="W7" s="27"/>
      <c r="X7" s="27"/>
      <c r="Y7" s="27"/>
      <c r="Z7" s="27"/>
      <c r="AA7" s="27"/>
      <c r="AB7" s="27"/>
      <c r="AC7" s="74" t="s">
        <v>202</v>
      </c>
      <c r="AD7" s="74"/>
      <c r="AE7" s="74"/>
      <c r="AF7" s="74"/>
    </row>
    <row r="8" spans="1:32" ht="48.75" customHeight="1" x14ac:dyDescent="0.25">
      <c r="A8" s="9" t="s">
        <v>7</v>
      </c>
      <c r="B8" s="10"/>
      <c r="C8" s="10"/>
      <c r="D8" s="10"/>
      <c r="E8" s="65" t="s">
        <v>130</v>
      </c>
      <c r="F8" s="66"/>
      <c r="G8" s="66"/>
      <c r="H8" s="66"/>
      <c r="I8" s="66"/>
      <c r="J8" s="66"/>
      <c r="K8" s="66"/>
      <c r="L8" s="66"/>
      <c r="M8" s="58" t="s">
        <v>131</v>
      </c>
      <c r="N8" s="59"/>
      <c r="O8" s="59"/>
      <c r="P8" s="59"/>
      <c r="Q8" s="59"/>
      <c r="R8" s="59"/>
      <c r="S8" s="59"/>
      <c r="T8" s="59"/>
      <c r="U8" s="58" t="s">
        <v>176</v>
      </c>
      <c r="V8" s="59"/>
      <c r="W8" s="59"/>
      <c r="X8" s="59"/>
      <c r="Y8" s="59"/>
      <c r="Z8" s="59"/>
      <c r="AA8" s="59"/>
      <c r="AB8" s="72"/>
      <c r="AC8" s="48" t="s">
        <v>199</v>
      </c>
      <c r="AD8" s="48" t="s">
        <v>200</v>
      </c>
      <c r="AE8" s="48" t="s">
        <v>198</v>
      </c>
      <c r="AF8" s="75" t="s">
        <v>201</v>
      </c>
    </row>
    <row r="9" spans="1:32" ht="102" x14ac:dyDescent="0.25">
      <c r="A9" s="3">
        <v>1</v>
      </c>
      <c r="B9" s="4" t="s">
        <v>8</v>
      </c>
      <c r="C9" s="3" t="s">
        <v>9</v>
      </c>
      <c r="D9" s="3">
        <v>1</v>
      </c>
      <c r="E9" s="6" t="s">
        <v>76</v>
      </c>
      <c r="F9" s="6" t="s">
        <v>77</v>
      </c>
      <c r="G9" s="7">
        <v>15099615</v>
      </c>
      <c r="H9" s="6">
        <v>19</v>
      </c>
      <c r="I9" s="15">
        <f>G9*H9%</f>
        <v>2868926.85</v>
      </c>
      <c r="J9" s="7">
        <f>(G9*H9%)+G9</f>
        <v>17968541.850000001</v>
      </c>
      <c r="K9" s="8">
        <f>G9*D9</f>
        <v>15099615</v>
      </c>
      <c r="L9" s="8">
        <f>J9*D9</f>
        <v>17968541.850000001</v>
      </c>
      <c r="M9" s="28" t="s">
        <v>132</v>
      </c>
      <c r="N9" s="28" t="s">
        <v>77</v>
      </c>
      <c r="O9" s="29">
        <v>14825076.92307695</v>
      </c>
      <c r="P9" s="28">
        <v>19</v>
      </c>
      <c r="Q9" s="30">
        <f>O9*P9%</f>
        <v>2816764.6153846206</v>
      </c>
      <c r="R9" s="29">
        <f>(O9*P9%)+O9</f>
        <v>17641841.53846157</v>
      </c>
      <c r="S9" s="31">
        <f>O9*D9</f>
        <v>14825076.92307695</v>
      </c>
      <c r="T9" s="31">
        <f>R9*D9</f>
        <v>17641841.53846157</v>
      </c>
      <c r="U9" s="6" t="s">
        <v>132</v>
      </c>
      <c r="V9" s="6" t="s">
        <v>77</v>
      </c>
      <c r="W9" s="7">
        <v>13726923.076923076</v>
      </c>
      <c r="X9" s="6">
        <v>19</v>
      </c>
      <c r="Y9" s="15">
        <f>W9*X9%</f>
        <v>2608115.3846153845</v>
      </c>
      <c r="Z9" s="7">
        <f>(W9*X9%)+W9</f>
        <v>16335038.46153846</v>
      </c>
      <c r="AA9" s="8">
        <f>W9*D9</f>
        <v>13726923.076923076</v>
      </c>
      <c r="AB9" s="73">
        <f>Z9*D9</f>
        <v>16335038.46153846</v>
      </c>
      <c r="AC9" s="49">
        <f>MIN(J9,R9,Z9)</f>
        <v>16335038.46153846</v>
      </c>
      <c r="AD9" s="49">
        <f>MAX(J9,R9,Z9)</f>
        <v>17968541.850000001</v>
      </c>
      <c r="AE9" s="49">
        <f>AD9-AC9</f>
        <v>1633503.3884615414</v>
      </c>
      <c r="AF9" s="49">
        <f>(L9+T9+AB9)/3</f>
        <v>17315140.616666678</v>
      </c>
    </row>
    <row r="10" spans="1:32" ht="76.5" x14ac:dyDescent="0.25">
      <c r="A10" s="3">
        <v>2</v>
      </c>
      <c r="B10" s="4" t="s">
        <v>10</v>
      </c>
      <c r="C10" s="3" t="s">
        <v>9</v>
      </c>
      <c r="D10" s="3">
        <v>2</v>
      </c>
      <c r="E10" s="6" t="s">
        <v>78</v>
      </c>
      <c r="F10" s="6" t="s">
        <v>79</v>
      </c>
      <c r="G10" s="7">
        <v>3861760</v>
      </c>
      <c r="H10" s="6">
        <v>19</v>
      </c>
      <c r="I10" s="15">
        <f t="shared" ref="I10:I23" si="0">G10*H10%</f>
        <v>733734.40000000002</v>
      </c>
      <c r="J10" s="7">
        <f t="shared" ref="J10:J23" si="1">(G10*H10%)+G10</f>
        <v>4595494.4000000004</v>
      </c>
      <c r="K10" s="8">
        <f t="shared" ref="K10:K23" si="2">G10*D10</f>
        <v>7723520</v>
      </c>
      <c r="L10" s="8">
        <f t="shared" ref="L10:L23" si="3">J10*D10</f>
        <v>9190988.8000000007</v>
      </c>
      <c r="M10" s="28" t="s">
        <v>133</v>
      </c>
      <c r="N10" s="28" t="s">
        <v>134</v>
      </c>
      <c r="O10" s="29">
        <v>3790246.0769230812</v>
      </c>
      <c r="P10" s="28">
        <v>19</v>
      </c>
      <c r="Q10" s="30">
        <f t="shared" ref="Q10:Q26" si="4">O10*P10%</f>
        <v>720146.75461538543</v>
      </c>
      <c r="R10" s="29">
        <f t="shared" ref="R10:R26" si="5">(O10*P10%)+O10</f>
        <v>4510392.8315384667</v>
      </c>
      <c r="S10" s="31">
        <f t="shared" ref="S10:S26" si="6">O10*D10</f>
        <v>7580492.1538461624</v>
      </c>
      <c r="T10" s="31">
        <f t="shared" ref="T10:T26" si="7">R10*D10</f>
        <v>9020785.6630769335</v>
      </c>
      <c r="U10" s="6" t="s">
        <v>133</v>
      </c>
      <c r="V10" s="6" t="s">
        <v>177</v>
      </c>
      <c r="W10" s="7">
        <v>3575703.846153846</v>
      </c>
      <c r="X10" s="6">
        <v>19</v>
      </c>
      <c r="Y10" s="15">
        <f t="shared" ref="Y10:Y26" si="8">W10*X10%</f>
        <v>679383.73076923075</v>
      </c>
      <c r="Z10" s="7">
        <f t="shared" ref="Z10:Z26" si="9">(W10*X10%)+W10</f>
        <v>4255087.576923077</v>
      </c>
      <c r="AA10" s="8">
        <f t="shared" ref="AA10:AA26" si="10">W10*D10</f>
        <v>7151407.692307692</v>
      </c>
      <c r="AB10" s="73">
        <f t="shared" ref="AB10:AB26" si="11">Z10*D10</f>
        <v>8510175.153846154</v>
      </c>
      <c r="AC10" s="49">
        <f t="shared" ref="AC10:AC26" si="12">MIN(J10,R10,Z10)</f>
        <v>4255087.576923077</v>
      </c>
      <c r="AD10" s="49">
        <f t="shared" ref="AD10:AD26" si="13">MAX(J10,R10,Z10)</f>
        <v>4595494.4000000004</v>
      </c>
      <c r="AE10" s="49">
        <f t="shared" ref="AE10:AE61" si="14">AD10-AC10</f>
        <v>340406.82307692338</v>
      </c>
      <c r="AF10" s="49">
        <f t="shared" ref="AF10:AF61" si="15">(L10+T10+AB10)/3</f>
        <v>8907316.5389743615</v>
      </c>
    </row>
    <row r="11" spans="1:32" ht="76.5" x14ac:dyDescent="0.25">
      <c r="A11" s="3">
        <v>3</v>
      </c>
      <c r="B11" s="4" t="s">
        <v>11</v>
      </c>
      <c r="C11" s="3" t="s">
        <v>9</v>
      </c>
      <c r="D11" s="3">
        <v>6</v>
      </c>
      <c r="E11" s="6" t="s">
        <v>78</v>
      </c>
      <c r="F11" s="6" t="s">
        <v>80</v>
      </c>
      <c r="G11" s="7">
        <v>3092580</v>
      </c>
      <c r="H11" s="6">
        <v>19</v>
      </c>
      <c r="I11" s="15">
        <f t="shared" si="0"/>
        <v>587590.19999999995</v>
      </c>
      <c r="J11" s="7">
        <f t="shared" si="1"/>
        <v>3680170.2</v>
      </c>
      <c r="K11" s="8">
        <f t="shared" si="2"/>
        <v>18555480</v>
      </c>
      <c r="L11" s="8">
        <f t="shared" si="3"/>
        <v>22081021.200000003</v>
      </c>
      <c r="M11" s="28" t="s">
        <v>133</v>
      </c>
      <c r="N11" s="28" t="s">
        <v>135</v>
      </c>
      <c r="O11" s="29">
        <v>3035310</v>
      </c>
      <c r="P11" s="28">
        <v>19</v>
      </c>
      <c r="Q11" s="30">
        <f t="shared" si="4"/>
        <v>576708.9</v>
      </c>
      <c r="R11" s="29">
        <f t="shared" si="5"/>
        <v>3612018.9</v>
      </c>
      <c r="S11" s="31">
        <f t="shared" si="6"/>
        <v>18211860</v>
      </c>
      <c r="T11" s="31">
        <f t="shared" si="7"/>
        <v>21672113.399999999</v>
      </c>
      <c r="U11" s="6" t="s">
        <v>133</v>
      </c>
      <c r="V11" s="6" t="s">
        <v>178</v>
      </c>
      <c r="W11" s="7">
        <v>2863499.9999999995</v>
      </c>
      <c r="X11" s="6">
        <v>19</v>
      </c>
      <c r="Y11" s="15">
        <f t="shared" si="8"/>
        <v>544064.99999999988</v>
      </c>
      <c r="Z11" s="7">
        <f t="shared" si="9"/>
        <v>3407564.9999999995</v>
      </c>
      <c r="AA11" s="8">
        <f t="shared" si="10"/>
        <v>17180999.999999996</v>
      </c>
      <c r="AB11" s="73">
        <f t="shared" si="11"/>
        <v>20445389.999999996</v>
      </c>
      <c r="AC11" s="49">
        <f t="shared" si="12"/>
        <v>3407564.9999999995</v>
      </c>
      <c r="AD11" s="49">
        <f t="shared" si="13"/>
        <v>3680170.2</v>
      </c>
      <c r="AE11" s="49">
        <f t="shared" si="14"/>
        <v>272605.20000000065</v>
      </c>
      <c r="AF11" s="49">
        <f t="shared" si="15"/>
        <v>21399508.199999999</v>
      </c>
    </row>
    <row r="12" spans="1:32" ht="89.25" x14ac:dyDescent="0.25">
      <c r="A12" s="3">
        <v>4</v>
      </c>
      <c r="B12" s="4" t="s">
        <v>12</v>
      </c>
      <c r="C12" s="3" t="s">
        <v>9</v>
      </c>
      <c r="D12" s="3">
        <v>6</v>
      </c>
      <c r="E12" s="6" t="s">
        <v>78</v>
      </c>
      <c r="F12" s="6" t="s">
        <v>81</v>
      </c>
      <c r="G12" s="7">
        <v>3346330</v>
      </c>
      <c r="H12" s="6">
        <v>19</v>
      </c>
      <c r="I12" s="15">
        <f t="shared" si="0"/>
        <v>635802.69999999995</v>
      </c>
      <c r="J12" s="7">
        <f t="shared" si="1"/>
        <v>3982132.7</v>
      </c>
      <c r="K12" s="8">
        <f t="shared" si="2"/>
        <v>20077980</v>
      </c>
      <c r="L12" s="8">
        <f t="shared" si="3"/>
        <v>23892796.200000003</v>
      </c>
      <c r="M12" s="28" t="s">
        <v>133</v>
      </c>
      <c r="N12" s="28" t="s">
        <v>81</v>
      </c>
      <c r="O12" s="29">
        <v>3284361.0769230812</v>
      </c>
      <c r="P12" s="28">
        <v>19</v>
      </c>
      <c r="Q12" s="30">
        <f t="shared" si="4"/>
        <v>624028.60461538541</v>
      </c>
      <c r="R12" s="29">
        <f t="shared" si="5"/>
        <v>3908389.6815384664</v>
      </c>
      <c r="S12" s="31">
        <f t="shared" si="6"/>
        <v>19706166.461538486</v>
      </c>
      <c r="T12" s="31">
        <f t="shared" si="7"/>
        <v>23450338.089230798</v>
      </c>
      <c r="U12" s="6" t="s">
        <v>133</v>
      </c>
      <c r="V12" s="6" t="s">
        <v>81</v>
      </c>
      <c r="W12" s="7">
        <v>3098453.846153846</v>
      </c>
      <c r="X12" s="6">
        <v>19</v>
      </c>
      <c r="Y12" s="15">
        <f t="shared" si="8"/>
        <v>588706.23076923075</v>
      </c>
      <c r="Z12" s="7">
        <f t="shared" si="9"/>
        <v>3687160.076923077</v>
      </c>
      <c r="AA12" s="8">
        <f t="shared" si="10"/>
        <v>18590723.076923076</v>
      </c>
      <c r="AB12" s="73">
        <f t="shared" si="11"/>
        <v>22122960.461538464</v>
      </c>
      <c r="AC12" s="49">
        <f t="shared" si="12"/>
        <v>3687160.076923077</v>
      </c>
      <c r="AD12" s="49">
        <f t="shared" si="13"/>
        <v>3982132.7</v>
      </c>
      <c r="AE12" s="49">
        <f t="shared" si="14"/>
        <v>294972.62307692319</v>
      </c>
      <c r="AF12" s="49">
        <f t="shared" si="15"/>
        <v>23155364.916923087</v>
      </c>
    </row>
    <row r="13" spans="1:32" ht="51" x14ac:dyDescent="0.25">
      <c r="A13" s="3">
        <v>5</v>
      </c>
      <c r="B13" s="4" t="s">
        <v>13</v>
      </c>
      <c r="C13" s="3" t="s">
        <v>9</v>
      </c>
      <c r="D13" s="3">
        <v>4</v>
      </c>
      <c r="E13" s="6" t="s">
        <v>78</v>
      </c>
      <c r="F13" s="6" t="s">
        <v>82</v>
      </c>
      <c r="G13" s="7">
        <v>515430</v>
      </c>
      <c r="H13" s="6">
        <v>19</v>
      </c>
      <c r="I13" s="15">
        <f t="shared" si="0"/>
        <v>97931.7</v>
      </c>
      <c r="J13" s="7">
        <f t="shared" si="1"/>
        <v>613361.69999999995</v>
      </c>
      <c r="K13" s="8">
        <f t="shared" si="2"/>
        <v>2061720</v>
      </c>
      <c r="L13" s="8">
        <f t="shared" si="3"/>
        <v>2453446.7999999998</v>
      </c>
      <c r="M13" s="28" t="s">
        <v>133</v>
      </c>
      <c r="N13" s="28" t="s">
        <v>136</v>
      </c>
      <c r="O13" s="29">
        <v>491567.5</v>
      </c>
      <c r="P13" s="28">
        <v>19</v>
      </c>
      <c r="Q13" s="30">
        <f t="shared" si="4"/>
        <v>93397.824999999997</v>
      </c>
      <c r="R13" s="29">
        <f t="shared" si="5"/>
        <v>584965.32499999995</v>
      </c>
      <c r="S13" s="31">
        <f t="shared" si="6"/>
        <v>1966270</v>
      </c>
      <c r="T13" s="31">
        <f t="shared" si="7"/>
        <v>2339861.2999999998</v>
      </c>
      <c r="U13" s="6" t="s">
        <v>133</v>
      </c>
      <c r="V13" s="6" t="s">
        <v>136</v>
      </c>
      <c r="W13" s="7">
        <v>477250</v>
      </c>
      <c r="X13" s="6">
        <v>19</v>
      </c>
      <c r="Y13" s="15">
        <f t="shared" si="8"/>
        <v>90677.5</v>
      </c>
      <c r="Z13" s="7">
        <f t="shared" si="9"/>
        <v>567927.5</v>
      </c>
      <c r="AA13" s="8">
        <f t="shared" si="10"/>
        <v>1909000</v>
      </c>
      <c r="AB13" s="73">
        <f t="shared" si="11"/>
        <v>2271710</v>
      </c>
      <c r="AC13" s="49">
        <f t="shared" si="12"/>
        <v>567927.5</v>
      </c>
      <c r="AD13" s="49">
        <f t="shared" si="13"/>
        <v>613361.69999999995</v>
      </c>
      <c r="AE13" s="49">
        <f t="shared" si="14"/>
        <v>45434.199999999953</v>
      </c>
      <c r="AF13" s="49">
        <f t="shared" si="15"/>
        <v>2355006.0333333332</v>
      </c>
    </row>
    <row r="14" spans="1:32" ht="76.5" x14ac:dyDescent="0.25">
      <c r="A14" s="3">
        <v>6</v>
      </c>
      <c r="B14" s="4" t="s">
        <v>14</v>
      </c>
      <c r="C14" s="3" t="s">
        <v>9</v>
      </c>
      <c r="D14" s="3">
        <v>1</v>
      </c>
      <c r="E14" s="6" t="s">
        <v>78</v>
      </c>
      <c r="F14" s="6">
        <v>508895</v>
      </c>
      <c r="G14" s="7">
        <v>24946812</v>
      </c>
      <c r="H14" s="6">
        <v>19</v>
      </c>
      <c r="I14" s="15">
        <f t="shared" si="0"/>
        <v>4739894.28</v>
      </c>
      <c r="J14" s="7">
        <f t="shared" si="1"/>
        <v>29686706.280000001</v>
      </c>
      <c r="K14" s="8">
        <f t="shared" si="2"/>
        <v>24946812</v>
      </c>
      <c r="L14" s="8">
        <f t="shared" si="3"/>
        <v>29686706.280000001</v>
      </c>
      <c r="M14" s="28" t="s">
        <v>133</v>
      </c>
      <c r="N14" s="28" t="s">
        <v>137</v>
      </c>
      <c r="O14" s="29">
        <v>24253845</v>
      </c>
      <c r="P14" s="28">
        <v>19</v>
      </c>
      <c r="Q14" s="30">
        <f t="shared" si="4"/>
        <v>4608230.55</v>
      </c>
      <c r="R14" s="29">
        <f t="shared" si="5"/>
        <v>28862075.550000001</v>
      </c>
      <c r="S14" s="31">
        <f t="shared" si="6"/>
        <v>24253845</v>
      </c>
      <c r="T14" s="31">
        <f t="shared" si="7"/>
        <v>28862075.550000001</v>
      </c>
      <c r="U14" s="6" t="s">
        <v>133</v>
      </c>
      <c r="V14" s="6" t="s">
        <v>137</v>
      </c>
      <c r="W14" s="7">
        <v>23098899.999999996</v>
      </c>
      <c r="X14" s="6">
        <v>19</v>
      </c>
      <c r="Y14" s="15">
        <f t="shared" si="8"/>
        <v>4388790.9999999991</v>
      </c>
      <c r="Z14" s="7">
        <f t="shared" si="9"/>
        <v>27487690.999999996</v>
      </c>
      <c r="AA14" s="8">
        <f t="shared" si="10"/>
        <v>23098899.999999996</v>
      </c>
      <c r="AB14" s="73">
        <f t="shared" si="11"/>
        <v>27487690.999999996</v>
      </c>
      <c r="AC14" s="49">
        <f t="shared" si="12"/>
        <v>27487690.999999996</v>
      </c>
      <c r="AD14" s="49">
        <f t="shared" si="13"/>
        <v>29686706.280000001</v>
      </c>
      <c r="AE14" s="49">
        <f t="shared" si="14"/>
        <v>2199015.2800000049</v>
      </c>
      <c r="AF14" s="49">
        <f t="shared" si="15"/>
        <v>28678824.276666667</v>
      </c>
    </row>
    <row r="15" spans="1:32" ht="63.75" x14ac:dyDescent="0.25">
      <c r="A15" s="3">
        <v>7</v>
      </c>
      <c r="B15" s="4" t="s">
        <v>15</v>
      </c>
      <c r="C15" s="3" t="s">
        <v>9</v>
      </c>
      <c r="D15" s="3">
        <v>1</v>
      </c>
      <c r="E15" s="6" t="s">
        <v>83</v>
      </c>
      <c r="F15" s="6" t="s">
        <v>84</v>
      </c>
      <c r="G15" s="7">
        <v>261000</v>
      </c>
      <c r="H15" s="6">
        <v>19</v>
      </c>
      <c r="I15" s="15">
        <f t="shared" si="0"/>
        <v>49590</v>
      </c>
      <c r="J15" s="7">
        <f t="shared" si="1"/>
        <v>310590</v>
      </c>
      <c r="K15" s="8">
        <f t="shared" si="2"/>
        <v>261000</v>
      </c>
      <c r="L15" s="8">
        <f t="shared" si="3"/>
        <v>310590</v>
      </c>
      <c r="M15" s="28" t="s">
        <v>138</v>
      </c>
      <c r="N15" s="28" t="s">
        <v>84</v>
      </c>
      <c r="O15" s="29">
        <v>328935.38461538497</v>
      </c>
      <c r="P15" s="28">
        <v>19</v>
      </c>
      <c r="Q15" s="30">
        <f t="shared" si="4"/>
        <v>62497.723076923146</v>
      </c>
      <c r="R15" s="29">
        <f t="shared" si="5"/>
        <v>391433.10769230814</v>
      </c>
      <c r="S15" s="31">
        <f t="shared" si="6"/>
        <v>328935.38461538497</v>
      </c>
      <c r="T15" s="31">
        <f t="shared" si="7"/>
        <v>391433.10769230814</v>
      </c>
      <c r="U15" s="6" t="s">
        <v>179</v>
      </c>
      <c r="V15" s="6" t="s">
        <v>84</v>
      </c>
      <c r="W15" s="7">
        <v>293692.30769230769</v>
      </c>
      <c r="X15" s="6">
        <v>19</v>
      </c>
      <c r="Y15" s="15">
        <f t="shared" si="8"/>
        <v>55801.538461538461</v>
      </c>
      <c r="Z15" s="7">
        <f t="shared" si="9"/>
        <v>349493.84615384613</v>
      </c>
      <c r="AA15" s="8">
        <f t="shared" si="10"/>
        <v>293692.30769230769</v>
      </c>
      <c r="AB15" s="73">
        <f t="shared" si="11"/>
        <v>349493.84615384613</v>
      </c>
      <c r="AC15" s="49">
        <f t="shared" si="12"/>
        <v>310590</v>
      </c>
      <c r="AD15" s="49">
        <f t="shared" si="13"/>
        <v>391433.10769230814</v>
      </c>
      <c r="AE15" s="49">
        <f t="shared" si="14"/>
        <v>80843.107692308142</v>
      </c>
      <c r="AF15" s="49">
        <f t="shared" si="15"/>
        <v>350505.6512820514</v>
      </c>
    </row>
    <row r="16" spans="1:32" ht="63.75" x14ac:dyDescent="0.25">
      <c r="A16" s="3">
        <v>8</v>
      </c>
      <c r="B16" s="4" t="s">
        <v>16</v>
      </c>
      <c r="C16" s="3" t="s">
        <v>9</v>
      </c>
      <c r="D16" s="3">
        <v>4</v>
      </c>
      <c r="E16" s="6" t="s">
        <v>85</v>
      </c>
      <c r="F16" s="6" t="s">
        <v>86</v>
      </c>
      <c r="G16" s="7">
        <v>227000</v>
      </c>
      <c r="H16" s="6">
        <v>19</v>
      </c>
      <c r="I16" s="15">
        <f t="shared" si="0"/>
        <v>43130</v>
      </c>
      <c r="J16" s="7">
        <f t="shared" si="1"/>
        <v>270130</v>
      </c>
      <c r="K16" s="8">
        <f t="shared" si="2"/>
        <v>908000</v>
      </c>
      <c r="L16" s="8">
        <f t="shared" si="3"/>
        <v>1080520</v>
      </c>
      <c r="M16" s="28" t="s">
        <v>139</v>
      </c>
      <c r="N16" s="28" t="s">
        <v>140</v>
      </c>
      <c r="O16" s="29">
        <v>279007.69230769272</v>
      </c>
      <c r="P16" s="28">
        <v>19</v>
      </c>
      <c r="Q16" s="30">
        <f t="shared" si="4"/>
        <v>53011.461538461619</v>
      </c>
      <c r="R16" s="29">
        <f t="shared" si="5"/>
        <v>332019.15384615434</v>
      </c>
      <c r="S16" s="31">
        <f t="shared" si="6"/>
        <v>1116030.7692307709</v>
      </c>
      <c r="T16" s="31">
        <f t="shared" si="7"/>
        <v>1328076.6153846174</v>
      </c>
      <c r="U16" s="6" t="s">
        <v>139</v>
      </c>
      <c r="V16" s="6" t="s">
        <v>180</v>
      </c>
      <c r="W16" s="7">
        <v>242615.3846153846</v>
      </c>
      <c r="X16" s="6">
        <v>19</v>
      </c>
      <c r="Y16" s="15">
        <f t="shared" si="8"/>
        <v>46096.923076923071</v>
      </c>
      <c r="Z16" s="7">
        <f t="shared" si="9"/>
        <v>288712.30769230769</v>
      </c>
      <c r="AA16" s="8">
        <f t="shared" si="10"/>
        <v>970461.53846153838</v>
      </c>
      <c r="AB16" s="73">
        <f t="shared" si="11"/>
        <v>1154849.2307692308</v>
      </c>
      <c r="AC16" s="49">
        <f t="shared" si="12"/>
        <v>270130</v>
      </c>
      <c r="AD16" s="49">
        <f t="shared" si="13"/>
        <v>332019.15384615434</v>
      </c>
      <c r="AE16" s="49">
        <f t="shared" si="14"/>
        <v>61889.153846154339</v>
      </c>
      <c r="AF16" s="49">
        <f t="shared" si="15"/>
        <v>1187815.2820512827</v>
      </c>
    </row>
    <row r="17" spans="1:32" ht="51" x14ac:dyDescent="0.25">
      <c r="A17" s="3">
        <v>9</v>
      </c>
      <c r="B17" s="4" t="s">
        <v>17</v>
      </c>
      <c r="C17" s="3" t="s">
        <v>9</v>
      </c>
      <c r="D17" s="3">
        <v>1</v>
      </c>
      <c r="E17" s="6" t="s">
        <v>87</v>
      </c>
      <c r="F17" s="6" t="s">
        <v>88</v>
      </c>
      <c r="G17" s="7">
        <v>1840812</v>
      </c>
      <c r="H17" s="6">
        <v>19</v>
      </c>
      <c r="I17" s="15">
        <f t="shared" si="0"/>
        <v>349754.28</v>
      </c>
      <c r="J17" s="7">
        <f t="shared" si="1"/>
        <v>2190566.2800000003</v>
      </c>
      <c r="K17" s="8">
        <f t="shared" si="2"/>
        <v>1840812</v>
      </c>
      <c r="L17" s="8">
        <f t="shared" si="3"/>
        <v>2190566.2800000003</v>
      </c>
      <c r="M17" s="28" t="s">
        <v>141</v>
      </c>
      <c r="N17" s="28" t="s">
        <v>142</v>
      </c>
      <c r="O17" s="29">
        <v>1910276.9230769183</v>
      </c>
      <c r="P17" s="28">
        <v>19</v>
      </c>
      <c r="Q17" s="30">
        <f t="shared" si="4"/>
        <v>362952.6153846145</v>
      </c>
      <c r="R17" s="29">
        <f t="shared" si="5"/>
        <v>2273229.5384615329</v>
      </c>
      <c r="S17" s="31">
        <f t="shared" si="6"/>
        <v>1910276.9230769183</v>
      </c>
      <c r="T17" s="31">
        <f t="shared" si="7"/>
        <v>2273229.5384615329</v>
      </c>
      <c r="U17" s="6" t="s">
        <v>141</v>
      </c>
      <c r="V17" s="6" t="s">
        <v>88</v>
      </c>
      <c r="W17" s="7">
        <v>1736615.3846153845</v>
      </c>
      <c r="X17" s="6">
        <v>19</v>
      </c>
      <c r="Y17" s="15">
        <f t="shared" si="8"/>
        <v>329956.92307692306</v>
      </c>
      <c r="Z17" s="7">
        <f t="shared" si="9"/>
        <v>2066572.3076923075</v>
      </c>
      <c r="AA17" s="8">
        <f t="shared" si="10"/>
        <v>1736615.3846153845</v>
      </c>
      <c r="AB17" s="73">
        <f t="shared" si="11"/>
        <v>2066572.3076923075</v>
      </c>
      <c r="AC17" s="49">
        <f t="shared" si="12"/>
        <v>2066572.3076923075</v>
      </c>
      <c r="AD17" s="49">
        <f t="shared" si="13"/>
        <v>2273229.5384615329</v>
      </c>
      <c r="AE17" s="49">
        <f t="shared" si="14"/>
        <v>206657.2307692254</v>
      </c>
      <c r="AF17" s="49">
        <f t="shared" si="15"/>
        <v>2176789.3753846139</v>
      </c>
    </row>
    <row r="18" spans="1:32" ht="89.25" x14ac:dyDescent="0.25">
      <c r="A18" s="3">
        <v>10</v>
      </c>
      <c r="B18" s="4" t="s">
        <v>18</v>
      </c>
      <c r="C18" s="3" t="s">
        <v>9</v>
      </c>
      <c r="D18" s="3">
        <v>1</v>
      </c>
      <c r="E18" s="6" t="s">
        <v>89</v>
      </c>
      <c r="F18" s="6" t="s">
        <v>90</v>
      </c>
      <c r="G18" s="7">
        <v>20631000</v>
      </c>
      <c r="H18" s="6">
        <v>19</v>
      </c>
      <c r="I18" s="15">
        <f t="shared" si="0"/>
        <v>3919890</v>
      </c>
      <c r="J18" s="7">
        <f t="shared" si="1"/>
        <v>24550890</v>
      </c>
      <c r="K18" s="8">
        <f t="shared" si="2"/>
        <v>20631000</v>
      </c>
      <c r="L18" s="8">
        <f t="shared" si="3"/>
        <v>24550890</v>
      </c>
      <c r="M18" s="28" t="s">
        <v>143</v>
      </c>
      <c r="N18" s="28" t="s">
        <v>144</v>
      </c>
      <c r="O18" s="29">
        <v>18469696.148076918</v>
      </c>
      <c r="P18" s="28">
        <v>19</v>
      </c>
      <c r="Q18" s="30">
        <f t="shared" si="4"/>
        <v>3509242.2681346145</v>
      </c>
      <c r="R18" s="29">
        <f t="shared" si="5"/>
        <v>21978938.416211531</v>
      </c>
      <c r="S18" s="31">
        <f t="shared" si="6"/>
        <v>18469696.148076918</v>
      </c>
      <c r="T18" s="31">
        <f t="shared" si="7"/>
        <v>21978938.416211531</v>
      </c>
      <c r="U18" s="6" t="s">
        <v>143</v>
      </c>
      <c r="V18" s="6" t="s">
        <v>144</v>
      </c>
      <c r="W18" s="7">
        <v>17590186.807692308</v>
      </c>
      <c r="X18" s="6">
        <v>19</v>
      </c>
      <c r="Y18" s="15">
        <f t="shared" si="8"/>
        <v>3342135.4934615386</v>
      </c>
      <c r="Z18" s="7">
        <f t="shared" si="9"/>
        <v>20932322.301153846</v>
      </c>
      <c r="AA18" s="8">
        <f t="shared" si="10"/>
        <v>17590186.807692308</v>
      </c>
      <c r="AB18" s="73">
        <f t="shared" si="11"/>
        <v>20932322.301153846</v>
      </c>
      <c r="AC18" s="49">
        <f t="shared" si="12"/>
        <v>20932322.301153846</v>
      </c>
      <c r="AD18" s="49">
        <f t="shared" si="13"/>
        <v>24550890</v>
      </c>
      <c r="AE18" s="49">
        <f t="shared" si="14"/>
        <v>3618567.6988461539</v>
      </c>
      <c r="AF18" s="49">
        <f t="shared" si="15"/>
        <v>22487383.572455127</v>
      </c>
    </row>
    <row r="19" spans="1:32" ht="63.75" x14ac:dyDescent="0.25">
      <c r="A19" s="3">
        <v>11</v>
      </c>
      <c r="B19" s="4" t="s">
        <v>19</v>
      </c>
      <c r="C19" s="3" t="s">
        <v>9</v>
      </c>
      <c r="D19" s="3">
        <v>2</v>
      </c>
      <c r="E19" s="6" t="s">
        <v>91</v>
      </c>
      <c r="F19" s="6" t="s">
        <v>92</v>
      </c>
      <c r="G19" s="7">
        <v>8798000</v>
      </c>
      <c r="H19" s="6">
        <v>19</v>
      </c>
      <c r="I19" s="15">
        <f t="shared" si="0"/>
        <v>1671620</v>
      </c>
      <c r="J19" s="7">
        <f t="shared" si="1"/>
        <v>10469620</v>
      </c>
      <c r="K19" s="8">
        <f t="shared" si="2"/>
        <v>17596000</v>
      </c>
      <c r="L19" s="8">
        <f t="shared" si="3"/>
        <v>20939240</v>
      </c>
      <c r="M19" s="28" t="s">
        <v>91</v>
      </c>
      <c r="N19" s="28" t="s">
        <v>92</v>
      </c>
      <c r="O19" s="29">
        <v>8964000</v>
      </c>
      <c r="P19" s="28">
        <v>19</v>
      </c>
      <c r="Q19" s="30">
        <f t="shared" si="4"/>
        <v>1703160</v>
      </c>
      <c r="R19" s="29">
        <f t="shared" si="5"/>
        <v>10667160</v>
      </c>
      <c r="S19" s="31">
        <f t="shared" si="6"/>
        <v>17928000</v>
      </c>
      <c r="T19" s="31">
        <f t="shared" si="7"/>
        <v>21334320</v>
      </c>
      <c r="U19" s="6" t="s">
        <v>91</v>
      </c>
      <c r="V19" s="6" t="s">
        <v>92</v>
      </c>
      <c r="W19" s="7">
        <v>8300000</v>
      </c>
      <c r="X19" s="6">
        <v>19</v>
      </c>
      <c r="Y19" s="15">
        <f t="shared" si="8"/>
        <v>1577000</v>
      </c>
      <c r="Z19" s="7">
        <f t="shared" si="9"/>
        <v>9877000</v>
      </c>
      <c r="AA19" s="8">
        <f t="shared" si="10"/>
        <v>16600000</v>
      </c>
      <c r="AB19" s="73">
        <f t="shared" si="11"/>
        <v>19754000</v>
      </c>
      <c r="AC19" s="49">
        <f t="shared" si="12"/>
        <v>9877000</v>
      </c>
      <c r="AD19" s="49">
        <f t="shared" si="13"/>
        <v>10667160</v>
      </c>
      <c r="AE19" s="49">
        <f t="shared" si="14"/>
        <v>790160</v>
      </c>
      <c r="AF19" s="49">
        <f t="shared" si="15"/>
        <v>20675853.333333332</v>
      </c>
    </row>
    <row r="20" spans="1:32" ht="63.75" x14ac:dyDescent="0.25">
      <c r="A20" s="3">
        <v>12</v>
      </c>
      <c r="B20" s="4" t="s">
        <v>20</v>
      </c>
      <c r="C20" s="3" t="s">
        <v>9</v>
      </c>
      <c r="D20" s="3">
        <v>4</v>
      </c>
      <c r="E20" s="6" t="s">
        <v>91</v>
      </c>
      <c r="F20" s="6" t="s">
        <v>93</v>
      </c>
      <c r="G20" s="7">
        <v>981252</v>
      </c>
      <c r="H20" s="6">
        <v>19</v>
      </c>
      <c r="I20" s="15">
        <f t="shared" si="0"/>
        <v>186437.88</v>
      </c>
      <c r="J20" s="7">
        <f t="shared" si="1"/>
        <v>1167689.8799999999</v>
      </c>
      <c r="K20" s="8">
        <f t="shared" si="2"/>
        <v>3925008</v>
      </c>
      <c r="L20" s="8">
        <f t="shared" si="3"/>
        <v>4670759.5199999996</v>
      </c>
      <c r="M20" s="28" t="s">
        <v>91</v>
      </c>
      <c r="N20" s="28" t="s">
        <v>93</v>
      </c>
      <c r="O20" s="29">
        <v>999256.15384615364</v>
      </c>
      <c r="P20" s="28">
        <v>19</v>
      </c>
      <c r="Q20" s="30">
        <f t="shared" si="4"/>
        <v>189858.66923076918</v>
      </c>
      <c r="R20" s="29">
        <f t="shared" si="5"/>
        <v>1189114.8230769229</v>
      </c>
      <c r="S20" s="31">
        <f t="shared" si="6"/>
        <v>3997024.6153846146</v>
      </c>
      <c r="T20" s="31">
        <f t="shared" si="7"/>
        <v>4756459.2923076916</v>
      </c>
      <c r="U20" s="6" t="s">
        <v>91</v>
      </c>
      <c r="V20" s="6" t="s">
        <v>93</v>
      </c>
      <c r="W20" s="7">
        <v>900230.76923076913</v>
      </c>
      <c r="X20" s="6">
        <v>19</v>
      </c>
      <c r="Y20" s="15">
        <f t="shared" si="8"/>
        <v>171043.84615384613</v>
      </c>
      <c r="Z20" s="7">
        <f t="shared" si="9"/>
        <v>1071274.6153846153</v>
      </c>
      <c r="AA20" s="8">
        <f t="shared" si="10"/>
        <v>3600923.0769230765</v>
      </c>
      <c r="AB20" s="73">
        <f t="shared" si="11"/>
        <v>4285098.461538461</v>
      </c>
      <c r="AC20" s="49">
        <f t="shared" si="12"/>
        <v>1071274.6153846153</v>
      </c>
      <c r="AD20" s="49">
        <f t="shared" si="13"/>
        <v>1189114.8230769229</v>
      </c>
      <c r="AE20" s="49">
        <f t="shared" si="14"/>
        <v>117840.20769230765</v>
      </c>
      <c r="AF20" s="49">
        <f t="shared" si="15"/>
        <v>4570772.4246153841</v>
      </c>
    </row>
    <row r="21" spans="1:32" ht="63.75" x14ac:dyDescent="0.25">
      <c r="A21" s="3">
        <v>13</v>
      </c>
      <c r="B21" s="4" t="s">
        <v>21</v>
      </c>
      <c r="C21" s="3" t="s">
        <v>9</v>
      </c>
      <c r="D21" s="3">
        <v>1</v>
      </c>
      <c r="E21" s="6" t="s">
        <v>94</v>
      </c>
      <c r="F21" s="6" t="s">
        <v>95</v>
      </c>
      <c r="G21" s="7">
        <v>6035000</v>
      </c>
      <c r="H21" s="6">
        <v>19</v>
      </c>
      <c r="I21" s="15">
        <f t="shared" si="0"/>
        <v>1146650</v>
      </c>
      <c r="J21" s="7">
        <f t="shared" si="1"/>
        <v>7181650</v>
      </c>
      <c r="K21" s="8">
        <f t="shared" si="2"/>
        <v>6035000</v>
      </c>
      <c r="L21" s="8">
        <f t="shared" si="3"/>
        <v>7181650</v>
      </c>
      <c r="M21" s="28" t="s">
        <v>145</v>
      </c>
      <c r="N21" s="28" t="s">
        <v>146</v>
      </c>
      <c r="O21" s="29">
        <v>4396842</v>
      </c>
      <c r="P21" s="28">
        <v>19</v>
      </c>
      <c r="Q21" s="30">
        <f t="shared" si="4"/>
        <v>835399.98</v>
      </c>
      <c r="R21" s="29">
        <f t="shared" si="5"/>
        <v>5232241.9800000004</v>
      </c>
      <c r="S21" s="31">
        <f t="shared" si="6"/>
        <v>4396842</v>
      </c>
      <c r="T21" s="31">
        <f t="shared" si="7"/>
        <v>5232241.9800000004</v>
      </c>
      <c r="U21" s="6" t="s">
        <v>145</v>
      </c>
      <c r="V21" s="6" t="s">
        <v>181</v>
      </c>
      <c r="W21" s="7">
        <v>4033799.9999999995</v>
      </c>
      <c r="X21" s="6">
        <v>19</v>
      </c>
      <c r="Y21" s="15">
        <f t="shared" si="8"/>
        <v>766421.99999999988</v>
      </c>
      <c r="Z21" s="7">
        <f t="shared" si="9"/>
        <v>4800221.9999999991</v>
      </c>
      <c r="AA21" s="8">
        <f t="shared" si="10"/>
        <v>4033799.9999999995</v>
      </c>
      <c r="AB21" s="73">
        <f t="shared" si="11"/>
        <v>4800221.9999999991</v>
      </c>
      <c r="AC21" s="49">
        <f t="shared" si="12"/>
        <v>4800221.9999999991</v>
      </c>
      <c r="AD21" s="49">
        <f t="shared" si="13"/>
        <v>7181650</v>
      </c>
      <c r="AE21" s="49">
        <f t="shared" si="14"/>
        <v>2381428.0000000009</v>
      </c>
      <c r="AF21" s="49">
        <f t="shared" si="15"/>
        <v>5738037.9933333332</v>
      </c>
    </row>
    <row r="22" spans="1:32" ht="25.5" x14ac:dyDescent="0.25">
      <c r="A22" s="3">
        <v>14</v>
      </c>
      <c r="B22" s="4" t="s">
        <v>22</v>
      </c>
      <c r="C22" s="3" t="s">
        <v>9</v>
      </c>
      <c r="D22" s="3">
        <v>8</v>
      </c>
      <c r="E22" s="6" t="s">
        <v>96</v>
      </c>
      <c r="F22" s="6"/>
      <c r="G22" s="7">
        <v>654000</v>
      </c>
      <c r="H22" s="6">
        <v>19</v>
      </c>
      <c r="I22" s="15">
        <f t="shared" si="0"/>
        <v>124260</v>
      </c>
      <c r="J22" s="7">
        <f t="shared" si="1"/>
        <v>778260</v>
      </c>
      <c r="K22" s="8">
        <f t="shared" si="2"/>
        <v>5232000</v>
      </c>
      <c r="L22" s="8">
        <f t="shared" si="3"/>
        <v>6226080</v>
      </c>
      <c r="M22" s="28" t="s">
        <v>147</v>
      </c>
      <c r="N22" s="28" t="s">
        <v>148</v>
      </c>
      <c r="O22" s="29">
        <v>127749.76923076941</v>
      </c>
      <c r="P22" s="28">
        <v>19</v>
      </c>
      <c r="Q22" s="30">
        <f t="shared" si="4"/>
        <v>24272.456153846189</v>
      </c>
      <c r="R22" s="29">
        <f t="shared" si="5"/>
        <v>152022.22538461559</v>
      </c>
      <c r="S22" s="31">
        <f t="shared" si="6"/>
        <v>1021998.1538461553</v>
      </c>
      <c r="T22" s="31">
        <f t="shared" si="7"/>
        <v>1216177.8030769248</v>
      </c>
      <c r="U22" s="6" t="s">
        <v>182</v>
      </c>
      <c r="V22" s="6" t="s">
        <v>183</v>
      </c>
      <c r="W22" s="7">
        <v>116136.15384615383</v>
      </c>
      <c r="X22" s="6">
        <v>19</v>
      </c>
      <c r="Y22" s="15">
        <f t="shared" si="8"/>
        <v>22065.869230769229</v>
      </c>
      <c r="Z22" s="7">
        <f t="shared" si="9"/>
        <v>138202.02307692307</v>
      </c>
      <c r="AA22" s="8">
        <f t="shared" si="10"/>
        <v>929089.23076923063</v>
      </c>
      <c r="AB22" s="73">
        <f t="shared" si="11"/>
        <v>1105616.1846153846</v>
      </c>
      <c r="AC22" s="49">
        <f t="shared" si="12"/>
        <v>138202.02307692307</v>
      </c>
      <c r="AD22" s="49">
        <f t="shared" si="13"/>
        <v>778260</v>
      </c>
      <c r="AE22" s="49">
        <f t="shared" si="14"/>
        <v>640057.9769230769</v>
      </c>
      <c r="AF22" s="49">
        <f t="shared" si="15"/>
        <v>2849291.32923077</v>
      </c>
    </row>
    <row r="23" spans="1:32" ht="25.5" x14ac:dyDescent="0.25">
      <c r="A23" s="3">
        <v>15</v>
      </c>
      <c r="B23" s="4" t="s">
        <v>23</v>
      </c>
      <c r="C23" s="3" t="s">
        <v>9</v>
      </c>
      <c r="D23" s="3">
        <v>6</v>
      </c>
      <c r="E23" s="6" t="s">
        <v>96</v>
      </c>
      <c r="F23" s="6"/>
      <c r="G23" s="7">
        <v>149000</v>
      </c>
      <c r="H23" s="6">
        <v>19</v>
      </c>
      <c r="I23" s="15">
        <f t="shared" si="0"/>
        <v>28310</v>
      </c>
      <c r="J23" s="7">
        <f t="shared" si="1"/>
        <v>177310</v>
      </c>
      <c r="K23" s="8">
        <f t="shared" si="2"/>
        <v>894000</v>
      </c>
      <c r="L23" s="8">
        <f t="shared" si="3"/>
        <v>1063860</v>
      </c>
      <c r="M23" s="28" t="s">
        <v>147</v>
      </c>
      <c r="N23" s="28" t="s">
        <v>149</v>
      </c>
      <c r="O23" s="29">
        <v>48094.030769230711</v>
      </c>
      <c r="P23" s="28">
        <v>19</v>
      </c>
      <c r="Q23" s="30">
        <f t="shared" si="4"/>
        <v>9137.8658461538344</v>
      </c>
      <c r="R23" s="29">
        <f t="shared" si="5"/>
        <v>57231.896615384547</v>
      </c>
      <c r="S23" s="31">
        <f t="shared" si="6"/>
        <v>288564.18461538426</v>
      </c>
      <c r="T23" s="31">
        <f t="shared" si="7"/>
        <v>343391.37969230727</v>
      </c>
      <c r="U23" s="6" t="s">
        <v>182</v>
      </c>
      <c r="V23" s="6" t="s">
        <v>184</v>
      </c>
      <c r="W23" s="7">
        <v>43721.846153846149</v>
      </c>
      <c r="X23" s="6">
        <v>19</v>
      </c>
      <c r="Y23" s="15">
        <f t="shared" si="8"/>
        <v>8307.1507692307678</v>
      </c>
      <c r="Z23" s="7">
        <f t="shared" si="9"/>
        <v>52028.99692307692</v>
      </c>
      <c r="AA23" s="8">
        <f t="shared" si="10"/>
        <v>262331.07692307688</v>
      </c>
      <c r="AB23" s="73">
        <f t="shared" si="11"/>
        <v>312173.98153846152</v>
      </c>
      <c r="AC23" s="49">
        <f t="shared" si="12"/>
        <v>52028.99692307692</v>
      </c>
      <c r="AD23" s="49">
        <f t="shared" si="13"/>
        <v>177310</v>
      </c>
      <c r="AE23" s="49">
        <f t="shared" si="14"/>
        <v>125281.00307692308</v>
      </c>
      <c r="AF23" s="49">
        <f t="shared" si="15"/>
        <v>573141.78707692295</v>
      </c>
    </row>
    <row r="24" spans="1:32" ht="89.25" x14ac:dyDescent="0.25">
      <c r="A24" s="3">
        <v>16</v>
      </c>
      <c r="B24" s="4" t="s">
        <v>24</v>
      </c>
      <c r="C24" s="3" t="s">
        <v>25</v>
      </c>
      <c r="D24" s="3">
        <v>80</v>
      </c>
      <c r="E24" s="6" t="s">
        <v>100</v>
      </c>
      <c r="F24" s="6" t="s">
        <v>99</v>
      </c>
      <c r="G24" s="7">
        <f>19000+51000</f>
        <v>70000</v>
      </c>
      <c r="H24" s="6">
        <v>19</v>
      </c>
      <c r="I24" s="15">
        <f t="shared" ref="I24:I26" si="16">G24*H24%</f>
        <v>13300</v>
      </c>
      <c r="J24" s="7">
        <f t="shared" ref="J24:J26" si="17">(G24*H24%)+G24</f>
        <v>83300</v>
      </c>
      <c r="K24" s="8">
        <f>(19000*80)+51000</f>
        <v>1571000</v>
      </c>
      <c r="L24" s="8">
        <f>(((19000*19%)+(19000))*80)+((51000*19%)+51000)</f>
        <v>1869490</v>
      </c>
      <c r="M24" s="28" t="s">
        <v>147</v>
      </c>
      <c r="N24" s="28" t="s">
        <v>150</v>
      </c>
      <c r="O24" s="29">
        <v>5923.0769230769183</v>
      </c>
      <c r="P24" s="28">
        <v>19</v>
      </c>
      <c r="Q24" s="30">
        <f t="shared" si="4"/>
        <v>1125.3846153846146</v>
      </c>
      <c r="R24" s="29">
        <f t="shared" si="5"/>
        <v>7048.4615384615327</v>
      </c>
      <c r="S24" s="31">
        <f t="shared" si="6"/>
        <v>473846.15384615347</v>
      </c>
      <c r="T24" s="31">
        <f t="shared" si="7"/>
        <v>563876.92307692266</v>
      </c>
      <c r="U24" s="6" t="s">
        <v>182</v>
      </c>
      <c r="V24" s="6" t="s">
        <v>185</v>
      </c>
      <c r="W24" s="7">
        <v>5384.6153846153848</v>
      </c>
      <c r="X24" s="6">
        <v>19</v>
      </c>
      <c r="Y24" s="15">
        <f t="shared" si="8"/>
        <v>1023.0769230769231</v>
      </c>
      <c r="Z24" s="7">
        <f t="shared" si="9"/>
        <v>6407.6923076923076</v>
      </c>
      <c r="AA24" s="8">
        <f t="shared" si="10"/>
        <v>430769.23076923075</v>
      </c>
      <c r="AB24" s="73">
        <f t="shared" si="11"/>
        <v>512615.38461538462</v>
      </c>
      <c r="AC24" s="49">
        <f t="shared" si="12"/>
        <v>6407.6923076923076</v>
      </c>
      <c r="AD24" s="49">
        <f t="shared" si="13"/>
        <v>83300</v>
      </c>
      <c r="AE24" s="49">
        <f t="shared" si="14"/>
        <v>76892.307692307688</v>
      </c>
      <c r="AF24" s="49">
        <f t="shared" si="15"/>
        <v>981994.10256410239</v>
      </c>
    </row>
    <row r="25" spans="1:32" ht="38.25" x14ac:dyDescent="0.25">
      <c r="A25" s="3">
        <v>17</v>
      </c>
      <c r="B25" s="4" t="s">
        <v>26</v>
      </c>
      <c r="C25" s="3" t="s">
        <v>27</v>
      </c>
      <c r="D25" s="3">
        <v>1</v>
      </c>
      <c r="E25" s="6"/>
      <c r="F25" s="6" t="s">
        <v>97</v>
      </c>
      <c r="G25" s="7">
        <v>31680000</v>
      </c>
      <c r="H25" s="6">
        <v>19</v>
      </c>
      <c r="I25" s="15">
        <f t="shared" si="16"/>
        <v>6019200</v>
      </c>
      <c r="J25" s="7">
        <f t="shared" si="17"/>
        <v>37699200</v>
      </c>
      <c r="K25" s="8">
        <f t="shared" ref="K25:K26" si="18">G25*D25</f>
        <v>31680000</v>
      </c>
      <c r="L25" s="8">
        <f t="shared" ref="L25:L26" si="19">J25*D25</f>
        <v>37699200</v>
      </c>
      <c r="M25" s="28" t="s">
        <v>147</v>
      </c>
      <c r="N25" s="28" t="s">
        <v>151</v>
      </c>
      <c r="O25" s="29">
        <v>10661974.358974356</v>
      </c>
      <c r="P25" s="28">
        <v>19</v>
      </c>
      <c r="Q25" s="30">
        <f t="shared" si="4"/>
        <v>2025775.1282051278</v>
      </c>
      <c r="R25" s="29">
        <f t="shared" si="5"/>
        <v>12687749.487179484</v>
      </c>
      <c r="S25" s="31">
        <f t="shared" si="6"/>
        <v>10661974.358974356</v>
      </c>
      <c r="T25" s="31">
        <f t="shared" si="7"/>
        <v>12687749.487179484</v>
      </c>
      <c r="U25" s="6" t="s">
        <v>182</v>
      </c>
      <c r="V25" s="6" t="s">
        <v>186</v>
      </c>
      <c r="W25" s="7">
        <v>9271282.0512820482</v>
      </c>
      <c r="X25" s="6">
        <v>19</v>
      </c>
      <c r="Y25" s="15">
        <f t="shared" si="8"/>
        <v>1761543.5897435893</v>
      </c>
      <c r="Z25" s="7">
        <f t="shared" si="9"/>
        <v>11032825.641025638</v>
      </c>
      <c r="AA25" s="8">
        <f t="shared" si="10"/>
        <v>9271282.0512820482</v>
      </c>
      <c r="AB25" s="73">
        <f t="shared" si="11"/>
        <v>11032825.641025638</v>
      </c>
      <c r="AC25" s="49">
        <f t="shared" si="12"/>
        <v>11032825.641025638</v>
      </c>
      <c r="AD25" s="49">
        <f t="shared" si="13"/>
        <v>37699200</v>
      </c>
      <c r="AE25" s="49">
        <f t="shared" si="14"/>
        <v>26666374.35897436</v>
      </c>
      <c r="AF25" s="49">
        <f t="shared" si="15"/>
        <v>20473258.376068376</v>
      </c>
    </row>
    <row r="26" spans="1:32" ht="114.75" x14ac:dyDescent="0.25">
      <c r="A26" s="3">
        <v>18</v>
      </c>
      <c r="B26" s="4" t="s">
        <v>70</v>
      </c>
      <c r="C26" s="3" t="s">
        <v>9</v>
      </c>
      <c r="D26" s="3">
        <v>2</v>
      </c>
      <c r="E26" s="6" t="s">
        <v>78</v>
      </c>
      <c r="F26" s="6" t="s">
        <v>98</v>
      </c>
      <c r="G26" s="7">
        <v>3263000</v>
      </c>
      <c r="H26" s="6">
        <v>19</v>
      </c>
      <c r="I26" s="15">
        <f t="shared" si="16"/>
        <v>619970</v>
      </c>
      <c r="J26" s="7">
        <f t="shared" si="17"/>
        <v>3882970</v>
      </c>
      <c r="K26" s="8">
        <f t="shared" si="18"/>
        <v>6526000</v>
      </c>
      <c r="L26" s="8">
        <f t="shared" si="19"/>
        <v>7765940</v>
      </c>
      <c r="M26" s="28" t="s">
        <v>152</v>
      </c>
      <c r="N26" s="28" t="s">
        <v>153</v>
      </c>
      <c r="O26" s="29">
        <f>4986703.84615385*112%</f>
        <v>5585108.3076923126</v>
      </c>
      <c r="P26" s="28">
        <v>19</v>
      </c>
      <c r="Q26" s="30">
        <f t="shared" si="4"/>
        <v>1061170.5784615395</v>
      </c>
      <c r="R26" s="29">
        <f t="shared" si="5"/>
        <v>6646278.8861538526</v>
      </c>
      <c r="S26" s="31">
        <f t="shared" si="6"/>
        <v>11170216.615384625</v>
      </c>
      <c r="T26" s="31">
        <f t="shared" si="7"/>
        <v>13292557.772307705</v>
      </c>
      <c r="U26" s="6" t="s">
        <v>152</v>
      </c>
      <c r="V26" s="6" t="s">
        <v>153</v>
      </c>
      <c r="W26" s="7">
        <v>4986703.846153846</v>
      </c>
      <c r="X26" s="6">
        <v>19</v>
      </c>
      <c r="Y26" s="15">
        <f t="shared" si="8"/>
        <v>947473.73076923075</v>
      </c>
      <c r="Z26" s="7">
        <f t="shared" si="9"/>
        <v>5934177.576923077</v>
      </c>
      <c r="AA26" s="8">
        <f t="shared" si="10"/>
        <v>9973407.692307692</v>
      </c>
      <c r="AB26" s="73">
        <f t="shared" si="11"/>
        <v>11868355.153846154</v>
      </c>
      <c r="AC26" s="49">
        <f t="shared" si="12"/>
        <v>3882970</v>
      </c>
      <c r="AD26" s="49">
        <f t="shared" si="13"/>
        <v>6646278.8861538526</v>
      </c>
      <c r="AE26" s="49">
        <f t="shared" si="14"/>
        <v>2763308.8861538526</v>
      </c>
      <c r="AF26" s="49">
        <f t="shared" si="15"/>
        <v>10975617.642051287</v>
      </c>
    </row>
    <row r="27" spans="1:32" x14ac:dyDescent="0.25">
      <c r="A27" s="11"/>
      <c r="B27" s="12"/>
      <c r="C27" s="11"/>
      <c r="D27" s="11"/>
      <c r="E27" s="62" t="s">
        <v>64</v>
      </c>
      <c r="F27" s="62"/>
      <c r="G27" s="14">
        <f>SUM(G9:G26)</f>
        <v>125452591</v>
      </c>
      <c r="H27" s="13"/>
      <c r="I27" s="14">
        <f t="shared" ref="I27:L27" si="20">SUM(I9:I26)</f>
        <v>23835992.289999999</v>
      </c>
      <c r="J27" s="14">
        <f t="shared" si="20"/>
        <v>149288583.28999999</v>
      </c>
      <c r="K27" s="14">
        <f t="shared" si="20"/>
        <v>185564947</v>
      </c>
      <c r="L27" s="14">
        <f t="shared" si="20"/>
        <v>220822286.93000004</v>
      </c>
      <c r="M27" s="60" t="s">
        <v>64</v>
      </c>
      <c r="N27" s="60"/>
      <c r="O27" s="32">
        <f>SUM(O9:O26)</f>
        <v>101457270.42243592</v>
      </c>
      <c r="P27" s="33"/>
      <c r="Q27" s="32">
        <f t="shared" ref="Q27:T27" si="21">SUM(Q9:Q26)</f>
        <v>19276881.380262822</v>
      </c>
      <c r="R27" s="32">
        <f t="shared" si="21"/>
        <v>120734151.80269876</v>
      </c>
      <c r="S27" s="32">
        <f t="shared" si="21"/>
        <v>158307115.84551287</v>
      </c>
      <c r="T27" s="32">
        <f t="shared" si="21"/>
        <v>188385467.85616031</v>
      </c>
      <c r="U27" s="62" t="s">
        <v>64</v>
      </c>
      <c r="V27" s="62"/>
      <c r="W27" s="14">
        <f>SUM(W9:W26)</f>
        <v>94361099.93589741</v>
      </c>
      <c r="X27" s="13"/>
      <c r="Y27" s="14">
        <f t="shared" ref="Y27:AB27" si="22">SUM(Y9:Y26)</f>
        <v>17928608.98782051</v>
      </c>
      <c r="Z27" s="14">
        <f t="shared" si="22"/>
        <v>112289708.92371792</v>
      </c>
      <c r="AA27" s="14">
        <f t="shared" si="22"/>
        <v>147350512.24358973</v>
      </c>
      <c r="AB27" s="14">
        <f t="shared" si="22"/>
        <v>175347109.56987178</v>
      </c>
      <c r="AC27" s="47"/>
      <c r="AD27" s="46"/>
      <c r="AE27" s="46"/>
      <c r="AF27" s="46"/>
    </row>
    <row r="28" spans="1:32" ht="21.75" customHeight="1" x14ac:dyDescent="0.25">
      <c r="A28" s="9" t="s">
        <v>28</v>
      </c>
      <c r="B28" s="10"/>
      <c r="C28" s="10"/>
      <c r="D28" s="10"/>
      <c r="E28" s="10"/>
      <c r="F28" s="10"/>
      <c r="G28" s="10"/>
      <c r="H28" s="10"/>
      <c r="I28" s="10"/>
      <c r="J28" s="10"/>
      <c r="K28" s="5"/>
      <c r="L28" s="5"/>
      <c r="M28" s="34"/>
      <c r="N28" s="34"/>
      <c r="O28" s="34"/>
      <c r="P28" s="34"/>
      <c r="Q28" s="34"/>
      <c r="R28" s="34"/>
      <c r="S28" s="35"/>
      <c r="T28" s="35"/>
      <c r="U28" s="10"/>
      <c r="V28" s="10"/>
      <c r="W28" s="10"/>
      <c r="X28" s="10"/>
      <c r="Y28" s="10"/>
      <c r="Z28" s="10"/>
      <c r="AA28" s="5"/>
      <c r="AB28" s="5"/>
      <c r="AC28" s="47"/>
      <c r="AD28" s="46"/>
      <c r="AE28" s="46"/>
      <c r="AF28" s="46"/>
    </row>
    <row r="29" spans="1:32" ht="51" x14ac:dyDescent="0.25">
      <c r="A29" s="3">
        <v>19</v>
      </c>
      <c r="B29" s="4" t="s">
        <v>29</v>
      </c>
      <c r="C29" s="3" t="s">
        <v>9</v>
      </c>
      <c r="D29" s="3">
        <v>1</v>
      </c>
      <c r="E29" s="6" t="s">
        <v>101</v>
      </c>
      <c r="F29" s="6" t="s">
        <v>102</v>
      </c>
      <c r="G29" s="7">
        <v>37741000</v>
      </c>
      <c r="H29" s="6">
        <v>19</v>
      </c>
      <c r="I29" s="15">
        <f t="shared" ref="I29:I30" si="23">G29*H29%</f>
        <v>7170790</v>
      </c>
      <c r="J29" s="7">
        <f t="shared" ref="J29:J30" si="24">(G29*H29%)+G29</f>
        <v>44911790</v>
      </c>
      <c r="K29" s="8">
        <f t="shared" ref="K29:K30" si="25">G29*D29</f>
        <v>37741000</v>
      </c>
      <c r="L29" s="8">
        <f t="shared" ref="L29:L30" si="26">J29*D29</f>
        <v>44911790</v>
      </c>
      <c r="M29" s="28" t="s">
        <v>131</v>
      </c>
      <c r="N29" s="28" t="s">
        <v>154</v>
      </c>
      <c r="O29" s="29">
        <f>16761673.8461538*115%</f>
        <v>19275924.923076868</v>
      </c>
      <c r="P29" s="28">
        <v>19</v>
      </c>
      <c r="Q29" s="30">
        <f t="shared" ref="Q29:Q30" si="27">O29*P29%</f>
        <v>3662425.7353846049</v>
      </c>
      <c r="R29" s="29">
        <f t="shared" ref="R29:R30" si="28">(O29*P29%)+O29</f>
        <v>22938350.658461474</v>
      </c>
      <c r="S29" s="31">
        <f t="shared" ref="S29:S30" si="29">O29*D29</f>
        <v>19275924.923076868</v>
      </c>
      <c r="T29" s="31">
        <f t="shared" ref="T29:T30" si="30">R29*D29</f>
        <v>22938350.658461474</v>
      </c>
      <c r="U29" s="6" t="s">
        <v>182</v>
      </c>
      <c r="V29" s="6" t="s">
        <v>154</v>
      </c>
      <c r="W29" s="7">
        <v>16761673.846153846</v>
      </c>
      <c r="X29" s="6">
        <v>19</v>
      </c>
      <c r="Y29" s="15">
        <f t="shared" ref="Y29:Y30" si="31">W29*X29%</f>
        <v>3184718.0307692308</v>
      </c>
      <c r="Z29" s="7">
        <f t="shared" ref="Z29:Z30" si="32">(W29*X29%)+W29</f>
        <v>19946391.876923077</v>
      </c>
      <c r="AA29" s="8">
        <f t="shared" ref="AA29:AA30" si="33">W29*D29</f>
        <v>16761673.846153846</v>
      </c>
      <c r="AB29" s="8">
        <f t="shared" ref="AB29:AB30" si="34">Z29*D29</f>
        <v>19946391.876923077</v>
      </c>
      <c r="AC29" s="49">
        <f t="shared" ref="AC29:AC30" si="35">MIN(J29,R29,Z29)</f>
        <v>19946391.876923077</v>
      </c>
      <c r="AD29" s="49">
        <f t="shared" ref="AD29:AD30" si="36">MAX(J29,R29,Z29)</f>
        <v>44911790</v>
      </c>
      <c r="AE29" s="49">
        <f t="shared" si="14"/>
        <v>24965398.123076923</v>
      </c>
      <c r="AF29" s="49">
        <f t="shared" si="15"/>
        <v>29265510.84512819</v>
      </c>
    </row>
    <row r="30" spans="1:32" ht="25.5" x14ac:dyDescent="0.25">
      <c r="A30" s="3">
        <v>20</v>
      </c>
      <c r="B30" s="4" t="s">
        <v>30</v>
      </c>
      <c r="C30" s="3" t="s">
        <v>27</v>
      </c>
      <c r="D30" s="3">
        <v>1</v>
      </c>
      <c r="E30" s="6"/>
      <c r="F30" s="6" t="s">
        <v>97</v>
      </c>
      <c r="G30" s="7">
        <v>3760000</v>
      </c>
      <c r="H30" s="6">
        <v>19</v>
      </c>
      <c r="I30" s="15">
        <f t="shared" si="23"/>
        <v>714400</v>
      </c>
      <c r="J30" s="7">
        <f t="shared" si="24"/>
        <v>4474400</v>
      </c>
      <c r="K30" s="8">
        <f t="shared" si="25"/>
        <v>3760000</v>
      </c>
      <c r="L30" s="8">
        <f t="shared" si="26"/>
        <v>4474400</v>
      </c>
      <c r="M30" s="28" t="s">
        <v>131</v>
      </c>
      <c r="N30" s="28" t="s">
        <v>151</v>
      </c>
      <c r="O30" s="29">
        <f>3243589.74358974*112%</f>
        <v>3632820.5128205088</v>
      </c>
      <c r="P30" s="28">
        <v>19</v>
      </c>
      <c r="Q30" s="30">
        <f t="shared" si="27"/>
        <v>690235.89743589668</v>
      </c>
      <c r="R30" s="29">
        <f t="shared" si="28"/>
        <v>4323056.4102564054</v>
      </c>
      <c r="S30" s="31">
        <f t="shared" si="29"/>
        <v>3632820.5128205088</v>
      </c>
      <c r="T30" s="31">
        <f t="shared" si="30"/>
        <v>4323056.4102564054</v>
      </c>
      <c r="U30" s="6" t="s">
        <v>182</v>
      </c>
      <c r="V30" s="6" t="s">
        <v>186</v>
      </c>
      <c r="W30" s="7">
        <v>3243589.7435897435</v>
      </c>
      <c r="X30" s="6">
        <v>19</v>
      </c>
      <c r="Y30" s="15">
        <f t="shared" si="31"/>
        <v>616282.05128205125</v>
      </c>
      <c r="Z30" s="7">
        <f t="shared" si="32"/>
        <v>3859871.794871795</v>
      </c>
      <c r="AA30" s="8">
        <f t="shared" si="33"/>
        <v>3243589.7435897435</v>
      </c>
      <c r="AB30" s="8">
        <f t="shared" si="34"/>
        <v>3859871.794871795</v>
      </c>
      <c r="AC30" s="49">
        <f t="shared" si="35"/>
        <v>3859871.794871795</v>
      </c>
      <c r="AD30" s="49">
        <f t="shared" si="36"/>
        <v>4474400</v>
      </c>
      <c r="AE30" s="49">
        <f t="shared" si="14"/>
        <v>614528.20512820501</v>
      </c>
      <c r="AF30" s="49">
        <f t="shared" si="15"/>
        <v>4219109.4017094001</v>
      </c>
    </row>
    <row r="31" spans="1:32" x14ac:dyDescent="0.25">
      <c r="A31" s="11"/>
      <c r="B31" s="12"/>
      <c r="C31" s="11"/>
      <c r="D31" s="11"/>
      <c r="E31" s="62" t="s">
        <v>64</v>
      </c>
      <c r="F31" s="62"/>
      <c r="G31" s="14">
        <f>SUM(G29:G30)</f>
        <v>41501000</v>
      </c>
      <c r="H31" s="13"/>
      <c r="I31" s="14">
        <f t="shared" ref="I31:L31" si="37">SUM(I29:I30)</f>
        <v>7885190</v>
      </c>
      <c r="J31" s="14">
        <f t="shared" si="37"/>
        <v>49386190</v>
      </c>
      <c r="K31" s="14">
        <f t="shared" si="37"/>
        <v>41501000</v>
      </c>
      <c r="L31" s="14">
        <f t="shared" si="37"/>
        <v>49386190</v>
      </c>
      <c r="M31" s="60" t="s">
        <v>64</v>
      </c>
      <c r="N31" s="60"/>
      <c r="O31" s="32">
        <f>SUM(O29:O30)</f>
        <v>22908745.435897376</v>
      </c>
      <c r="P31" s="33"/>
      <c r="Q31" s="32">
        <f t="shared" ref="Q31:T31" si="38">SUM(Q29:Q30)</f>
        <v>4352661.6328205019</v>
      </c>
      <c r="R31" s="32">
        <f t="shared" si="38"/>
        <v>27261407.068717878</v>
      </c>
      <c r="S31" s="32">
        <f t="shared" si="38"/>
        <v>22908745.435897376</v>
      </c>
      <c r="T31" s="32">
        <f t="shared" si="38"/>
        <v>27261407.068717878</v>
      </c>
      <c r="U31" s="62" t="s">
        <v>64</v>
      </c>
      <c r="V31" s="62"/>
      <c r="W31" s="14">
        <f>SUM(W29:W30)</f>
        <v>20005263.589743588</v>
      </c>
      <c r="X31" s="13"/>
      <c r="Y31" s="14">
        <f t="shared" ref="Y31:AB31" si="39">SUM(Y29:Y30)</f>
        <v>3801000.0820512818</v>
      </c>
      <c r="Z31" s="14">
        <f t="shared" si="39"/>
        <v>23806263.671794873</v>
      </c>
      <c r="AA31" s="14">
        <f t="shared" si="39"/>
        <v>20005263.589743588</v>
      </c>
      <c r="AB31" s="14">
        <f t="shared" si="39"/>
        <v>23806263.671794873</v>
      </c>
      <c r="AC31" s="47"/>
      <c r="AD31" s="46"/>
      <c r="AE31" s="46"/>
      <c r="AF31" s="46"/>
    </row>
    <row r="32" spans="1:32" ht="21.75" customHeight="1" x14ac:dyDescent="0.25">
      <c r="A32" s="9" t="s">
        <v>31</v>
      </c>
      <c r="B32" s="10"/>
      <c r="C32" s="10"/>
      <c r="D32" s="10"/>
      <c r="E32" s="10"/>
      <c r="F32" s="10"/>
      <c r="G32" s="10"/>
      <c r="H32" s="10"/>
      <c r="I32" s="10"/>
      <c r="J32" s="10"/>
      <c r="K32" s="5"/>
      <c r="L32" s="5"/>
      <c r="M32" s="34"/>
      <c r="N32" s="34"/>
      <c r="O32" s="34"/>
      <c r="P32" s="34"/>
      <c r="Q32" s="34"/>
      <c r="R32" s="34"/>
      <c r="S32" s="35"/>
      <c r="T32" s="35"/>
      <c r="U32" s="10"/>
      <c r="V32" s="10"/>
      <c r="W32" s="10"/>
      <c r="X32" s="10"/>
      <c r="Y32" s="10"/>
      <c r="Z32" s="10"/>
      <c r="AA32" s="5"/>
      <c r="AB32" s="5"/>
      <c r="AC32" s="47"/>
      <c r="AD32" s="46"/>
      <c r="AE32" s="46"/>
      <c r="AF32" s="46"/>
    </row>
    <row r="33" spans="1:32" ht="63.75" x14ac:dyDescent="0.25">
      <c r="A33" s="3">
        <v>21</v>
      </c>
      <c r="B33" s="4" t="s">
        <v>32</v>
      </c>
      <c r="C33" s="3" t="s">
        <v>9</v>
      </c>
      <c r="D33" s="3">
        <v>4</v>
      </c>
      <c r="E33" s="6" t="s">
        <v>103</v>
      </c>
      <c r="F33" s="6" t="s">
        <v>104</v>
      </c>
      <c r="G33" s="7">
        <v>1272000</v>
      </c>
      <c r="H33" s="6">
        <v>19</v>
      </c>
      <c r="I33" s="15">
        <f t="shared" ref="I33:I37" si="40">G33*H33%</f>
        <v>241680</v>
      </c>
      <c r="J33" s="7">
        <f t="shared" ref="J33:J37" si="41">(G33*H33%)+G33</f>
        <v>1513680</v>
      </c>
      <c r="K33" s="8">
        <f t="shared" ref="K33:K36" si="42">G33*D33</f>
        <v>5088000</v>
      </c>
      <c r="L33" s="8">
        <f t="shared" ref="L33:L36" si="43">J33*D33</f>
        <v>6054720</v>
      </c>
      <c r="M33" s="28" t="s">
        <v>155</v>
      </c>
      <c r="N33" s="28" t="s">
        <v>156</v>
      </c>
      <c r="O33" s="29">
        <v>1276694.2523076949</v>
      </c>
      <c r="P33" s="28">
        <v>19</v>
      </c>
      <c r="Q33" s="30">
        <f t="shared" ref="Q33:Q38" si="44">O33*P33%</f>
        <v>242571.90793846204</v>
      </c>
      <c r="R33" s="29">
        <f t="shared" ref="R33:R38" si="45">(O33*P33%)+O33</f>
        <v>1519266.1602461569</v>
      </c>
      <c r="S33" s="31">
        <f t="shared" ref="S33:S38" si="46">O33*D33</f>
        <v>5106777.0092307795</v>
      </c>
      <c r="T33" s="31">
        <f t="shared" ref="T33:T38" si="47">R33*D33</f>
        <v>6077064.6409846274</v>
      </c>
      <c r="U33" s="6" t="s">
        <v>155</v>
      </c>
      <c r="V33" s="6" t="s">
        <v>187</v>
      </c>
      <c r="W33" s="7">
        <v>1182124.3076923077</v>
      </c>
      <c r="X33" s="6">
        <v>19</v>
      </c>
      <c r="Y33" s="15">
        <f t="shared" ref="Y33:Y37" si="48">W33*X33%</f>
        <v>224603.61846153848</v>
      </c>
      <c r="Z33" s="7">
        <f t="shared" ref="Z33:Z37" si="49">(W33*X33%)+W33</f>
        <v>1406727.9261538463</v>
      </c>
      <c r="AA33" s="8">
        <f t="shared" ref="AA33:AA38" si="50">W33*D33</f>
        <v>4728497.230769231</v>
      </c>
      <c r="AB33" s="8">
        <f t="shared" ref="AB33:AB37" si="51">Z33*D33</f>
        <v>5626911.7046153853</v>
      </c>
      <c r="AC33" s="49">
        <f t="shared" ref="AC33:AC38" si="52">MIN(J33,R33,Z33)</f>
        <v>1406727.9261538463</v>
      </c>
      <c r="AD33" s="49">
        <f t="shared" ref="AD33:AD38" si="53">MAX(J33,R33,Z33)</f>
        <v>1519266.1602461569</v>
      </c>
      <c r="AE33" s="49">
        <f t="shared" si="14"/>
        <v>112538.23409231054</v>
      </c>
      <c r="AF33" s="49">
        <f t="shared" si="15"/>
        <v>5919565.4485333376</v>
      </c>
    </row>
    <row r="34" spans="1:32" ht="63.75" x14ac:dyDescent="0.25">
      <c r="A34" s="3">
        <v>22</v>
      </c>
      <c r="B34" s="4" t="s">
        <v>33</v>
      </c>
      <c r="C34" s="3" t="s">
        <v>9</v>
      </c>
      <c r="D34" s="3">
        <v>2</v>
      </c>
      <c r="E34" s="6" t="s">
        <v>103</v>
      </c>
      <c r="F34" s="6" t="s">
        <v>105</v>
      </c>
      <c r="G34" s="7">
        <v>3523000</v>
      </c>
      <c r="H34" s="6">
        <v>19</v>
      </c>
      <c r="I34" s="15">
        <f t="shared" si="40"/>
        <v>669370</v>
      </c>
      <c r="J34" s="7">
        <f t="shared" si="41"/>
        <v>4192370</v>
      </c>
      <c r="K34" s="8">
        <f t="shared" si="42"/>
        <v>7046000</v>
      </c>
      <c r="L34" s="8">
        <f t="shared" si="43"/>
        <v>8384740</v>
      </c>
      <c r="M34" s="28" t="s">
        <v>155</v>
      </c>
      <c r="N34" s="28" t="s">
        <v>157</v>
      </c>
      <c r="O34" s="29">
        <v>2396835.6923076948</v>
      </c>
      <c r="P34" s="28">
        <v>19</v>
      </c>
      <c r="Q34" s="30">
        <f t="shared" si="44"/>
        <v>455398.78153846203</v>
      </c>
      <c r="R34" s="29">
        <f t="shared" si="45"/>
        <v>2852234.4738461571</v>
      </c>
      <c r="S34" s="31">
        <f t="shared" si="46"/>
        <v>4793671.3846153896</v>
      </c>
      <c r="T34" s="31">
        <f t="shared" si="47"/>
        <v>5704468.9476923142</v>
      </c>
      <c r="U34" s="6" t="s">
        <v>155</v>
      </c>
      <c r="V34" s="6" t="s">
        <v>105</v>
      </c>
      <c r="W34" s="7">
        <v>2219292.307692308</v>
      </c>
      <c r="X34" s="6">
        <v>19</v>
      </c>
      <c r="Y34" s="15">
        <f t="shared" si="48"/>
        <v>421665.5384615385</v>
      </c>
      <c r="Z34" s="7">
        <f t="shared" si="49"/>
        <v>2640957.8461538465</v>
      </c>
      <c r="AA34" s="8">
        <f t="shared" si="50"/>
        <v>4438584.615384616</v>
      </c>
      <c r="AB34" s="8">
        <f t="shared" si="51"/>
        <v>5281915.692307693</v>
      </c>
      <c r="AC34" s="49">
        <f t="shared" si="52"/>
        <v>2640957.8461538465</v>
      </c>
      <c r="AD34" s="49">
        <f t="shared" si="53"/>
        <v>4192370</v>
      </c>
      <c r="AE34" s="49">
        <f t="shared" si="14"/>
        <v>1551412.1538461535</v>
      </c>
      <c r="AF34" s="49">
        <f t="shared" si="15"/>
        <v>6457041.5466666697</v>
      </c>
    </row>
    <row r="35" spans="1:32" ht="51" x14ac:dyDescent="0.25">
      <c r="A35" s="3">
        <v>23</v>
      </c>
      <c r="B35" s="4" t="s">
        <v>34</v>
      </c>
      <c r="C35" s="3" t="s">
        <v>9</v>
      </c>
      <c r="D35" s="3">
        <v>1</v>
      </c>
      <c r="E35" s="6" t="s">
        <v>106</v>
      </c>
      <c r="F35" s="6" t="s">
        <v>107</v>
      </c>
      <c r="G35" s="7">
        <v>679000</v>
      </c>
      <c r="H35" s="6">
        <v>19</v>
      </c>
      <c r="I35" s="15">
        <f t="shared" si="40"/>
        <v>129010</v>
      </c>
      <c r="J35" s="7">
        <f t="shared" si="41"/>
        <v>808010</v>
      </c>
      <c r="K35" s="8">
        <f t="shared" si="42"/>
        <v>679000</v>
      </c>
      <c r="L35" s="8">
        <f t="shared" si="43"/>
        <v>808010</v>
      </c>
      <c r="M35" s="28" t="s">
        <v>155</v>
      </c>
      <c r="N35" s="28" t="s">
        <v>158</v>
      </c>
      <c r="O35" s="29">
        <v>963698.9538461538</v>
      </c>
      <c r="P35" s="28">
        <v>19</v>
      </c>
      <c r="Q35" s="30">
        <f t="shared" si="44"/>
        <v>183102.80123076923</v>
      </c>
      <c r="R35" s="29">
        <f t="shared" si="45"/>
        <v>1146801.7550769229</v>
      </c>
      <c r="S35" s="31">
        <f t="shared" si="46"/>
        <v>963698.9538461538</v>
      </c>
      <c r="T35" s="31">
        <f t="shared" si="47"/>
        <v>1146801.7550769229</v>
      </c>
      <c r="U35" s="6" t="s">
        <v>155</v>
      </c>
      <c r="V35" s="6" t="s">
        <v>188</v>
      </c>
      <c r="W35" s="7">
        <v>892313.84615384601</v>
      </c>
      <c r="X35" s="6">
        <v>19</v>
      </c>
      <c r="Y35" s="15">
        <f t="shared" si="48"/>
        <v>169539.63076923075</v>
      </c>
      <c r="Z35" s="7">
        <f t="shared" si="49"/>
        <v>1061853.4769230767</v>
      </c>
      <c r="AA35" s="8">
        <f t="shared" si="50"/>
        <v>892313.84615384601</v>
      </c>
      <c r="AB35" s="8">
        <f t="shared" si="51"/>
        <v>1061853.4769230767</v>
      </c>
      <c r="AC35" s="49">
        <f t="shared" si="52"/>
        <v>808010</v>
      </c>
      <c r="AD35" s="49">
        <f t="shared" si="53"/>
        <v>1146801.7550769229</v>
      </c>
      <c r="AE35" s="49">
        <f t="shared" si="14"/>
        <v>338791.75507692294</v>
      </c>
      <c r="AF35" s="49">
        <f t="shared" si="15"/>
        <v>1005555.0773333333</v>
      </c>
    </row>
    <row r="36" spans="1:32" ht="38.25" x14ac:dyDescent="0.25">
      <c r="A36" s="3">
        <v>24</v>
      </c>
      <c r="B36" s="4" t="s">
        <v>35</v>
      </c>
      <c r="C36" s="3" t="s">
        <v>9</v>
      </c>
      <c r="D36" s="3">
        <v>6</v>
      </c>
      <c r="E36" s="6" t="s">
        <v>108</v>
      </c>
      <c r="F36" s="6" t="s">
        <v>109</v>
      </c>
      <c r="G36" s="7">
        <v>117000</v>
      </c>
      <c r="H36" s="6">
        <v>19</v>
      </c>
      <c r="I36" s="15">
        <f t="shared" si="40"/>
        <v>22230</v>
      </c>
      <c r="J36" s="7">
        <f t="shared" si="41"/>
        <v>139230</v>
      </c>
      <c r="K36" s="8">
        <f t="shared" si="42"/>
        <v>702000</v>
      </c>
      <c r="L36" s="8">
        <f t="shared" si="43"/>
        <v>835380</v>
      </c>
      <c r="M36" s="28" t="s">
        <v>155</v>
      </c>
      <c r="N36" s="28" t="s">
        <v>159</v>
      </c>
      <c r="O36" s="29">
        <v>121082.95384615369</v>
      </c>
      <c r="P36" s="28">
        <v>19</v>
      </c>
      <c r="Q36" s="30">
        <f t="shared" si="44"/>
        <v>23005.7612307692</v>
      </c>
      <c r="R36" s="29">
        <f t="shared" si="45"/>
        <v>144088.71507692288</v>
      </c>
      <c r="S36" s="31">
        <f t="shared" si="46"/>
        <v>726497.72307692212</v>
      </c>
      <c r="T36" s="31">
        <f t="shared" si="47"/>
        <v>864532.2904615372</v>
      </c>
      <c r="U36" s="6" t="s">
        <v>155</v>
      </c>
      <c r="V36" s="6" t="s">
        <v>189</v>
      </c>
      <c r="W36" s="7">
        <v>112113.84615384614</v>
      </c>
      <c r="X36" s="6">
        <v>19</v>
      </c>
      <c r="Y36" s="15">
        <f t="shared" si="48"/>
        <v>21301.630769230767</v>
      </c>
      <c r="Z36" s="7">
        <f t="shared" si="49"/>
        <v>133415.4769230769</v>
      </c>
      <c r="AA36" s="8">
        <f t="shared" si="50"/>
        <v>672683.07692307688</v>
      </c>
      <c r="AB36" s="8">
        <f t="shared" si="51"/>
        <v>800492.86153846141</v>
      </c>
      <c r="AC36" s="49">
        <f t="shared" si="52"/>
        <v>133415.4769230769</v>
      </c>
      <c r="AD36" s="49">
        <f t="shared" si="53"/>
        <v>144088.71507692288</v>
      </c>
      <c r="AE36" s="49">
        <f t="shared" si="14"/>
        <v>10673.238153845974</v>
      </c>
      <c r="AF36" s="49">
        <f t="shared" si="15"/>
        <v>833468.38399999961</v>
      </c>
    </row>
    <row r="37" spans="1:32" ht="76.5" x14ac:dyDescent="0.25">
      <c r="A37" s="3">
        <v>25</v>
      </c>
      <c r="B37" s="4" t="s">
        <v>36</v>
      </c>
      <c r="C37" s="3" t="s">
        <v>25</v>
      </c>
      <c r="D37" s="3">
        <v>80</v>
      </c>
      <c r="E37" s="6" t="s">
        <v>110</v>
      </c>
      <c r="F37" s="6" t="s">
        <v>111</v>
      </c>
      <c r="G37" s="7">
        <f>10000+105000</f>
        <v>115000</v>
      </c>
      <c r="H37" s="6">
        <v>19</v>
      </c>
      <c r="I37" s="15">
        <f t="shared" si="40"/>
        <v>21850</v>
      </c>
      <c r="J37" s="7">
        <f t="shared" si="41"/>
        <v>136850</v>
      </c>
      <c r="K37" s="8">
        <f>(10000*80)+105000</f>
        <v>905000</v>
      </c>
      <c r="L37" s="8">
        <f>(((10000*19%)+(10000))*80)+((105000*19%)+105000)</f>
        <v>1076950</v>
      </c>
      <c r="M37" s="28" t="s">
        <v>147</v>
      </c>
      <c r="N37" s="28" t="s">
        <v>160</v>
      </c>
      <c r="O37" s="29">
        <v>5815.3846153846107</v>
      </c>
      <c r="P37" s="28">
        <v>19</v>
      </c>
      <c r="Q37" s="30">
        <f t="shared" si="44"/>
        <v>1104.923076923076</v>
      </c>
      <c r="R37" s="29">
        <f t="shared" si="45"/>
        <v>6920.3076923076869</v>
      </c>
      <c r="S37" s="31">
        <f t="shared" si="46"/>
        <v>465230.76923076884</v>
      </c>
      <c r="T37" s="31">
        <f t="shared" si="47"/>
        <v>553624.61538461491</v>
      </c>
      <c r="U37" s="6" t="s">
        <v>182</v>
      </c>
      <c r="V37" s="6" t="s">
        <v>190</v>
      </c>
      <c r="W37" s="7">
        <v>5384.6153846153848</v>
      </c>
      <c r="X37" s="6">
        <v>19</v>
      </c>
      <c r="Y37" s="15">
        <f t="shared" si="48"/>
        <v>1023.0769230769231</v>
      </c>
      <c r="Z37" s="7">
        <f t="shared" si="49"/>
        <v>6407.6923076923076</v>
      </c>
      <c r="AA37" s="8">
        <f t="shared" si="50"/>
        <v>430769.23076923075</v>
      </c>
      <c r="AB37" s="8">
        <f t="shared" si="51"/>
        <v>512615.38461538462</v>
      </c>
      <c r="AC37" s="49">
        <f t="shared" si="52"/>
        <v>6407.6923076923076</v>
      </c>
      <c r="AD37" s="49">
        <f t="shared" si="53"/>
        <v>136850</v>
      </c>
      <c r="AE37" s="49">
        <f t="shared" si="14"/>
        <v>130442.30769230769</v>
      </c>
      <c r="AF37" s="49">
        <f t="shared" si="15"/>
        <v>714396.66666666651</v>
      </c>
    </row>
    <row r="38" spans="1:32" ht="25.5" x14ac:dyDescent="0.25">
      <c r="A38" s="3">
        <v>26</v>
      </c>
      <c r="B38" s="4" t="s">
        <v>37</v>
      </c>
      <c r="C38" s="3" t="s">
        <v>27</v>
      </c>
      <c r="D38" s="3">
        <v>1</v>
      </c>
      <c r="E38" s="6"/>
      <c r="F38" s="6" t="s">
        <v>97</v>
      </c>
      <c r="G38" s="7">
        <v>4651000</v>
      </c>
      <c r="H38" s="6">
        <v>19</v>
      </c>
      <c r="I38" s="15">
        <v>883690</v>
      </c>
      <c r="J38" s="7">
        <v>5534690</v>
      </c>
      <c r="K38" s="8">
        <v>4651000</v>
      </c>
      <c r="L38" s="8">
        <v>5534690</v>
      </c>
      <c r="M38" s="28" t="s">
        <v>131</v>
      </c>
      <c r="N38" s="28" t="s">
        <v>151</v>
      </c>
      <c r="O38" s="29">
        <v>2356615.3846153826</v>
      </c>
      <c r="P38" s="28">
        <v>19</v>
      </c>
      <c r="Q38" s="30">
        <f t="shared" si="44"/>
        <v>447756.92307692271</v>
      </c>
      <c r="R38" s="29">
        <f t="shared" si="45"/>
        <v>2804372.3076923052</v>
      </c>
      <c r="S38" s="31">
        <f t="shared" si="46"/>
        <v>2356615.3846153826</v>
      </c>
      <c r="T38" s="31">
        <f t="shared" si="47"/>
        <v>2804372.3076923052</v>
      </c>
      <c r="U38" s="6" t="s">
        <v>182</v>
      </c>
      <c r="V38" s="6" t="s">
        <v>186</v>
      </c>
      <c r="W38" s="7">
        <v>2182051.282051282</v>
      </c>
      <c r="X38" s="6">
        <v>19</v>
      </c>
      <c r="Y38" s="15">
        <f>W38*X38%</f>
        <v>414589.74358974356</v>
      </c>
      <c r="Z38" s="7">
        <f>(W38*X38%)+W38</f>
        <v>2596641.0256410255</v>
      </c>
      <c r="AA38" s="8">
        <f t="shared" si="50"/>
        <v>2182051.282051282</v>
      </c>
      <c r="AB38" s="8">
        <f>Z38*D38</f>
        <v>2596641.0256410255</v>
      </c>
      <c r="AC38" s="49">
        <f t="shared" si="52"/>
        <v>2596641.0256410255</v>
      </c>
      <c r="AD38" s="49">
        <f t="shared" si="53"/>
        <v>5534690</v>
      </c>
      <c r="AE38" s="49">
        <f t="shared" si="14"/>
        <v>2938048.9743589745</v>
      </c>
      <c r="AF38" s="49">
        <f t="shared" si="15"/>
        <v>3645234.4444444436</v>
      </c>
    </row>
    <row r="39" spans="1:32" x14ac:dyDescent="0.25">
      <c r="A39" s="11"/>
      <c r="B39" s="12"/>
      <c r="C39" s="11"/>
      <c r="D39" s="11"/>
      <c r="E39" s="62" t="s">
        <v>64</v>
      </c>
      <c r="F39" s="62"/>
      <c r="G39" s="14">
        <f>SUM(G33:G38)</f>
        <v>10357000</v>
      </c>
      <c r="H39" s="13"/>
      <c r="I39" s="14">
        <f t="shared" ref="I39:L39" si="54">SUM(I33:I38)</f>
        <v>1967830</v>
      </c>
      <c r="J39" s="14">
        <f t="shared" si="54"/>
        <v>12324830</v>
      </c>
      <c r="K39" s="14">
        <f t="shared" si="54"/>
        <v>19071000</v>
      </c>
      <c r="L39" s="14">
        <f t="shared" si="54"/>
        <v>22694490</v>
      </c>
      <c r="M39" s="60" t="s">
        <v>64</v>
      </c>
      <c r="N39" s="60"/>
      <c r="O39" s="32">
        <f>SUM(O33:O38)</f>
        <v>7120742.621538464</v>
      </c>
      <c r="P39" s="33"/>
      <c r="Q39" s="32">
        <f t="shared" ref="Q39:T39" si="55">SUM(Q33:Q38)</f>
        <v>1352941.0980923083</v>
      </c>
      <c r="R39" s="32">
        <f t="shared" si="55"/>
        <v>8473683.7196307722</v>
      </c>
      <c r="S39" s="32">
        <f t="shared" si="55"/>
        <v>14412491.224615395</v>
      </c>
      <c r="T39" s="32">
        <f t="shared" si="55"/>
        <v>17150864.55729232</v>
      </c>
      <c r="U39" s="62" t="s">
        <v>64</v>
      </c>
      <c r="V39" s="62"/>
      <c r="W39" s="14">
        <f>SUM(W33:W38)</f>
        <v>6593280.205128205</v>
      </c>
      <c r="X39" s="13"/>
      <c r="Y39" s="14">
        <f t="shared" ref="Y39:AB39" si="56">SUM(Y33:Y38)</f>
        <v>1252723.2389743589</v>
      </c>
      <c r="Z39" s="14">
        <f t="shared" si="56"/>
        <v>7846003.4441025648</v>
      </c>
      <c r="AA39" s="14">
        <f t="shared" si="56"/>
        <v>13344899.282051282</v>
      </c>
      <c r="AB39" s="14">
        <f t="shared" si="56"/>
        <v>15880430.145641027</v>
      </c>
      <c r="AC39" s="47"/>
      <c r="AD39" s="46"/>
      <c r="AE39" s="46"/>
      <c r="AF39" s="46"/>
    </row>
    <row r="40" spans="1:32" ht="21.75" customHeight="1" x14ac:dyDescent="0.25">
      <c r="A40" s="9" t="s">
        <v>38</v>
      </c>
      <c r="B40" s="10"/>
      <c r="C40" s="10"/>
      <c r="D40" s="10"/>
      <c r="E40" s="10"/>
      <c r="F40" s="10"/>
      <c r="G40" s="10"/>
      <c r="H40" s="10"/>
      <c r="I40" s="10"/>
      <c r="J40" s="10"/>
      <c r="K40" s="5"/>
      <c r="L40" s="5"/>
      <c r="M40" s="34"/>
      <c r="N40" s="34"/>
      <c r="O40" s="34"/>
      <c r="P40" s="34"/>
      <c r="Q40" s="34"/>
      <c r="R40" s="34"/>
      <c r="S40" s="35"/>
      <c r="T40" s="35"/>
      <c r="U40" s="10"/>
      <c r="V40" s="10"/>
      <c r="W40" s="10"/>
      <c r="X40" s="10"/>
      <c r="Y40" s="10"/>
      <c r="Z40" s="10"/>
      <c r="AA40" s="5"/>
      <c r="AB40" s="5"/>
      <c r="AC40" s="47"/>
      <c r="AD40" s="46"/>
      <c r="AE40" s="46"/>
      <c r="AF40" s="46"/>
    </row>
    <row r="41" spans="1:32" ht="76.5" x14ac:dyDescent="0.25">
      <c r="A41" s="3">
        <v>27</v>
      </c>
      <c r="B41" s="4" t="s">
        <v>39</v>
      </c>
      <c r="C41" s="3" t="s">
        <v>9</v>
      </c>
      <c r="D41" s="3">
        <v>1</v>
      </c>
      <c r="E41" s="6" t="s">
        <v>112</v>
      </c>
      <c r="F41" s="6" t="s">
        <v>113</v>
      </c>
      <c r="G41" s="7">
        <v>18610000</v>
      </c>
      <c r="H41" s="6">
        <v>19</v>
      </c>
      <c r="I41" s="15">
        <f t="shared" ref="I41:I45" si="57">G41*H41%</f>
        <v>3535900</v>
      </c>
      <c r="J41" s="7">
        <f t="shared" ref="J41:J45" si="58">(G41*H41%)+G41</f>
        <v>22145900</v>
      </c>
      <c r="K41" s="8">
        <f t="shared" ref="K41:K44" si="59">G41*D41</f>
        <v>18610000</v>
      </c>
      <c r="L41" s="8">
        <f t="shared" ref="L41:L44" si="60">J41*D41</f>
        <v>22145900</v>
      </c>
      <c r="M41" s="28" t="s">
        <v>161</v>
      </c>
      <c r="N41" s="28" t="s">
        <v>162</v>
      </c>
      <c r="O41" s="29">
        <v>483000000</v>
      </c>
      <c r="P41" s="28">
        <v>19</v>
      </c>
      <c r="Q41" s="30">
        <f t="shared" ref="Q41:Q47" si="61">O41*P41%</f>
        <v>91770000</v>
      </c>
      <c r="R41" s="29">
        <f t="shared" ref="R41:R47" si="62">(O41*P41%)+O41</f>
        <v>574770000</v>
      </c>
      <c r="S41" s="31">
        <f t="shared" ref="S41:S47" si="63">O41*D41</f>
        <v>483000000</v>
      </c>
      <c r="T41" s="31">
        <f t="shared" ref="T41:T47" si="64">R41*D41</f>
        <v>574770000</v>
      </c>
      <c r="U41" s="6" t="s">
        <v>161</v>
      </c>
      <c r="V41" s="6" t="s">
        <v>191</v>
      </c>
      <c r="W41" s="7">
        <v>4200000</v>
      </c>
      <c r="X41" s="6">
        <v>19</v>
      </c>
      <c r="Y41" s="15">
        <f t="shared" ref="Y41:Y47" si="65">W41*X41%</f>
        <v>798000</v>
      </c>
      <c r="Z41" s="7">
        <f t="shared" ref="Z41:Z47" si="66">(W41*X41%)+W41</f>
        <v>4998000</v>
      </c>
      <c r="AA41" s="8">
        <f t="shared" ref="AA41:AA47" si="67">W41*D41</f>
        <v>4200000</v>
      </c>
      <c r="AB41" s="8">
        <f t="shared" ref="AB41:AB47" si="68">Z41*D41</f>
        <v>4998000</v>
      </c>
      <c r="AC41" s="49">
        <f t="shared" ref="AC41:AC47" si="69">MIN(J41,R41,Z41)</f>
        <v>4998000</v>
      </c>
      <c r="AD41" s="49">
        <f t="shared" ref="AD41:AD47" si="70">MAX(J41,R41,Z41)</f>
        <v>574770000</v>
      </c>
      <c r="AE41" s="49">
        <f t="shared" si="14"/>
        <v>569772000</v>
      </c>
      <c r="AF41" s="49">
        <f>(L41+AB41)/2</f>
        <v>13571950</v>
      </c>
    </row>
    <row r="42" spans="1:32" ht="63.75" x14ac:dyDescent="0.25">
      <c r="A42" s="3">
        <v>28</v>
      </c>
      <c r="B42" s="4" t="s">
        <v>40</v>
      </c>
      <c r="C42" s="3" t="s">
        <v>9</v>
      </c>
      <c r="D42" s="3">
        <v>1</v>
      </c>
      <c r="E42" s="6" t="s">
        <v>114</v>
      </c>
      <c r="F42" s="6" t="s">
        <v>115</v>
      </c>
      <c r="G42" s="7">
        <v>7743000</v>
      </c>
      <c r="H42" s="6">
        <v>19</v>
      </c>
      <c r="I42" s="15">
        <f t="shared" si="57"/>
        <v>1471170</v>
      </c>
      <c r="J42" s="7">
        <f t="shared" si="58"/>
        <v>9214170</v>
      </c>
      <c r="K42" s="8">
        <f t="shared" si="59"/>
        <v>7743000</v>
      </c>
      <c r="L42" s="8">
        <f t="shared" si="60"/>
        <v>9214170</v>
      </c>
      <c r="M42" s="28" t="s">
        <v>114</v>
      </c>
      <c r="N42" s="28" t="s">
        <v>163</v>
      </c>
      <c r="O42" s="29">
        <v>13876961.538461581</v>
      </c>
      <c r="P42" s="28">
        <v>19</v>
      </c>
      <c r="Q42" s="30">
        <f t="shared" si="61"/>
        <v>2636622.6923077004</v>
      </c>
      <c r="R42" s="29">
        <f t="shared" si="62"/>
        <v>16513584.23076928</v>
      </c>
      <c r="S42" s="31">
        <f t="shared" si="63"/>
        <v>13876961.538461581</v>
      </c>
      <c r="T42" s="31">
        <f t="shared" si="64"/>
        <v>16513584.23076928</v>
      </c>
      <c r="U42" s="6" t="s">
        <v>114</v>
      </c>
      <c r="V42" s="6" t="s">
        <v>192</v>
      </c>
      <c r="W42" s="7">
        <v>12849038.46153846</v>
      </c>
      <c r="X42" s="6">
        <v>19</v>
      </c>
      <c r="Y42" s="15">
        <f t="shared" si="65"/>
        <v>2441317.3076923075</v>
      </c>
      <c r="Z42" s="7">
        <f t="shared" si="66"/>
        <v>15290355.769230768</v>
      </c>
      <c r="AA42" s="8">
        <f t="shared" si="67"/>
        <v>12849038.46153846</v>
      </c>
      <c r="AB42" s="8">
        <f t="shared" si="68"/>
        <v>15290355.769230768</v>
      </c>
      <c r="AC42" s="49">
        <f t="shared" si="69"/>
        <v>9214170</v>
      </c>
      <c r="AD42" s="49">
        <f t="shared" si="70"/>
        <v>16513584.23076928</v>
      </c>
      <c r="AE42" s="49">
        <f t="shared" si="14"/>
        <v>7299414.2307692803</v>
      </c>
      <c r="AF42" s="49">
        <f t="shared" si="15"/>
        <v>13672703.333333349</v>
      </c>
    </row>
    <row r="43" spans="1:32" ht="25.5" x14ac:dyDescent="0.25">
      <c r="A43" s="3">
        <v>29</v>
      </c>
      <c r="B43" s="4" t="s">
        <v>41</v>
      </c>
      <c r="C43" s="3" t="s">
        <v>9</v>
      </c>
      <c r="D43" s="3">
        <v>1</v>
      </c>
      <c r="E43" s="6" t="s">
        <v>116</v>
      </c>
      <c r="F43" s="6" t="s">
        <v>117</v>
      </c>
      <c r="G43" s="7">
        <v>255000</v>
      </c>
      <c r="H43" s="6">
        <v>19</v>
      </c>
      <c r="I43" s="15">
        <f t="shared" si="57"/>
        <v>48450</v>
      </c>
      <c r="J43" s="7">
        <f t="shared" si="58"/>
        <v>303450</v>
      </c>
      <c r="K43" s="8">
        <f t="shared" si="59"/>
        <v>255000</v>
      </c>
      <c r="L43" s="8">
        <f t="shared" si="60"/>
        <v>303450</v>
      </c>
      <c r="M43" s="28" t="s">
        <v>164</v>
      </c>
      <c r="N43" s="28" t="s">
        <v>165</v>
      </c>
      <c r="O43" s="29">
        <v>951563.07692307688</v>
      </c>
      <c r="P43" s="28">
        <v>19</v>
      </c>
      <c r="Q43" s="30">
        <f t="shared" si="61"/>
        <v>180796.9846153846</v>
      </c>
      <c r="R43" s="29">
        <f t="shared" si="62"/>
        <v>1132360.0615384616</v>
      </c>
      <c r="S43" s="31">
        <f t="shared" si="63"/>
        <v>951563.07692307688</v>
      </c>
      <c r="T43" s="31">
        <f t="shared" si="64"/>
        <v>1132360.0615384616</v>
      </c>
      <c r="U43" s="6" t="s">
        <v>193</v>
      </c>
      <c r="V43" s="6" t="s">
        <v>194</v>
      </c>
      <c r="W43" s="7">
        <v>881076.92307692301</v>
      </c>
      <c r="X43" s="6">
        <v>19</v>
      </c>
      <c r="Y43" s="15">
        <f t="shared" si="65"/>
        <v>167404.61538461538</v>
      </c>
      <c r="Z43" s="7">
        <f t="shared" si="66"/>
        <v>1048481.5384615384</v>
      </c>
      <c r="AA43" s="8">
        <f t="shared" si="67"/>
        <v>881076.92307692301</v>
      </c>
      <c r="AB43" s="8">
        <f t="shared" si="68"/>
        <v>1048481.5384615384</v>
      </c>
      <c r="AC43" s="49">
        <f t="shared" si="69"/>
        <v>303450</v>
      </c>
      <c r="AD43" s="49">
        <f t="shared" si="70"/>
        <v>1132360.0615384616</v>
      </c>
      <c r="AE43" s="49">
        <f t="shared" si="14"/>
        <v>828910.0615384616</v>
      </c>
      <c r="AF43" s="49">
        <f t="shared" si="15"/>
        <v>828097.20000000007</v>
      </c>
    </row>
    <row r="44" spans="1:32" ht="63.75" x14ac:dyDescent="0.25">
      <c r="A44" s="3">
        <v>30</v>
      </c>
      <c r="B44" s="4" t="s">
        <v>42</v>
      </c>
      <c r="C44" s="3" t="s">
        <v>9</v>
      </c>
      <c r="D44" s="3">
        <v>1</v>
      </c>
      <c r="E44" s="6" t="s">
        <v>118</v>
      </c>
      <c r="F44" s="6" t="s">
        <v>119</v>
      </c>
      <c r="G44" s="7">
        <v>9184000</v>
      </c>
      <c r="H44" s="6">
        <v>19</v>
      </c>
      <c r="I44" s="15">
        <f t="shared" si="57"/>
        <v>1744960</v>
      </c>
      <c r="J44" s="7">
        <f t="shared" si="58"/>
        <v>10928960</v>
      </c>
      <c r="K44" s="8">
        <f t="shared" si="59"/>
        <v>9184000</v>
      </c>
      <c r="L44" s="8">
        <f t="shared" si="60"/>
        <v>10928960</v>
      </c>
      <c r="M44" s="28" t="s">
        <v>166</v>
      </c>
      <c r="N44" s="28" t="s">
        <v>167</v>
      </c>
      <c r="O44" s="29">
        <v>478755173.07692337</v>
      </c>
      <c r="P44" s="28">
        <v>19</v>
      </c>
      <c r="Q44" s="30">
        <f t="shared" si="61"/>
        <v>90963482.884615436</v>
      </c>
      <c r="R44" s="29">
        <f t="shared" si="62"/>
        <v>569718655.96153879</v>
      </c>
      <c r="S44" s="31">
        <f t="shared" si="63"/>
        <v>478755173.07692337</v>
      </c>
      <c r="T44" s="31">
        <f t="shared" si="64"/>
        <v>569718655.96153879</v>
      </c>
      <c r="U44" s="6" t="s">
        <v>166</v>
      </c>
      <c r="V44" s="6" t="s">
        <v>195</v>
      </c>
      <c r="W44" s="7">
        <v>4559573.076923077</v>
      </c>
      <c r="X44" s="6">
        <v>19</v>
      </c>
      <c r="Y44" s="15">
        <f t="shared" si="65"/>
        <v>866318.88461538462</v>
      </c>
      <c r="Z44" s="7">
        <f t="shared" si="66"/>
        <v>5425891.961538462</v>
      </c>
      <c r="AA44" s="8">
        <f t="shared" si="67"/>
        <v>4559573.076923077</v>
      </c>
      <c r="AB44" s="8">
        <f t="shared" si="68"/>
        <v>5425891.961538462</v>
      </c>
      <c r="AC44" s="49">
        <f t="shared" si="69"/>
        <v>5425891.961538462</v>
      </c>
      <c r="AD44" s="49">
        <f t="shared" si="70"/>
        <v>569718655.96153879</v>
      </c>
      <c r="AE44" s="49">
        <f t="shared" si="14"/>
        <v>564292764.00000036</v>
      </c>
      <c r="AF44" s="49">
        <f>(L44+AB44)/2</f>
        <v>8177425.980769231</v>
      </c>
    </row>
    <row r="45" spans="1:32" ht="63.75" x14ac:dyDescent="0.25">
      <c r="A45" s="3">
        <v>31</v>
      </c>
      <c r="B45" s="4" t="s">
        <v>43</v>
      </c>
      <c r="C45" s="3" t="s">
        <v>25</v>
      </c>
      <c r="D45" s="3">
        <v>40</v>
      </c>
      <c r="E45" s="6" t="s">
        <v>122</v>
      </c>
      <c r="F45" s="6"/>
      <c r="G45" s="7">
        <f>4000+57000</f>
        <v>61000</v>
      </c>
      <c r="H45" s="6">
        <v>19</v>
      </c>
      <c r="I45" s="15">
        <f t="shared" si="57"/>
        <v>11590</v>
      </c>
      <c r="J45" s="7">
        <f t="shared" si="58"/>
        <v>72590</v>
      </c>
      <c r="K45" s="8">
        <f>(4000*40)+57000</f>
        <v>217000</v>
      </c>
      <c r="L45" s="8">
        <f>(((4000*19%)+(4000))*40)+((57000*19%)+57000)</f>
        <v>258230</v>
      </c>
      <c r="M45" s="28" t="s">
        <v>147</v>
      </c>
      <c r="N45" s="28" t="s">
        <v>168</v>
      </c>
      <c r="O45" s="29">
        <v>603076.92307692254</v>
      </c>
      <c r="P45" s="28">
        <v>19</v>
      </c>
      <c r="Q45" s="30">
        <f t="shared" si="61"/>
        <v>114584.61538461529</v>
      </c>
      <c r="R45" s="29">
        <f t="shared" si="62"/>
        <v>717661.5384615378</v>
      </c>
      <c r="S45" s="31">
        <f t="shared" si="63"/>
        <v>24123076.923076902</v>
      </c>
      <c r="T45" s="31">
        <f t="shared" si="64"/>
        <v>28706461.538461514</v>
      </c>
      <c r="U45" s="6" t="s">
        <v>182</v>
      </c>
      <c r="V45" s="6" t="s">
        <v>196</v>
      </c>
      <c r="W45" s="7">
        <v>5384.6153846153848</v>
      </c>
      <c r="X45" s="6">
        <v>19</v>
      </c>
      <c r="Y45" s="15">
        <f t="shared" si="65"/>
        <v>1023.0769230769231</v>
      </c>
      <c r="Z45" s="7">
        <f t="shared" si="66"/>
        <v>6407.6923076923076</v>
      </c>
      <c r="AA45" s="8">
        <f t="shared" si="67"/>
        <v>215384.61538461538</v>
      </c>
      <c r="AB45" s="8">
        <f t="shared" si="68"/>
        <v>256307.69230769231</v>
      </c>
      <c r="AC45" s="49">
        <f t="shared" si="69"/>
        <v>6407.6923076923076</v>
      </c>
      <c r="AD45" s="49">
        <f t="shared" si="70"/>
        <v>717661.5384615378</v>
      </c>
      <c r="AE45" s="49">
        <f t="shared" si="14"/>
        <v>711253.84615384554</v>
      </c>
      <c r="AF45" s="49">
        <f t="shared" si="15"/>
        <v>9740333.0769230686</v>
      </c>
    </row>
    <row r="46" spans="1:32" ht="51" x14ac:dyDescent="0.25">
      <c r="A46" s="3">
        <v>32</v>
      </c>
      <c r="B46" s="4" t="s">
        <v>44</v>
      </c>
      <c r="C46" s="3" t="s">
        <v>9</v>
      </c>
      <c r="D46" s="3">
        <v>2</v>
      </c>
      <c r="E46" s="6" t="s">
        <v>120</v>
      </c>
      <c r="F46" s="6" t="s">
        <v>121</v>
      </c>
      <c r="G46" s="7">
        <v>123351</v>
      </c>
      <c r="H46" s="6">
        <v>19</v>
      </c>
      <c r="I46" s="15">
        <f t="shared" ref="I46:I47" si="71">G46*H46%</f>
        <v>23436.69</v>
      </c>
      <c r="J46" s="7">
        <f t="shared" ref="J46:J47" si="72">(G46*H46%)+G46</f>
        <v>146787.69</v>
      </c>
      <c r="K46" s="8">
        <f t="shared" ref="K46:K47" si="73">G46*D46</f>
        <v>246702</v>
      </c>
      <c r="L46" s="8">
        <f t="shared" ref="L46:L47" si="74">J46*D46</f>
        <v>293575.38</v>
      </c>
      <c r="M46" s="28" t="s">
        <v>166</v>
      </c>
      <c r="N46" s="28" t="s">
        <v>169</v>
      </c>
      <c r="O46" s="29">
        <v>11894538.461538419</v>
      </c>
      <c r="P46" s="28">
        <v>19</v>
      </c>
      <c r="Q46" s="30">
        <f t="shared" si="61"/>
        <v>2259962.3076922996</v>
      </c>
      <c r="R46" s="29">
        <f t="shared" si="62"/>
        <v>14154500.76923072</v>
      </c>
      <c r="S46" s="31">
        <f t="shared" si="63"/>
        <v>23789076.923076838</v>
      </c>
      <c r="T46" s="31">
        <f t="shared" si="64"/>
        <v>28309001.538461439</v>
      </c>
      <c r="U46" s="6" t="s">
        <v>166</v>
      </c>
      <c r="V46" s="6" t="s">
        <v>197</v>
      </c>
      <c r="W46" s="7">
        <v>110134.61538461538</v>
      </c>
      <c r="X46" s="6">
        <v>19</v>
      </c>
      <c r="Y46" s="15">
        <f t="shared" si="65"/>
        <v>20925.576923076922</v>
      </c>
      <c r="Z46" s="7">
        <f t="shared" si="66"/>
        <v>131060.1923076923</v>
      </c>
      <c r="AA46" s="8">
        <f t="shared" si="67"/>
        <v>220269.23076923075</v>
      </c>
      <c r="AB46" s="8">
        <f t="shared" si="68"/>
        <v>262120.3846153846</v>
      </c>
      <c r="AC46" s="49">
        <f t="shared" si="69"/>
        <v>131060.1923076923</v>
      </c>
      <c r="AD46" s="49">
        <f t="shared" si="70"/>
        <v>14154500.76923072</v>
      </c>
      <c r="AE46" s="49">
        <f t="shared" si="14"/>
        <v>14023440.576923028</v>
      </c>
      <c r="AF46" s="49">
        <f t="shared" si="15"/>
        <v>9621565.7676922735</v>
      </c>
    </row>
    <row r="47" spans="1:32" ht="38.25" x14ac:dyDescent="0.25">
      <c r="A47" s="3">
        <v>33</v>
      </c>
      <c r="B47" s="4" t="s">
        <v>45</v>
      </c>
      <c r="C47" s="3" t="s">
        <v>27</v>
      </c>
      <c r="D47" s="3">
        <v>1</v>
      </c>
      <c r="E47" s="6" t="s">
        <v>97</v>
      </c>
      <c r="F47" s="6"/>
      <c r="G47" s="7">
        <v>9094000</v>
      </c>
      <c r="H47" s="6">
        <v>19</v>
      </c>
      <c r="I47" s="15">
        <f t="shared" si="71"/>
        <v>1727860</v>
      </c>
      <c r="J47" s="7">
        <f t="shared" si="72"/>
        <v>10821860</v>
      </c>
      <c r="K47" s="8">
        <f t="shared" si="73"/>
        <v>9094000</v>
      </c>
      <c r="L47" s="8">
        <f t="shared" si="74"/>
        <v>10821860</v>
      </c>
      <c r="M47" s="28" t="s">
        <v>131</v>
      </c>
      <c r="N47" s="28" t="s">
        <v>151</v>
      </c>
      <c r="O47" s="29">
        <v>1816410.2564102553</v>
      </c>
      <c r="P47" s="28">
        <v>19</v>
      </c>
      <c r="Q47" s="30">
        <f t="shared" si="61"/>
        <v>345117.94871794851</v>
      </c>
      <c r="R47" s="29">
        <f t="shared" si="62"/>
        <v>2161528.2051282041</v>
      </c>
      <c r="S47" s="31">
        <f t="shared" si="63"/>
        <v>1816410.2564102553</v>
      </c>
      <c r="T47" s="31">
        <f t="shared" si="64"/>
        <v>2161528.2051282041</v>
      </c>
      <c r="U47" s="6" t="s">
        <v>182</v>
      </c>
      <c r="V47" s="6" t="s">
        <v>186</v>
      </c>
      <c r="W47" s="7">
        <v>1651282.0512820513</v>
      </c>
      <c r="X47" s="6">
        <v>19</v>
      </c>
      <c r="Y47" s="15">
        <f t="shared" si="65"/>
        <v>313743.58974358975</v>
      </c>
      <c r="Z47" s="7">
        <f t="shared" si="66"/>
        <v>1965025.641025641</v>
      </c>
      <c r="AA47" s="8">
        <f t="shared" si="67"/>
        <v>1651282.0512820513</v>
      </c>
      <c r="AB47" s="8">
        <f t="shared" si="68"/>
        <v>1965025.641025641</v>
      </c>
      <c r="AC47" s="49">
        <f t="shared" si="69"/>
        <v>1965025.641025641</v>
      </c>
      <c r="AD47" s="49">
        <f t="shared" si="70"/>
        <v>10821860</v>
      </c>
      <c r="AE47" s="49">
        <f t="shared" si="14"/>
        <v>8856834.3589743599</v>
      </c>
      <c r="AF47" s="49">
        <f t="shared" si="15"/>
        <v>4982804.615384615</v>
      </c>
    </row>
    <row r="48" spans="1:32" x14ac:dyDescent="0.25">
      <c r="A48" s="11"/>
      <c r="B48" s="12"/>
      <c r="C48" s="11"/>
      <c r="D48" s="11"/>
      <c r="E48" s="62" t="s">
        <v>64</v>
      </c>
      <c r="F48" s="62"/>
      <c r="G48" s="14">
        <f>SUM(G41:G47)</f>
        <v>45070351</v>
      </c>
      <c r="H48" s="13"/>
      <c r="I48" s="14">
        <f t="shared" ref="I48:L48" si="75">SUM(I41:I47)</f>
        <v>8563366.6900000013</v>
      </c>
      <c r="J48" s="14">
        <f t="shared" si="75"/>
        <v>53633717.689999998</v>
      </c>
      <c r="K48" s="14">
        <f t="shared" si="75"/>
        <v>45349702</v>
      </c>
      <c r="L48" s="14">
        <f t="shared" si="75"/>
        <v>53966145.380000003</v>
      </c>
      <c r="M48" s="60" t="s">
        <v>64</v>
      </c>
      <c r="N48" s="60"/>
      <c r="O48" s="32">
        <f>SUM(O41:O47)</f>
        <v>990897723.33333349</v>
      </c>
      <c r="P48" s="33"/>
      <c r="Q48" s="32">
        <f t="shared" ref="Q48:T48" si="76">SUM(Q41:Q47)</f>
        <v>188270567.43333337</v>
      </c>
      <c r="R48" s="32">
        <f t="shared" si="76"/>
        <v>1179168290.7666669</v>
      </c>
      <c r="S48" s="32">
        <f t="shared" si="76"/>
        <v>1026312261.7948719</v>
      </c>
      <c r="T48" s="32">
        <f t="shared" si="76"/>
        <v>1221311591.5358977</v>
      </c>
      <c r="U48" s="62" t="s">
        <v>64</v>
      </c>
      <c r="V48" s="62"/>
      <c r="W48" s="14">
        <f>SUM(W41:W47)</f>
        <v>24256489.743589744</v>
      </c>
      <c r="X48" s="13"/>
      <c r="Y48" s="14">
        <f t="shared" ref="Y48:AB48" si="77">SUM(Y41:Y47)</f>
        <v>4608733.051282052</v>
      </c>
      <c r="Z48" s="14">
        <f t="shared" si="77"/>
        <v>28865222.794871792</v>
      </c>
      <c r="AA48" s="14">
        <f t="shared" si="77"/>
        <v>24576624.35897436</v>
      </c>
      <c r="AB48" s="14">
        <f t="shared" si="77"/>
        <v>29246182.987179484</v>
      </c>
      <c r="AC48" s="47"/>
      <c r="AD48" s="46"/>
      <c r="AE48" s="46"/>
      <c r="AF48" s="46"/>
    </row>
    <row r="49" spans="1:32" ht="21.75" customHeight="1" x14ac:dyDescent="0.25">
      <c r="A49" s="9" t="s">
        <v>46</v>
      </c>
      <c r="B49" s="10"/>
      <c r="C49" s="10"/>
      <c r="D49" s="10"/>
      <c r="E49" s="10"/>
      <c r="F49" s="10"/>
      <c r="G49" s="10"/>
      <c r="H49" s="10"/>
      <c r="I49" s="10"/>
      <c r="J49" s="10"/>
      <c r="K49" s="5"/>
      <c r="L49" s="5"/>
      <c r="M49" s="34"/>
      <c r="N49" s="34"/>
      <c r="O49" s="34"/>
      <c r="P49" s="34"/>
      <c r="Q49" s="34"/>
      <c r="R49" s="34"/>
      <c r="S49" s="35"/>
      <c r="T49" s="35"/>
      <c r="U49" s="10"/>
      <c r="V49" s="10"/>
      <c r="W49" s="10"/>
      <c r="X49" s="10"/>
      <c r="Y49" s="10"/>
      <c r="Z49" s="10"/>
      <c r="AA49" s="5"/>
      <c r="AB49" s="5"/>
      <c r="AC49" s="47"/>
      <c r="AD49" s="46"/>
      <c r="AE49" s="46"/>
      <c r="AF49" s="46"/>
    </row>
    <row r="50" spans="1:32" ht="63.75" x14ac:dyDescent="0.25">
      <c r="A50" s="3">
        <v>34</v>
      </c>
      <c r="B50" s="4" t="s">
        <v>47</v>
      </c>
      <c r="C50" s="3" t="s">
        <v>9</v>
      </c>
      <c r="D50" s="3">
        <v>6</v>
      </c>
      <c r="E50" s="6" t="s">
        <v>91</v>
      </c>
      <c r="F50" s="6" t="s">
        <v>123</v>
      </c>
      <c r="G50" s="7">
        <v>3358052</v>
      </c>
      <c r="H50" s="6">
        <v>19</v>
      </c>
      <c r="I50" s="15">
        <f t="shared" ref="I50:I54" si="78">G50*H50%</f>
        <v>638029.88</v>
      </c>
      <c r="J50" s="7">
        <f t="shared" ref="J50:J54" si="79">(G50*H50%)+G50</f>
        <v>3996081.88</v>
      </c>
      <c r="K50" s="8">
        <f t="shared" ref="K50:K54" si="80">G50*D50</f>
        <v>20148312</v>
      </c>
      <c r="L50" s="8">
        <f t="shared" ref="L50:L54" si="81">J50*D50</f>
        <v>23976491.280000001</v>
      </c>
      <c r="M50" s="28" t="s">
        <v>91</v>
      </c>
      <c r="N50" s="28" t="s">
        <v>170</v>
      </c>
      <c r="O50" s="29">
        <v>3109307.692307692</v>
      </c>
      <c r="P50" s="28">
        <v>19</v>
      </c>
      <c r="Q50" s="30">
        <f t="shared" ref="Q50:Q54" si="82">O50*P50%</f>
        <v>590768.4615384615</v>
      </c>
      <c r="R50" s="29">
        <f t="shared" ref="R50:R54" si="83">(O50*P50%)+O50</f>
        <v>3700076.1538461535</v>
      </c>
      <c r="S50" s="31">
        <f t="shared" ref="S50:S54" si="84">O50*D50</f>
        <v>18655846.153846152</v>
      </c>
      <c r="T50" s="31">
        <f t="shared" ref="T50:T54" si="85">R50*D50</f>
        <v>22200456.92307692</v>
      </c>
      <c r="U50" s="6" t="s">
        <v>91</v>
      </c>
      <c r="V50" s="6" t="s">
        <v>170</v>
      </c>
      <c r="W50" s="7">
        <v>3109307.692307692</v>
      </c>
      <c r="X50" s="6">
        <v>19</v>
      </c>
      <c r="Y50" s="15">
        <f t="shared" ref="Y50:Y54" si="86">W50*X50%</f>
        <v>590768.4615384615</v>
      </c>
      <c r="Z50" s="7">
        <f t="shared" ref="Z50:Z54" si="87">(W50*X50%)+W50</f>
        <v>3700076.1538461535</v>
      </c>
      <c r="AA50" s="8">
        <f t="shared" ref="AA50:AA54" si="88">W50*D50</f>
        <v>18655846.153846152</v>
      </c>
      <c r="AB50" s="8">
        <f t="shared" ref="AB50:AB54" si="89">Z50*D50</f>
        <v>22200456.92307692</v>
      </c>
      <c r="AC50" s="49">
        <f t="shared" ref="AC50:AC54" si="90">MIN(J50,R50,Z50)</f>
        <v>3700076.1538461535</v>
      </c>
      <c r="AD50" s="49">
        <f t="shared" ref="AD50:AD54" si="91">MAX(J50,R50,Z50)</f>
        <v>3996081.88</v>
      </c>
      <c r="AE50" s="49">
        <f t="shared" si="14"/>
        <v>296005.72615384636</v>
      </c>
      <c r="AF50" s="49">
        <f t="shared" si="15"/>
        <v>22792468.375384614</v>
      </c>
    </row>
    <row r="51" spans="1:32" ht="51" x14ac:dyDescent="0.25">
      <c r="A51" s="3">
        <v>35</v>
      </c>
      <c r="B51" s="4" t="s">
        <v>48</v>
      </c>
      <c r="C51" s="3" t="s">
        <v>9</v>
      </c>
      <c r="D51" s="3">
        <v>10</v>
      </c>
      <c r="E51" s="6" t="s">
        <v>124</v>
      </c>
      <c r="F51" s="6" t="s">
        <v>125</v>
      </c>
      <c r="G51" s="7">
        <v>361525</v>
      </c>
      <c r="H51" s="6">
        <v>19</v>
      </c>
      <c r="I51" s="15">
        <f t="shared" si="78"/>
        <v>68689.75</v>
      </c>
      <c r="J51" s="7">
        <f t="shared" si="79"/>
        <v>430214.75</v>
      </c>
      <c r="K51" s="8">
        <f t="shared" si="80"/>
        <v>3615250</v>
      </c>
      <c r="L51" s="8">
        <f t="shared" si="81"/>
        <v>4302147.5</v>
      </c>
      <c r="M51" s="28" t="s">
        <v>171</v>
      </c>
      <c r="N51" s="28" t="s">
        <v>125</v>
      </c>
      <c r="O51" s="29">
        <v>334745.38461538457</v>
      </c>
      <c r="P51" s="28">
        <v>19</v>
      </c>
      <c r="Q51" s="30">
        <f t="shared" si="82"/>
        <v>63601.623076923068</v>
      </c>
      <c r="R51" s="29">
        <f t="shared" si="83"/>
        <v>398347.00769230764</v>
      </c>
      <c r="S51" s="31">
        <f t="shared" si="84"/>
        <v>3347453.8461538455</v>
      </c>
      <c r="T51" s="31">
        <f t="shared" si="85"/>
        <v>3983470.0769230765</v>
      </c>
      <c r="U51" s="6" t="s">
        <v>171</v>
      </c>
      <c r="V51" s="6" t="s">
        <v>125</v>
      </c>
      <c r="W51" s="7">
        <v>334745.38461538457</v>
      </c>
      <c r="X51" s="6">
        <v>19</v>
      </c>
      <c r="Y51" s="15">
        <f t="shared" si="86"/>
        <v>63601.623076923068</v>
      </c>
      <c r="Z51" s="7">
        <f t="shared" si="87"/>
        <v>398347.00769230764</v>
      </c>
      <c r="AA51" s="8">
        <f t="shared" si="88"/>
        <v>3347453.8461538455</v>
      </c>
      <c r="AB51" s="8">
        <f t="shared" si="89"/>
        <v>3983470.0769230765</v>
      </c>
      <c r="AC51" s="49">
        <f t="shared" si="90"/>
        <v>398347.00769230764</v>
      </c>
      <c r="AD51" s="49">
        <f t="shared" si="91"/>
        <v>430214.75</v>
      </c>
      <c r="AE51" s="49">
        <f t="shared" si="14"/>
        <v>31867.742307692359</v>
      </c>
      <c r="AF51" s="49">
        <f t="shared" si="15"/>
        <v>4089695.884615384</v>
      </c>
    </row>
    <row r="52" spans="1:32" ht="63.75" x14ac:dyDescent="0.25">
      <c r="A52" s="3">
        <v>36</v>
      </c>
      <c r="B52" s="4" t="s">
        <v>49</v>
      </c>
      <c r="C52" s="3" t="s">
        <v>9</v>
      </c>
      <c r="D52" s="3">
        <v>3</v>
      </c>
      <c r="E52" s="6" t="s">
        <v>78</v>
      </c>
      <c r="F52" s="6" t="s">
        <v>126</v>
      </c>
      <c r="G52" s="7">
        <v>4123440</v>
      </c>
      <c r="H52" s="6">
        <v>19</v>
      </c>
      <c r="I52" s="15">
        <f t="shared" si="78"/>
        <v>783453.6</v>
      </c>
      <c r="J52" s="7">
        <f t="shared" si="79"/>
        <v>4906893.5999999996</v>
      </c>
      <c r="K52" s="8">
        <f t="shared" si="80"/>
        <v>12370320</v>
      </c>
      <c r="L52" s="8">
        <f t="shared" si="81"/>
        <v>14720680.799999999</v>
      </c>
      <c r="M52" s="28" t="s">
        <v>133</v>
      </c>
      <c r="N52" s="28" t="s">
        <v>172</v>
      </c>
      <c r="O52" s="29">
        <v>3818000</v>
      </c>
      <c r="P52" s="28">
        <v>19</v>
      </c>
      <c r="Q52" s="30">
        <f t="shared" si="82"/>
        <v>725420</v>
      </c>
      <c r="R52" s="29">
        <f t="shared" si="83"/>
        <v>4543420</v>
      </c>
      <c r="S52" s="31">
        <f t="shared" si="84"/>
        <v>11454000</v>
      </c>
      <c r="T52" s="31">
        <f t="shared" si="85"/>
        <v>13630260</v>
      </c>
      <c r="U52" s="6" t="s">
        <v>133</v>
      </c>
      <c r="V52" s="6" t="s">
        <v>172</v>
      </c>
      <c r="W52" s="7">
        <v>3818000</v>
      </c>
      <c r="X52" s="6">
        <v>19</v>
      </c>
      <c r="Y52" s="15">
        <f t="shared" si="86"/>
        <v>725420</v>
      </c>
      <c r="Z52" s="7">
        <f t="shared" si="87"/>
        <v>4543420</v>
      </c>
      <c r="AA52" s="8">
        <f t="shared" si="88"/>
        <v>11454000</v>
      </c>
      <c r="AB52" s="8">
        <f t="shared" si="89"/>
        <v>13630260</v>
      </c>
      <c r="AC52" s="49">
        <f t="shared" si="90"/>
        <v>4543420</v>
      </c>
      <c r="AD52" s="49">
        <f t="shared" si="91"/>
        <v>4906893.5999999996</v>
      </c>
      <c r="AE52" s="49">
        <f t="shared" si="14"/>
        <v>363473.59999999963</v>
      </c>
      <c r="AF52" s="49">
        <f t="shared" si="15"/>
        <v>13993733.6</v>
      </c>
    </row>
    <row r="53" spans="1:32" ht="25.5" x14ac:dyDescent="0.25">
      <c r="A53" s="3">
        <v>37</v>
      </c>
      <c r="B53" s="4" t="s">
        <v>50</v>
      </c>
      <c r="C53" s="3" t="s">
        <v>9</v>
      </c>
      <c r="D53" s="3">
        <v>3</v>
      </c>
      <c r="E53" s="6" t="s">
        <v>96</v>
      </c>
      <c r="F53" s="6"/>
      <c r="G53" s="7">
        <v>149000</v>
      </c>
      <c r="H53" s="6">
        <v>19</v>
      </c>
      <c r="I53" s="15">
        <f t="shared" si="78"/>
        <v>28310</v>
      </c>
      <c r="J53" s="7">
        <f t="shared" si="79"/>
        <v>177310</v>
      </c>
      <c r="K53" s="8">
        <f t="shared" si="80"/>
        <v>447000</v>
      </c>
      <c r="L53" s="8">
        <f t="shared" si="81"/>
        <v>531930</v>
      </c>
      <c r="M53" s="28" t="s">
        <v>150</v>
      </c>
      <c r="N53" s="28" t="s">
        <v>173</v>
      </c>
      <c r="O53" s="29">
        <v>48094.030769230711</v>
      </c>
      <c r="P53" s="28">
        <v>19</v>
      </c>
      <c r="Q53" s="30">
        <f t="shared" si="82"/>
        <v>9137.8658461538344</v>
      </c>
      <c r="R53" s="29">
        <f t="shared" si="83"/>
        <v>57231.896615384547</v>
      </c>
      <c r="S53" s="31">
        <f t="shared" si="84"/>
        <v>144282.09230769213</v>
      </c>
      <c r="T53" s="31">
        <f t="shared" si="85"/>
        <v>171695.68984615363</v>
      </c>
      <c r="U53" s="6" t="s">
        <v>182</v>
      </c>
      <c r="V53" s="6" t="s">
        <v>173</v>
      </c>
      <c r="W53" s="7">
        <v>43721.846153846149</v>
      </c>
      <c r="X53" s="6">
        <v>19</v>
      </c>
      <c r="Y53" s="15">
        <f t="shared" si="86"/>
        <v>8307.1507692307678</v>
      </c>
      <c r="Z53" s="7">
        <f t="shared" si="87"/>
        <v>52028.99692307692</v>
      </c>
      <c r="AA53" s="8">
        <f t="shared" si="88"/>
        <v>131165.53846153844</v>
      </c>
      <c r="AB53" s="8">
        <f t="shared" si="89"/>
        <v>156086.99076923076</v>
      </c>
      <c r="AC53" s="49">
        <f t="shared" si="90"/>
        <v>52028.99692307692</v>
      </c>
      <c r="AD53" s="49">
        <f t="shared" si="91"/>
        <v>177310</v>
      </c>
      <c r="AE53" s="49">
        <f t="shared" si="14"/>
        <v>125281.00307692308</v>
      </c>
      <c r="AF53" s="49">
        <f t="shared" si="15"/>
        <v>286570.89353846147</v>
      </c>
    </row>
    <row r="54" spans="1:32" ht="25.5" x14ac:dyDescent="0.25">
      <c r="A54" s="3">
        <v>38</v>
      </c>
      <c r="B54" s="4" t="s">
        <v>51</v>
      </c>
      <c r="C54" s="3" t="s">
        <v>27</v>
      </c>
      <c r="D54" s="3">
        <v>1</v>
      </c>
      <c r="E54" s="6"/>
      <c r="F54" s="6" t="s">
        <v>97</v>
      </c>
      <c r="G54" s="7">
        <v>4885000</v>
      </c>
      <c r="H54" s="6">
        <v>19</v>
      </c>
      <c r="I54" s="15">
        <f t="shared" si="78"/>
        <v>928150</v>
      </c>
      <c r="J54" s="7">
        <f t="shared" si="79"/>
        <v>5813150</v>
      </c>
      <c r="K54" s="8">
        <f t="shared" si="80"/>
        <v>4885000</v>
      </c>
      <c r="L54" s="8">
        <f t="shared" si="81"/>
        <v>5813150</v>
      </c>
      <c r="M54" s="28" t="s">
        <v>131</v>
      </c>
      <c r="N54" s="28" t="s">
        <v>151</v>
      </c>
      <c r="O54" s="29">
        <v>1934871.7948717962</v>
      </c>
      <c r="P54" s="28">
        <v>19</v>
      </c>
      <c r="Q54" s="30">
        <f t="shared" si="82"/>
        <v>367625.64102564129</v>
      </c>
      <c r="R54" s="29">
        <f t="shared" si="83"/>
        <v>2302497.4358974374</v>
      </c>
      <c r="S54" s="31">
        <f t="shared" si="84"/>
        <v>1934871.7948717962</v>
      </c>
      <c r="T54" s="31">
        <f t="shared" si="85"/>
        <v>2302497.4358974374</v>
      </c>
      <c r="U54" s="6" t="s">
        <v>182</v>
      </c>
      <c r="V54" s="6" t="s">
        <v>186</v>
      </c>
      <c r="W54" s="7">
        <v>1758974.358974359</v>
      </c>
      <c r="X54" s="6">
        <v>19</v>
      </c>
      <c r="Y54" s="15">
        <f t="shared" si="86"/>
        <v>334205.12820512819</v>
      </c>
      <c r="Z54" s="7">
        <f t="shared" si="87"/>
        <v>2093179.4871794872</v>
      </c>
      <c r="AA54" s="8">
        <f t="shared" si="88"/>
        <v>1758974.358974359</v>
      </c>
      <c r="AB54" s="8">
        <f t="shared" si="89"/>
        <v>2093179.4871794872</v>
      </c>
      <c r="AC54" s="49">
        <f t="shared" si="90"/>
        <v>2093179.4871794872</v>
      </c>
      <c r="AD54" s="49">
        <f t="shared" si="91"/>
        <v>5813150</v>
      </c>
      <c r="AE54" s="49">
        <f t="shared" si="14"/>
        <v>3719970.512820513</v>
      </c>
      <c r="AF54" s="49">
        <f t="shared" si="15"/>
        <v>3402942.3076923084</v>
      </c>
    </row>
    <row r="55" spans="1:32" x14ac:dyDescent="0.25">
      <c r="A55" s="11"/>
      <c r="B55" s="12"/>
      <c r="C55" s="11"/>
      <c r="D55" s="11"/>
      <c r="E55" s="62" t="s">
        <v>64</v>
      </c>
      <c r="F55" s="62"/>
      <c r="G55" s="14">
        <f>SUM(G50:G54)</f>
        <v>12877017</v>
      </c>
      <c r="H55" s="13"/>
      <c r="I55" s="14">
        <f t="shared" ref="I55:L55" si="92">SUM(I50:I54)</f>
        <v>2446633.23</v>
      </c>
      <c r="J55" s="14">
        <f t="shared" si="92"/>
        <v>15323650.23</v>
      </c>
      <c r="K55" s="14">
        <f t="shared" si="92"/>
        <v>41465882</v>
      </c>
      <c r="L55" s="14">
        <f t="shared" si="92"/>
        <v>49344399.579999998</v>
      </c>
      <c r="M55" s="60" t="s">
        <v>64</v>
      </c>
      <c r="N55" s="60"/>
      <c r="O55" s="32">
        <f>SUM(O50:O54)</f>
        <v>9245018.9025641028</v>
      </c>
      <c r="P55" s="33"/>
      <c r="Q55" s="32">
        <f t="shared" ref="Q55:T55" si="93">SUM(Q50:Q54)</f>
        <v>1756553.5914871797</v>
      </c>
      <c r="R55" s="32">
        <f t="shared" si="93"/>
        <v>11001572.494051283</v>
      </c>
      <c r="S55" s="32">
        <f t="shared" si="93"/>
        <v>35536453.887179486</v>
      </c>
      <c r="T55" s="32">
        <f t="shared" si="93"/>
        <v>42288380.12574359</v>
      </c>
      <c r="U55" s="62" t="s">
        <v>64</v>
      </c>
      <c r="V55" s="62"/>
      <c r="W55" s="14">
        <f>SUM(W50:W54)</f>
        <v>9064749.2820512801</v>
      </c>
      <c r="X55" s="13"/>
      <c r="Y55" s="14">
        <f t="shared" ref="Y55:AB55" si="94">SUM(Y50:Y54)</f>
        <v>1722302.3635897436</v>
      </c>
      <c r="Z55" s="14">
        <f t="shared" si="94"/>
        <v>10787051.645641025</v>
      </c>
      <c r="AA55" s="14">
        <f t="shared" si="94"/>
        <v>35347439.897435896</v>
      </c>
      <c r="AB55" s="14">
        <f t="shared" si="94"/>
        <v>42063453.477948718</v>
      </c>
      <c r="AC55" s="47"/>
      <c r="AD55" s="46"/>
      <c r="AE55" s="46"/>
      <c r="AF55" s="46"/>
    </row>
    <row r="56" spans="1:32" ht="21.75" customHeight="1" x14ac:dyDescent="0.25">
      <c r="A56" s="9" t="s">
        <v>52</v>
      </c>
      <c r="B56" s="10"/>
      <c r="C56" s="10"/>
      <c r="D56" s="10"/>
      <c r="E56" s="10"/>
      <c r="F56" s="10"/>
      <c r="G56" s="10"/>
      <c r="H56" s="10"/>
      <c r="I56" s="10"/>
      <c r="J56" s="10"/>
      <c r="K56" s="5"/>
      <c r="L56" s="5"/>
      <c r="M56" s="34"/>
      <c r="N56" s="34"/>
      <c r="O56" s="34"/>
      <c r="P56" s="34"/>
      <c r="Q56" s="34"/>
      <c r="R56" s="34"/>
      <c r="S56" s="35"/>
      <c r="T56" s="35"/>
      <c r="U56" s="10"/>
      <c r="V56" s="10"/>
      <c r="W56" s="10"/>
      <c r="X56" s="10"/>
      <c r="Y56" s="10"/>
      <c r="Z56" s="10"/>
      <c r="AA56" s="5"/>
      <c r="AB56" s="5"/>
      <c r="AC56" s="47"/>
      <c r="AD56" s="46"/>
      <c r="AE56" s="46"/>
      <c r="AF56" s="46"/>
    </row>
    <row r="57" spans="1:32" ht="51" x14ac:dyDescent="0.25">
      <c r="A57" s="3">
        <v>39</v>
      </c>
      <c r="B57" s="4" t="s">
        <v>53</v>
      </c>
      <c r="C57" s="3" t="s">
        <v>9</v>
      </c>
      <c r="D57" s="3">
        <v>10</v>
      </c>
      <c r="E57" s="6" t="s">
        <v>78</v>
      </c>
      <c r="F57" s="6" t="s">
        <v>127</v>
      </c>
      <c r="G57" s="7">
        <v>1958634</v>
      </c>
      <c r="H57" s="6">
        <v>19</v>
      </c>
      <c r="I57" s="15">
        <f t="shared" ref="I57:I61" si="95">G57*H57%</f>
        <v>372140.46</v>
      </c>
      <c r="J57" s="7">
        <f t="shared" ref="J57:J61" si="96">(G57*H57%)+G57</f>
        <v>2330774.46</v>
      </c>
      <c r="K57" s="8">
        <f t="shared" ref="K57:K61" si="97">G57*D57</f>
        <v>19586340</v>
      </c>
      <c r="L57" s="8">
        <f t="shared" ref="L57:L61" si="98">J57*D57</f>
        <v>23307744.600000001</v>
      </c>
      <c r="M57" s="28" t="s">
        <v>133</v>
      </c>
      <c r="N57" s="28" t="s">
        <v>127</v>
      </c>
      <c r="O57" s="29">
        <v>1958634.0000000002</v>
      </c>
      <c r="P57" s="28">
        <v>19</v>
      </c>
      <c r="Q57" s="30">
        <f t="shared" ref="Q57:Q61" si="99">O57*P57%</f>
        <v>372140.46</v>
      </c>
      <c r="R57" s="29">
        <f t="shared" ref="R57:R61" si="100">(O57*P57%)+O57</f>
        <v>2330774.4600000004</v>
      </c>
      <c r="S57" s="31">
        <f t="shared" ref="S57:S61" si="101">O57*D57</f>
        <v>19586340.000000004</v>
      </c>
      <c r="T57" s="31">
        <f t="shared" ref="T57:T61" si="102">R57*D57</f>
        <v>23307744.600000005</v>
      </c>
      <c r="U57" s="6" t="s">
        <v>133</v>
      </c>
      <c r="V57" s="6" t="s">
        <v>127</v>
      </c>
      <c r="W57" s="7">
        <v>1813549.9999999998</v>
      </c>
      <c r="X57" s="6">
        <v>19</v>
      </c>
      <c r="Y57" s="15">
        <f t="shared" ref="Y57:Y61" si="103">W57*X57%</f>
        <v>344574.49999999994</v>
      </c>
      <c r="Z57" s="7">
        <f t="shared" ref="Z57:Z61" si="104">(W57*X57%)+W57</f>
        <v>2158124.4999999995</v>
      </c>
      <c r="AA57" s="8">
        <f t="shared" ref="AA57:AA61" si="105">W57*D57</f>
        <v>18135499.999999996</v>
      </c>
      <c r="AB57" s="8">
        <f t="shared" ref="AB57:AB61" si="106">Z57*D57</f>
        <v>21581244.999999996</v>
      </c>
      <c r="AC57" s="49">
        <f t="shared" ref="AC57:AC61" si="107">MIN(J57,R57,Z57)</f>
        <v>2158124.4999999995</v>
      </c>
      <c r="AD57" s="49">
        <f t="shared" ref="AD57:AD61" si="108">MAX(J57,R57,Z57)</f>
        <v>2330774.4600000004</v>
      </c>
      <c r="AE57" s="49">
        <f t="shared" si="14"/>
        <v>172649.96000000089</v>
      </c>
      <c r="AF57" s="49">
        <f t="shared" si="15"/>
        <v>22732244.733333334</v>
      </c>
    </row>
    <row r="58" spans="1:32" ht="51" x14ac:dyDescent="0.25">
      <c r="A58" s="3">
        <v>40</v>
      </c>
      <c r="B58" s="4" t="s">
        <v>54</v>
      </c>
      <c r="C58" s="3" t="s">
        <v>9</v>
      </c>
      <c r="D58" s="3">
        <v>10</v>
      </c>
      <c r="E58" s="6" t="s">
        <v>78</v>
      </c>
      <c r="F58" s="6" t="s">
        <v>128</v>
      </c>
      <c r="G58" s="7">
        <v>1958634</v>
      </c>
      <c r="H58" s="6">
        <v>19</v>
      </c>
      <c r="I58" s="15">
        <f t="shared" si="95"/>
        <v>372140.46</v>
      </c>
      <c r="J58" s="7">
        <f t="shared" si="96"/>
        <v>2330774.46</v>
      </c>
      <c r="K58" s="8">
        <f t="shared" si="97"/>
        <v>19586340</v>
      </c>
      <c r="L58" s="8">
        <f t="shared" si="98"/>
        <v>23307744.600000001</v>
      </c>
      <c r="M58" s="28" t="s">
        <v>133</v>
      </c>
      <c r="N58" s="28" t="s">
        <v>128</v>
      </c>
      <c r="O58" s="29">
        <v>1958634.0000000002</v>
      </c>
      <c r="P58" s="28">
        <v>19</v>
      </c>
      <c r="Q58" s="30">
        <f t="shared" si="99"/>
        <v>372140.46</v>
      </c>
      <c r="R58" s="29">
        <f t="shared" si="100"/>
        <v>2330774.4600000004</v>
      </c>
      <c r="S58" s="31">
        <f t="shared" si="101"/>
        <v>19586340.000000004</v>
      </c>
      <c r="T58" s="31">
        <f t="shared" si="102"/>
        <v>23307744.600000005</v>
      </c>
      <c r="U58" s="6" t="s">
        <v>133</v>
      </c>
      <c r="V58" s="6" t="s">
        <v>128</v>
      </c>
      <c r="W58" s="7">
        <v>1813549.9999999998</v>
      </c>
      <c r="X58" s="6">
        <v>19</v>
      </c>
      <c r="Y58" s="15">
        <f t="shared" si="103"/>
        <v>344574.49999999994</v>
      </c>
      <c r="Z58" s="7">
        <f t="shared" si="104"/>
        <v>2158124.4999999995</v>
      </c>
      <c r="AA58" s="8">
        <f t="shared" si="105"/>
        <v>18135499.999999996</v>
      </c>
      <c r="AB58" s="8">
        <f t="shared" si="106"/>
        <v>21581244.999999996</v>
      </c>
      <c r="AC58" s="49">
        <f t="shared" si="107"/>
        <v>2158124.4999999995</v>
      </c>
      <c r="AD58" s="49">
        <f t="shared" si="108"/>
        <v>2330774.4600000004</v>
      </c>
      <c r="AE58" s="49">
        <f t="shared" si="14"/>
        <v>172649.96000000089</v>
      </c>
      <c r="AF58" s="49">
        <f t="shared" si="15"/>
        <v>22732244.733333334</v>
      </c>
    </row>
    <row r="59" spans="1:32" ht="51" x14ac:dyDescent="0.25">
      <c r="A59" s="3">
        <v>41</v>
      </c>
      <c r="B59" s="4" t="s">
        <v>55</v>
      </c>
      <c r="C59" s="3" t="s">
        <v>9</v>
      </c>
      <c r="D59" s="3">
        <v>10</v>
      </c>
      <c r="E59" s="6" t="s">
        <v>78</v>
      </c>
      <c r="F59" s="6" t="s">
        <v>129</v>
      </c>
      <c r="G59" s="7">
        <v>2315470</v>
      </c>
      <c r="H59" s="6">
        <v>19</v>
      </c>
      <c r="I59" s="15">
        <f t="shared" si="95"/>
        <v>439939.3</v>
      </c>
      <c r="J59" s="7">
        <f t="shared" si="96"/>
        <v>2755409.3</v>
      </c>
      <c r="K59" s="8">
        <f t="shared" si="97"/>
        <v>23154700</v>
      </c>
      <c r="L59" s="8">
        <f t="shared" si="98"/>
        <v>27554093</v>
      </c>
      <c r="M59" s="28" t="s">
        <v>133</v>
      </c>
      <c r="N59" s="28" t="s">
        <v>174</v>
      </c>
      <c r="O59" s="29">
        <v>2315470.1538461582</v>
      </c>
      <c r="P59" s="28">
        <v>19</v>
      </c>
      <c r="Q59" s="30">
        <f t="shared" si="99"/>
        <v>439939.32923077006</v>
      </c>
      <c r="R59" s="29">
        <f t="shared" si="100"/>
        <v>2755409.4830769282</v>
      </c>
      <c r="S59" s="31">
        <f t="shared" si="101"/>
        <v>23154701.538461581</v>
      </c>
      <c r="T59" s="31">
        <f t="shared" si="102"/>
        <v>27554094.830769282</v>
      </c>
      <c r="U59" s="6" t="s">
        <v>133</v>
      </c>
      <c r="V59" s="6" t="s">
        <v>174</v>
      </c>
      <c r="W59" s="7">
        <v>2143953.846153846</v>
      </c>
      <c r="X59" s="6">
        <v>19</v>
      </c>
      <c r="Y59" s="15">
        <f t="shared" si="103"/>
        <v>407351.23076923075</v>
      </c>
      <c r="Z59" s="7">
        <f t="shared" si="104"/>
        <v>2551305.076923077</v>
      </c>
      <c r="AA59" s="8">
        <f t="shared" si="105"/>
        <v>21439538.46153846</v>
      </c>
      <c r="AB59" s="8">
        <f t="shared" si="106"/>
        <v>25513050.769230768</v>
      </c>
      <c r="AC59" s="49">
        <f t="shared" si="107"/>
        <v>2551305.076923077</v>
      </c>
      <c r="AD59" s="49">
        <f t="shared" si="108"/>
        <v>2755409.4830769282</v>
      </c>
      <c r="AE59" s="49">
        <f t="shared" si="14"/>
        <v>204104.40615385119</v>
      </c>
      <c r="AF59" s="49">
        <f t="shared" si="15"/>
        <v>26873746.200000018</v>
      </c>
    </row>
    <row r="60" spans="1:32" ht="25.5" x14ac:dyDescent="0.25">
      <c r="A60" s="3">
        <v>42</v>
      </c>
      <c r="B60" s="4" t="s">
        <v>56</v>
      </c>
      <c r="C60" s="3" t="s">
        <v>9</v>
      </c>
      <c r="D60" s="3">
        <v>10</v>
      </c>
      <c r="E60" s="6" t="s">
        <v>96</v>
      </c>
      <c r="F60" s="6"/>
      <c r="G60" s="7">
        <v>149000</v>
      </c>
      <c r="H60" s="6">
        <v>19</v>
      </c>
      <c r="I60" s="15">
        <f t="shared" si="95"/>
        <v>28310</v>
      </c>
      <c r="J60" s="7">
        <f t="shared" si="96"/>
        <v>177310</v>
      </c>
      <c r="K60" s="8">
        <f t="shared" si="97"/>
        <v>1490000</v>
      </c>
      <c r="L60" s="8">
        <f t="shared" si="98"/>
        <v>1773100</v>
      </c>
      <c r="M60" s="28" t="s">
        <v>147</v>
      </c>
      <c r="N60" s="28" t="s">
        <v>175</v>
      </c>
      <c r="O60" s="29">
        <v>48094.030769230711</v>
      </c>
      <c r="P60" s="28">
        <v>19</v>
      </c>
      <c r="Q60" s="30">
        <f t="shared" si="99"/>
        <v>9137.8658461538344</v>
      </c>
      <c r="R60" s="29">
        <f t="shared" si="100"/>
        <v>57231.896615384547</v>
      </c>
      <c r="S60" s="31">
        <f t="shared" si="101"/>
        <v>480940.30769230711</v>
      </c>
      <c r="T60" s="31">
        <f t="shared" si="102"/>
        <v>572318.96615384542</v>
      </c>
      <c r="U60" s="6" t="s">
        <v>182</v>
      </c>
      <c r="V60" s="6" t="s">
        <v>185</v>
      </c>
      <c r="W60" s="7">
        <v>43721.846153846149</v>
      </c>
      <c r="X60" s="6">
        <v>19</v>
      </c>
      <c r="Y60" s="15">
        <f t="shared" si="103"/>
        <v>8307.1507692307678</v>
      </c>
      <c r="Z60" s="7">
        <f t="shared" si="104"/>
        <v>52028.99692307692</v>
      </c>
      <c r="AA60" s="8">
        <f t="shared" si="105"/>
        <v>437218.4615384615</v>
      </c>
      <c r="AB60" s="8">
        <f t="shared" si="106"/>
        <v>520289.9692307692</v>
      </c>
      <c r="AC60" s="49">
        <f t="shared" si="107"/>
        <v>52028.99692307692</v>
      </c>
      <c r="AD60" s="49">
        <f t="shared" si="108"/>
        <v>177310</v>
      </c>
      <c r="AE60" s="49">
        <f t="shared" si="14"/>
        <v>125281.00307692308</v>
      </c>
      <c r="AF60" s="49">
        <f t="shared" si="15"/>
        <v>955236.31179487146</v>
      </c>
    </row>
    <row r="61" spans="1:32" ht="38.25" x14ac:dyDescent="0.25">
      <c r="A61" s="3">
        <v>43</v>
      </c>
      <c r="B61" s="4" t="s">
        <v>57</v>
      </c>
      <c r="C61" s="3" t="s">
        <v>27</v>
      </c>
      <c r="D61" s="3">
        <v>1</v>
      </c>
      <c r="E61" s="6"/>
      <c r="F61" s="6" t="s">
        <v>97</v>
      </c>
      <c r="G61" s="7">
        <v>2373000</v>
      </c>
      <c r="H61" s="6">
        <v>19</v>
      </c>
      <c r="I61" s="15">
        <f t="shared" si="95"/>
        <v>450870</v>
      </c>
      <c r="J61" s="7">
        <f t="shared" si="96"/>
        <v>2823870</v>
      </c>
      <c r="K61" s="8">
        <f t="shared" si="97"/>
        <v>2373000</v>
      </c>
      <c r="L61" s="8">
        <f t="shared" si="98"/>
        <v>2823870</v>
      </c>
      <c r="M61" s="28" t="s">
        <v>131</v>
      </c>
      <c r="N61" s="28" t="s">
        <v>151</v>
      </c>
      <c r="O61" s="29">
        <v>2383333.3333333367</v>
      </c>
      <c r="P61" s="28">
        <v>19</v>
      </c>
      <c r="Q61" s="30">
        <f t="shared" si="99"/>
        <v>452833.33333333401</v>
      </c>
      <c r="R61" s="29">
        <f t="shared" si="100"/>
        <v>2836166.6666666707</v>
      </c>
      <c r="S61" s="31">
        <f t="shared" si="101"/>
        <v>2383333.3333333367</v>
      </c>
      <c r="T61" s="31">
        <f t="shared" si="102"/>
        <v>2836166.6666666707</v>
      </c>
      <c r="U61" s="6" t="s">
        <v>182</v>
      </c>
      <c r="V61" s="6" t="s">
        <v>186</v>
      </c>
      <c r="W61" s="7">
        <v>2166666.6666666665</v>
      </c>
      <c r="X61" s="6">
        <v>19</v>
      </c>
      <c r="Y61" s="15">
        <f t="shared" si="103"/>
        <v>411666.66666666663</v>
      </c>
      <c r="Z61" s="7">
        <f t="shared" si="104"/>
        <v>2578333.333333333</v>
      </c>
      <c r="AA61" s="8">
        <f t="shared" si="105"/>
        <v>2166666.6666666665</v>
      </c>
      <c r="AB61" s="8">
        <f t="shared" si="106"/>
        <v>2578333.333333333</v>
      </c>
      <c r="AC61" s="49">
        <f t="shared" si="107"/>
        <v>2578333.333333333</v>
      </c>
      <c r="AD61" s="49">
        <f t="shared" si="108"/>
        <v>2836166.6666666707</v>
      </c>
      <c r="AE61" s="49">
        <f t="shared" si="14"/>
        <v>257833.33333333768</v>
      </c>
      <c r="AF61" s="49">
        <f t="shared" si="15"/>
        <v>2746123.3333333344</v>
      </c>
    </row>
    <row r="62" spans="1:32" x14ac:dyDescent="0.25">
      <c r="A62" s="11"/>
      <c r="B62" s="12"/>
      <c r="C62" s="11"/>
      <c r="D62" s="11"/>
      <c r="E62" s="62" t="s">
        <v>64</v>
      </c>
      <c r="F62" s="62"/>
      <c r="G62" s="14">
        <f>SUM(G57:G61)</f>
        <v>8754738</v>
      </c>
      <c r="H62" s="13"/>
      <c r="I62" s="14">
        <f t="shared" ref="I62:L62" si="109">SUM(I57:I61)</f>
        <v>1663400.22</v>
      </c>
      <c r="J62" s="14">
        <f t="shared" si="109"/>
        <v>10418138.219999999</v>
      </c>
      <c r="K62" s="14">
        <f t="shared" si="109"/>
        <v>66190380</v>
      </c>
      <c r="L62" s="14">
        <f t="shared" si="109"/>
        <v>78766552.200000003</v>
      </c>
      <c r="M62" s="60" t="s">
        <v>64</v>
      </c>
      <c r="N62" s="60"/>
      <c r="O62" s="32">
        <f>SUM(O57:O61)</f>
        <v>8664165.5179487262</v>
      </c>
      <c r="P62" s="33"/>
      <c r="Q62" s="32">
        <f t="shared" ref="Q62:T62" si="110">SUM(Q57:Q61)</f>
        <v>1646191.4484102579</v>
      </c>
      <c r="R62" s="32">
        <f t="shared" si="110"/>
        <v>10310356.966358984</v>
      </c>
      <c r="S62" s="32">
        <f t="shared" si="110"/>
        <v>65191655.179487228</v>
      </c>
      <c r="T62" s="32">
        <f t="shared" si="110"/>
        <v>77578069.663589805</v>
      </c>
      <c r="U62" s="62" t="s">
        <v>64</v>
      </c>
      <c r="V62" s="62"/>
      <c r="W62" s="14">
        <f>SUM(W57:W61)</f>
        <v>7981442.3589743581</v>
      </c>
      <c r="X62" s="13"/>
      <c r="Y62" s="14">
        <f t="shared" ref="Y62:AB62" si="111">SUM(Y57:Y61)</f>
        <v>1516474.0482051279</v>
      </c>
      <c r="Z62" s="14">
        <f t="shared" si="111"/>
        <v>9497916.407179486</v>
      </c>
      <c r="AA62" s="14">
        <f>SUM(AA57:AA61)</f>
        <v>60314423.589743577</v>
      </c>
      <c r="AB62" s="14">
        <f t="shared" si="111"/>
        <v>71774164.071794853</v>
      </c>
      <c r="AD62" s="45"/>
      <c r="AF62" s="45"/>
    </row>
    <row r="63" spans="1:32" x14ac:dyDescent="0.25">
      <c r="A63" s="16"/>
      <c r="B63" s="17"/>
      <c r="C63" s="17"/>
      <c r="D63" s="17"/>
      <c r="E63" s="20"/>
      <c r="F63" s="20"/>
      <c r="G63" s="17"/>
      <c r="H63" s="17"/>
      <c r="I63" s="17"/>
      <c r="J63" s="18"/>
      <c r="K63" s="5"/>
      <c r="L63" s="5"/>
      <c r="M63" s="36"/>
      <c r="N63" s="36"/>
      <c r="O63" s="37"/>
      <c r="P63" s="37"/>
      <c r="Q63" s="37"/>
      <c r="R63" s="38"/>
      <c r="S63" s="35"/>
      <c r="T63" s="35"/>
      <c r="U63" s="20"/>
      <c r="V63" s="20"/>
      <c r="W63" s="17"/>
      <c r="X63" s="17"/>
      <c r="Y63" s="17"/>
      <c r="Z63" s="18"/>
      <c r="AA63" s="5"/>
      <c r="AB63" s="5"/>
    </row>
    <row r="64" spans="1:32" x14ac:dyDescent="0.25">
      <c r="A64" s="50" t="s">
        <v>203</v>
      </c>
      <c r="B64" s="51"/>
      <c r="C64" s="51"/>
      <c r="D64" s="51"/>
      <c r="E64" s="51"/>
      <c r="F64" s="51"/>
      <c r="G64" s="51"/>
      <c r="H64" s="51"/>
      <c r="I64" s="51"/>
      <c r="J64" s="51"/>
      <c r="K64" s="52"/>
      <c r="L64" s="52"/>
      <c r="M64" s="36"/>
      <c r="N64" s="36"/>
      <c r="O64" s="36"/>
      <c r="P64" s="36"/>
      <c r="Q64" s="36"/>
      <c r="R64" s="36"/>
      <c r="S64" s="35"/>
      <c r="T64" s="35"/>
      <c r="U64" s="20"/>
      <c r="V64" s="20"/>
      <c r="W64" s="20"/>
      <c r="X64" s="20"/>
      <c r="Y64" s="20"/>
      <c r="Z64" s="20"/>
      <c r="AA64" s="5"/>
      <c r="AB64" s="5"/>
    </row>
    <row r="65" spans="1:32" ht="89.25" x14ac:dyDescent="0.25">
      <c r="A65" s="53">
        <v>44</v>
      </c>
      <c r="B65" s="54" t="s">
        <v>204</v>
      </c>
      <c r="C65" s="53" t="s">
        <v>9</v>
      </c>
      <c r="D65" s="53">
        <v>1</v>
      </c>
      <c r="E65" s="55" t="s">
        <v>215</v>
      </c>
      <c r="F65" s="55" t="s">
        <v>214</v>
      </c>
      <c r="G65" s="56">
        <v>6550000</v>
      </c>
      <c r="H65" s="55">
        <v>19</v>
      </c>
      <c r="I65" s="57">
        <f t="shared" ref="I65:I66" si="112">G65*H65%</f>
        <v>1244500</v>
      </c>
      <c r="J65" s="56">
        <f t="shared" ref="J65:J66" si="113">(G65*H65%)+G65</f>
        <v>7794500</v>
      </c>
      <c r="K65" s="8">
        <f t="shared" ref="K65:K66" si="114">G65*D65</f>
        <v>6550000</v>
      </c>
      <c r="L65" s="8">
        <f t="shared" ref="L65:L66" si="115">J65*D65</f>
        <v>7794500</v>
      </c>
      <c r="M65" s="28" t="s">
        <v>210</v>
      </c>
      <c r="N65" s="28" t="s">
        <v>211</v>
      </c>
      <c r="O65" s="29">
        <v>6483894.6399999997</v>
      </c>
      <c r="P65" s="28">
        <v>19</v>
      </c>
      <c r="Q65" s="30">
        <f t="shared" ref="Q65:Q66" si="116">O65*P65%</f>
        <v>1231939.9816000001</v>
      </c>
      <c r="R65" s="29">
        <f t="shared" ref="R65:R66" si="117">(O65*P65%)+O65</f>
        <v>7715834.6216000002</v>
      </c>
      <c r="S65" s="31">
        <f t="shared" ref="S65:S66" si="118">O65*D65</f>
        <v>6483894.6399999997</v>
      </c>
      <c r="T65" s="31">
        <f t="shared" ref="T65:T66" si="119">R65*D65</f>
        <v>7715834.6216000002</v>
      </c>
      <c r="U65" s="6" t="s">
        <v>206</v>
      </c>
      <c r="V65" s="6" t="s">
        <v>207</v>
      </c>
      <c r="W65" s="7">
        <v>6000000</v>
      </c>
      <c r="X65" s="6">
        <v>19</v>
      </c>
      <c r="Y65" s="15">
        <f t="shared" ref="Y65:Y66" si="120">W65*X65%</f>
        <v>1140000</v>
      </c>
      <c r="Z65" s="7">
        <f t="shared" ref="Z65:Z66" si="121">(W65*X65%)+W65</f>
        <v>7140000</v>
      </c>
      <c r="AA65" s="8">
        <f t="shared" ref="AA65:AA66" si="122">W65*D65</f>
        <v>6000000</v>
      </c>
      <c r="AB65" s="8">
        <f t="shared" ref="AB65:AB66" si="123">Z65*D65</f>
        <v>7140000</v>
      </c>
      <c r="AC65" s="49">
        <f t="shared" ref="AC65:AC66" si="124">MIN(J65,R65,Z65)</f>
        <v>7140000</v>
      </c>
      <c r="AD65" s="49">
        <f t="shared" ref="AD65:AD66" si="125">MAX(J65,R65,Z65)</f>
        <v>7794500</v>
      </c>
      <c r="AE65" s="49">
        <f t="shared" ref="AE65:AE66" si="126">AD65-AC65</f>
        <v>654500</v>
      </c>
      <c r="AF65" s="49">
        <f t="shared" ref="AF65:AF66" si="127">(L65+T65+AB65)/3</f>
        <v>7550111.540533334</v>
      </c>
    </row>
    <row r="66" spans="1:32" ht="38.25" x14ac:dyDescent="0.25">
      <c r="A66" s="53">
        <v>45</v>
      </c>
      <c r="B66" s="54" t="s">
        <v>205</v>
      </c>
      <c r="C66" s="53" t="s">
        <v>9</v>
      </c>
      <c r="D66" s="53">
        <v>1</v>
      </c>
      <c r="E66" s="55" t="s">
        <v>216</v>
      </c>
      <c r="F66" s="55" t="s">
        <v>217</v>
      </c>
      <c r="G66" s="56">
        <v>3890000</v>
      </c>
      <c r="H66" s="55">
        <v>19</v>
      </c>
      <c r="I66" s="57">
        <f t="shared" si="112"/>
        <v>739100</v>
      </c>
      <c r="J66" s="56">
        <f t="shared" si="113"/>
        <v>4629100</v>
      </c>
      <c r="K66" s="8">
        <f t="shared" si="114"/>
        <v>3890000</v>
      </c>
      <c r="L66" s="8">
        <f t="shared" si="115"/>
        <v>4629100</v>
      </c>
      <c r="M66" s="28" t="s">
        <v>212</v>
      </c>
      <c r="N66" s="28" t="s">
        <v>213</v>
      </c>
      <c r="O66" s="29">
        <v>4433041.62</v>
      </c>
      <c r="P66" s="28">
        <v>19</v>
      </c>
      <c r="Q66" s="30">
        <f t="shared" si="116"/>
        <v>842277.90780000004</v>
      </c>
      <c r="R66" s="29">
        <f t="shared" si="117"/>
        <v>5275319.5278000003</v>
      </c>
      <c r="S66" s="31">
        <f t="shared" si="118"/>
        <v>4433041.62</v>
      </c>
      <c r="T66" s="31">
        <f t="shared" si="119"/>
        <v>5275319.5278000003</v>
      </c>
      <c r="U66" s="6" t="s">
        <v>208</v>
      </c>
      <c r="V66" s="6" t="s">
        <v>209</v>
      </c>
      <c r="W66" s="7">
        <v>3260000</v>
      </c>
      <c r="X66" s="6">
        <v>19</v>
      </c>
      <c r="Y66" s="15">
        <f t="shared" si="120"/>
        <v>619400</v>
      </c>
      <c r="Z66" s="7">
        <f t="shared" si="121"/>
        <v>3879400</v>
      </c>
      <c r="AA66" s="8">
        <f t="shared" si="122"/>
        <v>3260000</v>
      </c>
      <c r="AB66" s="8">
        <f t="shared" si="123"/>
        <v>3879400</v>
      </c>
      <c r="AC66" s="49">
        <f t="shared" si="124"/>
        <v>3879400</v>
      </c>
      <c r="AD66" s="49">
        <f t="shared" si="125"/>
        <v>5275319.5278000003</v>
      </c>
      <c r="AE66" s="49">
        <f t="shared" si="126"/>
        <v>1395919.5278000003</v>
      </c>
      <c r="AF66" s="49">
        <f t="shared" si="127"/>
        <v>4594606.5092666671</v>
      </c>
    </row>
    <row r="67" spans="1:32" x14ac:dyDescent="0.25">
      <c r="A67" s="19"/>
      <c r="B67" s="20"/>
      <c r="C67" s="20"/>
      <c r="D67" s="20"/>
      <c r="E67" s="62" t="s">
        <v>64</v>
      </c>
      <c r="F67" s="62"/>
      <c r="G67" s="14">
        <f>SUM(G65:G66)</f>
        <v>10440000</v>
      </c>
      <c r="H67" s="13"/>
      <c r="I67" s="14">
        <f t="shared" ref="I67:L67" si="128">SUM(I65:I66)</f>
        <v>1983600</v>
      </c>
      <c r="J67" s="14">
        <f t="shared" si="128"/>
        <v>12423600</v>
      </c>
      <c r="K67" s="14">
        <f t="shared" si="128"/>
        <v>10440000</v>
      </c>
      <c r="L67" s="14">
        <f t="shared" si="128"/>
        <v>12423600</v>
      </c>
      <c r="M67" s="60" t="s">
        <v>64</v>
      </c>
      <c r="N67" s="60"/>
      <c r="O67" s="32">
        <f>SUM(O65:O66)</f>
        <v>10916936.26</v>
      </c>
      <c r="P67" s="33"/>
      <c r="Q67" s="32">
        <f t="shared" ref="Q67:T67" si="129">SUM(Q65:Q66)</f>
        <v>2074217.8894000002</v>
      </c>
      <c r="R67" s="32">
        <f t="shared" si="129"/>
        <v>12991154.1494</v>
      </c>
      <c r="S67" s="32">
        <f t="shared" si="129"/>
        <v>10916936.26</v>
      </c>
      <c r="T67" s="32">
        <f t="shared" si="129"/>
        <v>12991154.1494</v>
      </c>
      <c r="U67" s="62" t="s">
        <v>64</v>
      </c>
      <c r="V67" s="62"/>
      <c r="W67" s="14">
        <f>SUM(W65:W66)</f>
        <v>9260000</v>
      </c>
      <c r="X67" s="13"/>
      <c r="Y67" s="14">
        <f t="shared" ref="Y67:AB67" si="130">SUM(Y65:Y66)</f>
        <v>1759400</v>
      </c>
      <c r="Z67" s="14">
        <f t="shared" si="130"/>
        <v>11019400</v>
      </c>
      <c r="AA67" s="14">
        <f t="shared" si="130"/>
        <v>9260000</v>
      </c>
      <c r="AB67" s="14">
        <f t="shared" si="130"/>
        <v>11019400</v>
      </c>
      <c r="AF67" s="45">
        <f>SUM(AF9:AF66)</f>
        <v>440256107.66342098</v>
      </c>
    </row>
    <row r="68" spans="1:32" x14ac:dyDescent="0.25">
      <c r="A68" s="19"/>
      <c r="B68" s="20"/>
      <c r="C68" s="20"/>
      <c r="D68" s="20"/>
      <c r="E68" s="20"/>
      <c r="F68" s="20"/>
      <c r="G68" s="20"/>
      <c r="H68" s="20"/>
      <c r="I68" s="20"/>
      <c r="J68" s="20"/>
      <c r="K68" s="5"/>
      <c r="L68" s="5"/>
      <c r="M68" s="36"/>
      <c r="N68" s="36"/>
      <c r="O68" s="36"/>
      <c r="P68" s="36"/>
      <c r="Q68" s="36"/>
      <c r="R68" s="36"/>
      <c r="S68" s="35"/>
      <c r="T68" s="35"/>
      <c r="U68" s="20"/>
      <c r="V68" s="20"/>
      <c r="W68" s="20"/>
      <c r="X68" s="20"/>
      <c r="Y68" s="20"/>
      <c r="Z68" s="20"/>
      <c r="AA68" s="5"/>
      <c r="AB68" s="5"/>
    </row>
    <row r="69" spans="1:32" ht="15.75" customHeight="1" x14ac:dyDescent="0.25">
      <c r="C69" s="2"/>
      <c r="D69" s="2"/>
      <c r="E69" s="67" t="s">
        <v>66</v>
      </c>
      <c r="F69" s="67"/>
      <c r="G69" s="19"/>
      <c r="H69" s="19"/>
      <c r="I69" s="19"/>
      <c r="J69" s="19"/>
      <c r="K69" s="19"/>
      <c r="L69" s="19"/>
      <c r="M69" s="71" t="s">
        <v>66</v>
      </c>
      <c r="N69" s="71"/>
      <c r="O69" s="39"/>
      <c r="P69" s="39"/>
      <c r="Q69" s="39"/>
      <c r="R69" s="39"/>
      <c r="S69" s="39"/>
      <c r="T69" s="39"/>
      <c r="U69" s="67" t="s">
        <v>66</v>
      </c>
      <c r="V69" s="67"/>
      <c r="W69" s="19"/>
      <c r="X69" s="19"/>
      <c r="Y69" s="19"/>
      <c r="Z69" s="19"/>
      <c r="AA69" s="19"/>
      <c r="AB69" s="19"/>
    </row>
    <row r="70" spans="1:32" ht="30" x14ac:dyDescent="0.25">
      <c r="C70" s="2"/>
      <c r="D70" s="2"/>
      <c r="E70" s="21" t="s">
        <v>67</v>
      </c>
      <c r="F70" s="22">
        <f>G27+G31+G39+G48+G55+G62+G67</f>
        <v>254452697</v>
      </c>
      <c r="G70" s="2"/>
      <c r="H70" s="1"/>
      <c r="I70" s="1"/>
      <c r="J70" s="2"/>
      <c r="M70" s="40" t="s">
        <v>67</v>
      </c>
      <c r="N70" s="41">
        <f>O27+O31+O39+O48+O55+O62+O67</f>
        <v>1151210602.4937179</v>
      </c>
      <c r="O70" s="42"/>
      <c r="P70" s="43"/>
      <c r="Q70" s="43"/>
      <c r="R70" s="42"/>
      <c r="S70" s="44"/>
      <c r="T70" s="44"/>
      <c r="U70" s="21" t="s">
        <v>67</v>
      </c>
      <c r="V70" s="22">
        <f>W27+W31+W39+W48+W55+W62+W67</f>
        <v>171522325.11538461</v>
      </c>
      <c r="W70" s="2"/>
      <c r="X70" s="1"/>
      <c r="Y70" s="1"/>
      <c r="Z70" s="2"/>
    </row>
    <row r="71" spans="1:32" x14ac:dyDescent="0.25">
      <c r="C71" s="2"/>
      <c r="D71" s="2"/>
      <c r="E71" s="21" t="s">
        <v>68</v>
      </c>
      <c r="F71" s="22">
        <f>I27+I31+I39+I48+I55+I62+I67</f>
        <v>48346012.43</v>
      </c>
      <c r="G71" s="2"/>
      <c r="H71" s="1"/>
      <c r="I71" s="1"/>
      <c r="J71" s="2"/>
      <c r="M71" s="40" t="s">
        <v>68</v>
      </c>
      <c r="N71" s="41">
        <f>Q27+Q31+Q39+Q48+Q55+Q62+Q67</f>
        <v>218730014.47380644</v>
      </c>
      <c r="O71" s="42"/>
      <c r="P71" s="43"/>
      <c r="Q71" s="43"/>
      <c r="R71" s="42"/>
      <c r="S71" s="44"/>
      <c r="T71" s="44"/>
      <c r="U71" s="21" t="s">
        <v>68</v>
      </c>
      <c r="V71" s="22">
        <f>Y27+Y31+Y39+Y48+Y55+Y62+Y67</f>
        <v>32589241.771923073</v>
      </c>
      <c r="W71" s="2"/>
      <c r="X71" s="1"/>
      <c r="Y71" s="1"/>
      <c r="Z71" s="2"/>
    </row>
    <row r="72" spans="1:32" ht="30" x14ac:dyDescent="0.25">
      <c r="E72" s="21" t="s">
        <v>69</v>
      </c>
      <c r="F72" s="22">
        <f>J27+J31+J39+J48+J55+J62+J67</f>
        <v>302798709.42999995</v>
      </c>
      <c r="M72" s="40" t="s">
        <v>69</v>
      </c>
      <c r="N72" s="41">
        <f>R27+R31+R39+R48+R55+R62+R67</f>
        <v>1369940616.9675243</v>
      </c>
      <c r="O72" s="44"/>
      <c r="P72" s="44"/>
      <c r="Q72" s="44"/>
      <c r="R72" s="44"/>
      <c r="S72" s="44"/>
      <c r="T72" s="44"/>
      <c r="U72" s="21" t="s">
        <v>69</v>
      </c>
      <c r="V72" s="22">
        <f>Z27+Z31+Z39+Z48+Z55+Z62+Z67</f>
        <v>204111566.88730764</v>
      </c>
    </row>
    <row r="73" spans="1:32" ht="15.75" customHeight="1" x14ac:dyDescent="0.25">
      <c r="E73" s="21" t="s">
        <v>61</v>
      </c>
      <c r="F73" s="22">
        <f>K27+K31+K39+K48+K55+K62+K67</f>
        <v>409582911</v>
      </c>
      <c r="M73" s="40" t="s">
        <v>61</v>
      </c>
      <c r="N73" s="41">
        <f>S27+S31+S39+S48+S55+S62+S67</f>
        <v>1333585659.6275642</v>
      </c>
      <c r="O73" s="44"/>
      <c r="P73" s="44"/>
      <c r="Q73" s="44"/>
      <c r="R73" s="44"/>
      <c r="S73" s="44"/>
      <c r="T73" s="44"/>
      <c r="U73" s="21" t="s">
        <v>61</v>
      </c>
      <c r="V73" s="22">
        <f>AA27+AA31+AA39+AA48+AA55+AA62+AA67</f>
        <v>310199162.96153843</v>
      </c>
    </row>
    <row r="74" spans="1:32" ht="15.75" customHeight="1" x14ac:dyDescent="0.25">
      <c r="E74" s="21" t="s">
        <v>62</v>
      </c>
      <c r="F74" s="22">
        <f>L27+L31+L39+L48+L55+L62+L67</f>
        <v>487403664.09000003</v>
      </c>
      <c r="M74" s="40" t="s">
        <v>62</v>
      </c>
      <c r="N74" s="41">
        <f>T27+T31+T39+T48+T55+T62+T67</f>
        <v>1586966934.9568017</v>
      </c>
      <c r="O74" s="44"/>
      <c r="P74" s="44"/>
      <c r="Q74" s="44"/>
      <c r="R74" s="44"/>
      <c r="S74" s="44"/>
      <c r="T74" s="44"/>
      <c r="U74" s="21" t="s">
        <v>62</v>
      </c>
      <c r="V74" s="22">
        <f>AB27+AB31+AB39+AB48+AB55+AB62+AB67</f>
        <v>369137003.92423075</v>
      </c>
    </row>
    <row r="75" spans="1:32" ht="15.75" customHeight="1" x14ac:dyDescent="0.25"/>
    <row r="76" spans="1:32" ht="15.75" customHeight="1" x14ac:dyDescent="0.25"/>
    <row r="77" spans="1:32" ht="15.75" customHeight="1" x14ac:dyDescent="0.25"/>
    <row r="78" spans="1:32" ht="15.75" customHeight="1" x14ac:dyDescent="0.25"/>
    <row r="79" spans="1:32" ht="15.75" customHeight="1" x14ac:dyDescent="0.25"/>
    <row r="80" spans="1:32"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sheetData>
  <autoFilter ref="AC8:AE62" xr:uid="{00000000-0001-0000-0000-000000000000}"/>
  <mergeCells count="33">
    <mergeCell ref="E67:F67"/>
    <mergeCell ref="M67:N67"/>
    <mergeCell ref="U67:V67"/>
    <mergeCell ref="AC7:AF7"/>
    <mergeCell ref="E69:F69"/>
    <mergeCell ref="D4:E4"/>
    <mergeCell ref="K4:L4"/>
    <mergeCell ref="G4:I4"/>
    <mergeCell ref="M55:N55"/>
    <mergeCell ref="M62:N62"/>
    <mergeCell ref="M69:N69"/>
    <mergeCell ref="U8:AB8"/>
    <mergeCell ref="U27:V27"/>
    <mergeCell ref="U31:V31"/>
    <mergeCell ref="U39:V39"/>
    <mergeCell ref="U48:V48"/>
    <mergeCell ref="U55:V55"/>
    <mergeCell ref="U62:V62"/>
    <mergeCell ref="U69:V69"/>
    <mergeCell ref="B3:L3"/>
    <mergeCell ref="E55:F55"/>
    <mergeCell ref="E62:F62"/>
    <mergeCell ref="A1:L1"/>
    <mergeCell ref="E27:F27"/>
    <mergeCell ref="E31:F31"/>
    <mergeCell ref="E39:F39"/>
    <mergeCell ref="E48:F48"/>
    <mergeCell ref="E8:L8"/>
    <mergeCell ref="M8:T8"/>
    <mergeCell ref="M27:N27"/>
    <mergeCell ref="M31:N31"/>
    <mergeCell ref="M39:N39"/>
    <mergeCell ref="M48:N48"/>
  </mergeCells>
  <pageMargins left="0.3" right="0.3" top="0.5" bottom="0.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Tecnica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Diego Armando Forero Tunarrosa</cp:lastModifiedBy>
  <dcterms:created xsi:type="dcterms:W3CDTF">2026-04-01T13:33:41Z</dcterms:created>
  <dcterms:modified xsi:type="dcterms:W3CDTF">2026-09-25T12:14:55Z</dcterms:modified>
</cp:coreProperties>
</file>