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611"/>
  <workbookPr/>
  <mc:AlternateContent xmlns:mc="http://schemas.openxmlformats.org/markup-compatibility/2006">
    <mc:Choice Requires="x15">
      <x15ac:absPath xmlns:x15ac="http://schemas.microsoft.com/office/spreadsheetml/2010/11/ac" url="D:\Usuarios\johnsanc\Desktop\"/>
    </mc:Choice>
  </mc:AlternateContent>
  <xr:revisionPtr revIDLastSave="5" documentId="13_ncr:1_{0EAA615A-0C38-4485-8CCF-F617A8E3759D}" xr6:coauthVersionLast="47" xr6:coauthVersionMax="47" xr10:uidLastSave="{7C574AF5-ED7D-4464-8C37-FAAA321BBEEF}"/>
  <bookViews>
    <workbookView xWindow="14340" yWindow="315" windowWidth="13995" windowHeight="15480" tabRatio="968" firstSheet="8" activeTab="4" xr2:uid="{00000000-000D-0000-FFFF-FFFF00000000}"/>
  </bookViews>
  <sheets>
    <sheet name="Solicitud cotizaciones" sheetId="1" state="hidden" r:id="rId1"/>
    <sheet name="GENERAL" sheetId="10" state="hidden" r:id="rId2"/>
    <sheet name="Anexo 1" sheetId="2" state="hidden" r:id="rId3"/>
    <sheet name="Anexo 2" sheetId="3" state="hidden" r:id="rId4"/>
    <sheet name="ANEXO 1. VALOR 2026 (1 MES)" sheetId="17" r:id="rId5"/>
    <sheet name="ANEXO 1.1.VALOR 2027 (12 MESES)" sheetId="23" r:id="rId6"/>
    <sheet name="ANEXO 1.2.VALOR 2028 (11 MESES)" sheetId="25" r:id="rId7"/>
    <sheet name="ANEXO 2 HIST VS. COTIZ MEDIOS" sheetId="32" r:id="rId8"/>
    <sheet name="ANEXO 3 CONSOLIDADO" sheetId="28" r:id="rId9"/>
  </sheets>
  <definedNames>
    <definedName name="_xlnm._FilterDatabase" localSheetId="7" hidden="1">'ANEXO 2 HIST VS. COTIZ MEDIOS'!#REF!</definedName>
    <definedName name="_xlnm.Print_Area" localSheetId="8">'ANEXO 3 CONSOLIDADO'!$A$1:$I$23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28" l="1"/>
  <c r="D7" i="28"/>
  <c r="C7" i="28"/>
  <c r="P90" i="32"/>
  <c r="R88" i="32"/>
  <c r="J87" i="32"/>
  <c r="M87" i="32" s="1"/>
  <c r="N87" i="32" s="1"/>
  <c r="O87" i="32" s="1"/>
  <c r="P87" i="32" s="1"/>
  <c r="Q87" i="32" s="1"/>
  <c r="S87" i="32" s="1"/>
  <c r="H87" i="32"/>
  <c r="G87" i="32"/>
  <c r="P86" i="32"/>
  <c r="Q86" i="32" s="1"/>
  <c r="S86" i="32" s="1"/>
  <c r="J86" i="32"/>
  <c r="M86" i="32" s="1"/>
  <c r="N86" i="32" s="1"/>
  <c r="H86" i="32"/>
  <c r="G86" i="32"/>
  <c r="J85" i="32"/>
  <c r="M85" i="32" s="1"/>
  <c r="N85" i="32" s="1"/>
  <c r="O85" i="32" s="1"/>
  <c r="P85" i="32" s="1"/>
  <c r="Q85" i="32" s="1"/>
  <c r="S85" i="32" s="1"/>
  <c r="H85" i="32"/>
  <c r="G85" i="32"/>
  <c r="Q84" i="32"/>
  <c r="S84" i="32" s="1"/>
  <c r="P84" i="32"/>
  <c r="J84" i="32"/>
  <c r="M84" i="32" s="1"/>
  <c r="N84" i="32" s="1"/>
  <c r="H84" i="32"/>
  <c r="G84" i="32"/>
  <c r="M83" i="32"/>
  <c r="N83" i="32" s="1"/>
  <c r="O83" i="32" s="1"/>
  <c r="P83" i="32" s="1"/>
  <c r="Q83" i="32" s="1"/>
  <c r="S83" i="32" s="1"/>
  <c r="J83" i="32"/>
  <c r="H83" i="32"/>
  <c r="G83" i="32"/>
  <c r="S82" i="32"/>
  <c r="N82" i="32"/>
  <c r="O82" i="32" s="1"/>
  <c r="P82" i="32" s="1"/>
  <c r="Q82" i="32" s="1"/>
  <c r="M82" i="32"/>
  <c r="J82" i="32"/>
  <c r="G82" i="32"/>
  <c r="H82" i="32" s="1"/>
  <c r="O81" i="32"/>
  <c r="P81" i="32" s="1"/>
  <c r="Q81" i="32" s="1"/>
  <c r="S81" i="32" s="1"/>
  <c r="N81" i="32"/>
  <c r="M81" i="32"/>
  <c r="J81" i="32"/>
  <c r="H81" i="32"/>
  <c r="G81" i="32"/>
  <c r="J80" i="32"/>
  <c r="M80" i="32" s="1"/>
  <c r="N80" i="32" s="1"/>
  <c r="O80" i="32" s="1"/>
  <c r="P80" i="32" s="1"/>
  <c r="Q80" i="32" s="1"/>
  <c r="S80" i="32" s="1"/>
  <c r="H80" i="32"/>
  <c r="G80" i="32"/>
  <c r="M79" i="32"/>
  <c r="N79" i="32" s="1"/>
  <c r="O79" i="32" s="1"/>
  <c r="P79" i="32" s="1"/>
  <c r="Q79" i="32" s="1"/>
  <c r="S79" i="32" s="1"/>
  <c r="J79" i="32"/>
  <c r="H79" i="32"/>
  <c r="G79" i="32"/>
  <c r="S78" i="32"/>
  <c r="N78" i="32"/>
  <c r="O78" i="32" s="1"/>
  <c r="P78" i="32" s="1"/>
  <c r="Q78" i="32" s="1"/>
  <c r="M78" i="32"/>
  <c r="J78" i="32"/>
  <c r="G78" i="32"/>
  <c r="H78" i="32" s="1"/>
  <c r="O77" i="32"/>
  <c r="P77" i="32" s="1"/>
  <c r="Q77" i="32" s="1"/>
  <c r="S77" i="32" s="1"/>
  <c r="N77" i="32"/>
  <c r="M77" i="32"/>
  <c r="J77" i="32"/>
  <c r="H77" i="32"/>
  <c r="G77" i="32"/>
  <c r="J76" i="32"/>
  <c r="M76" i="32" s="1"/>
  <c r="N76" i="32" s="1"/>
  <c r="O76" i="32" s="1"/>
  <c r="P76" i="32" s="1"/>
  <c r="Q76" i="32" s="1"/>
  <c r="S76" i="32" s="1"/>
  <c r="H76" i="32"/>
  <c r="G76" i="32"/>
  <c r="M75" i="32"/>
  <c r="N75" i="32" s="1"/>
  <c r="O75" i="32" s="1"/>
  <c r="P75" i="32" s="1"/>
  <c r="Q75" i="32" s="1"/>
  <c r="S75" i="32" s="1"/>
  <c r="J75" i="32"/>
  <c r="H75" i="32"/>
  <c r="G75" i="32"/>
  <c r="S74" i="32"/>
  <c r="N74" i="32"/>
  <c r="O74" i="32" s="1"/>
  <c r="P74" i="32" s="1"/>
  <c r="Q74" i="32" s="1"/>
  <c r="M74" i="32"/>
  <c r="J74" i="32"/>
  <c r="G74" i="32"/>
  <c r="H74" i="32" s="1"/>
  <c r="O73" i="32"/>
  <c r="P73" i="32" s="1"/>
  <c r="Q73" i="32" s="1"/>
  <c r="S73" i="32" s="1"/>
  <c r="N73" i="32"/>
  <c r="M73" i="32"/>
  <c r="J73" i="32"/>
  <c r="H73" i="32"/>
  <c r="G73" i="32"/>
  <c r="J72" i="32"/>
  <c r="M72" i="32" s="1"/>
  <c r="N72" i="32" s="1"/>
  <c r="O72" i="32" s="1"/>
  <c r="P72" i="32" s="1"/>
  <c r="Q72" i="32" s="1"/>
  <c r="H72" i="32"/>
  <c r="G72" i="32"/>
  <c r="R70" i="32"/>
  <c r="P69" i="32"/>
  <c r="Q69" i="32" s="1"/>
  <c r="S69" i="32" s="1"/>
  <c r="J69" i="32"/>
  <c r="M69" i="32" s="1"/>
  <c r="N69" i="32" s="1"/>
  <c r="O69" i="32" s="1"/>
  <c r="H69" i="32"/>
  <c r="G69" i="32"/>
  <c r="Q68" i="32"/>
  <c r="S68" i="32" s="1"/>
  <c r="M68" i="32"/>
  <c r="N68" i="32" s="1"/>
  <c r="O68" i="32" s="1"/>
  <c r="P68" i="32" s="1"/>
  <c r="J68" i="32"/>
  <c r="H68" i="32"/>
  <c r="G68" i="32"/>
  <c r="S67" i="32"/>
  <c r="Q67" i="32"/>
  <c r="P67" i="32"/>
  <c r="M67" i="32"/>
  <c r="N67" i="32" s="1"/>
  <c r="J67" i="32"/>
  <c r="H67" i="32"/>
  <c r="G67" i="32"/>
  <c r="S66" i="32"/>
  <c r="N66" i="32"/>
  <c r="O66" i="32" s="1"/>
  <c r="P66" i="32" s="1"/>
  <c r="Q66" i="32" s="1"/>
  <c r="M66" i="32"/>
  <c r="J66" i="32"/>
  <c r="G66" i="32"/>
  <c r="H66" i="32" s="1"/>
  <c r="S65" i="32"/>
  <c r="Q65" i="32"/>
  <c r="P65" i="32"/>
  <c r="N65" i="32"/>
  <c r="M65" i="32"/>
  <c r="J65" i="32"/>
  <c r="G65" i="32"/>
  <c r="H65" i="32" s="1"/>
  <c r="O64" i="32"/>
  <c r="P64" i="32" s="1"/>
  <c r="Q64" i="32" s="1"/>
  <c r="S64" i="32" s="1"/>
  <c r="N64" i="32"/>
  <c r="M64" i="32"/>
  <c r="J64" i="32"/>
  <c r="H64" i="32"/>
  <c r="G64" i="32"/>
  <c r="J63" i="32"/>
  <c r="M63" i="32" s="1"/>
  <c r="N63" i="32" s="1"/>
  <c r="O63" i="32" s="1"/>
  <c r="P63" i="32" s="1"/>
  <c r="Q63" i="32" s="1"/>
  <c r="S63" i="32" s="1"/>
  <c r="H63" i="32"/>
  <c r="G63" i="32"/>
  <c r="M62" i="32"/>
  <c r="N62" i="32" s="1"/>
  <c r="O62" i="32" s="1"/>
  <c r="P62" i="32" s="1"/>
  <c r="Q62" i="32" s="1"/>
  <c r="S62" i="32" s="1"/>
  <c r="J62" i="32"/>
  <c r="H62" i="32"/>
  <c r="G62" i="32"/>
  <c r="N61" i="32"/>
  <c r="O61" i="32" s="1"/>
  <c r="P61" i="32" s="1"/>
  <c r="Q61" i="32" s="1"/>
  <c r="S61" i="32" s="1"/>
  <c r="M61" i="32"/>
  <c r="J61" i="32"/>
  <c r="G61" i="32"/>
  <c r="H61" i="32" s="1"/>
  <c r="O60" i="32"/>
  <c r="P60" i="32" s="1"/>
  <c r="Q60" i="32" s="1"/>
  <c r="S60" i="32" s="1"/>
  <c r="N60" i="32"/>
  <c r="M60" i="32"/>
  <c r="J60" i="32"/>
  <c r="H60" i="32"/>
  <c r="G60" i="32"/>
  <c r="J59" i="32"/>
  <c r="M59" i="32" s="1"/>
  <c r="N59" i="32" s="1"/>
  <c r="O59" i="32" s="1"/>
  <c r="P59" i="32" s="1"/>
  <c r="Q59" i="32" s="1"/>
  <c r="S59" i="32" s="1"/>
  <c r="H59" i="32"/>
  <c r="G59" i="32"/>
  <c r="M58" i="32"/>
  <c r="N58" i="32" s="1"/>
  <c r="O58" i="32" s="1"/>
  <c r="P58" i="32" s="1"/>
  <c r="Q58" i="32" s="1"/>
  <c r="S58" i="32" s="1"/>
  <c r="J58" i="32"/>
  <c r="H58" i="32"/>
  <c r="G58" i="32"/>
  <c r="N57" i="32"/>
  <c r="O57" i="32" s="1"/>
  <c r="P57" i="32" s="1"/>
  <c r="Q57" i="32" s="1"/>
  <c r="S57" i="32" s="1"/>
  <c r="M57" i="32"/>
  <c r="J57" i="32"/>
  <c r="G57" i="32"/>
  <c r="H57" i="32" s="1"/>
  <c r="O56" i="32"/>
  <c r="P56" i="32" s="1"/>
  <c r="Q56" i="32" s="1"/>
  <c r="S56" i="32" s="1"/>
  <c r="N56" i="32"/>
  <c r="M56" i="32"/>
  <c r="J56" i="32"/>
  <c r="H56" i="32"/>
  <c r="G56" i="32"/>
  <c r="J55" i="32"/>
  <c r="M55" i="32" s="1"/>
  <c r="N55" i="32" s="1"/>
  <c r="O55" i="32" s="1"/>
  <c r="P55" i="32" s="1"/>
  <c r="Q55" i="32" s="1"/>
  <c r="S55" i="32" s="1"/>
  <c r="H55" i="32"/>
  <c r="G55" i="32"/>
  <c r="M54" i="32"/>
  <c r="N54" i="32" s="1"/>
  <c r="O54" i="32" s="1"/>
  <c r="P54" i="32" s="1"/>
  <c r="Q54" i="32" s="1"/>
  <c r="J54" i="32"/>
  <c r="H54" i="32"/>
  <c r="G54" i="32"/>
  <c r="R52" i="32"/>
  <c r="Q51" i="32"/>
  <c r="S51" i="32" s="1"/>
  <c r="M51" i="32"/>
  <c r="N51" i="32" s="1"/>
  <c r="O51" i="32" s="1"/>
  <c r="P51" i="32" s="1"/>
  <c r="J51" i="32"/>
  <c r="H51" i="32"/>
  <c r="G51" i="32"/>
  <c r="N50" i="32"/>
  <c r="O50" i="32" s="1"/>
  <c r="P50" i="32" s="1"/>
  <c r="Q50" i="32" s="1"/>
  <c r="S50" i="32" s="1"/>
  <c r="M50" i="32"/>
  <c r="J50" i="32"/>
  <c r="G50" i="32"/>
  <c r="H50" i="32" s="1"/>
  <c r="O49" i="32"/>
  <c r="P49" i="32" s="1"/>
  <c r="Q49" i="32" s="1"/>
  <c r="S49" i="32" s="1"/>
  <c r="N49" i="32"/>
  <c r="M49" i="32"/>
  <c r="J49" i="32"/>
  <c r="H49" i="32"/>
  <c r="G49" i="32"/>
  <c r="P48" i="32"/>
  <c r="Q48" i="32" s="1"/>
  <c r="S48" i="32" s="1"/>
  <c r="J48" i="32"/>
  <c r="M48" i="32" s="1"/>
  <c r="N48" i="32" s="1"/>
  <c r="O48" i="32" s="1"/>
  <c r="H48" i="32"/>
  <c r="G48" i="32"/>
  <c r="Q47" i="32"/>
  <c r="S47" i="32" s="1"/>
  <c r="M47" i="32"/>
  <c r="N47" i="32" s="1"/>
  <c r="O47" i="32" s="1"/>
  <c r="P47" i="32" s="1"/>
  <c r="J47" i="32"/>
  <c r="H47" i="32"/>
  <c r="G47" i="32"/>
  <c r="N46" i="32"/>
  <c r="O46" i="32" s="1"/>
  <c r="P46" i="32" s="1"/>
  <c r="Q46" i="32" s="1"/>
  <c r="S46" i="32" s="1"/>
  <c r="M46" i="32"/>
  <c r="J46" i="32"/>
  <c r="G46" i="32"/>
  <c r="H46" i="32" s="1"/>
  <c r="O45" i="32"/>
  <c r="P45" i="32" s="1"/>
  <c r="Q45" i="32" s="1"/>
  <c r="S45" i="32" s="1"/>
  <c r="N45" i="32"/>
  <c r="M45" i="32"/>
  <c r="J45" i="32"/>
  <c r="H45" i="32"/>
  <c r="G45" i="32"/>
  <c r="J44" i="32"/>
  <c r="M44" i="32" s="1"/>
  <c r="N44" i="32" s="1"/>
  <c r="O44" i="32" s="1"/>
  <c r="P44" i="32" s="1"/>
  <c r="Q44" i="32" s="1"/>
  <c r="S44" i="32" s="1"/>
  <c r="H44" i="32"/>
  <c r="G44" i="32"/>
  <c r="M43" i="32"/>
  <c r="N43" i="32" s="1"/>
  <c r="O43" i="32" s="1"/>
  <c r="P43" i="32" s="1"/>
  <c r="Q43" i="32" s="1"/>
  <c r="S43" i="32" s="1"/>
  <c r="J43" i="32"/>
  <c r="H43" i="32"/>
  <c r="G43" i="32"/>
  <c r="M42" i="32"/>
  <c r="N42" i="32" s="1"/>
  <c r="O42" i="32" s="1"/>
  <c r="P42" i="32" s="1"/>
  <c r="Q42" i="32" s="1"/>
  <c r="S42" i="32" s="1"/>
  <c r="J42" i="32"/>
  <c r="G42" i="32"/>
  <c r="H42" i="32" s="1"/>
  <c r="N41" i="32"/>
  <c r="O41" i="32" s="1"/>
  <c r="P41" i="32" s="1"/>
  <c r="Q41" i="32" s="1"/>
  <c r="M41" i="32"/>
  <c r="J41" i="32"/>
  <c r="G41" i="32"/>
  <c r="H41" i="32" s="1"/>
  <c r="R39" i="32"/>
  <c r="O38" i="32"/>
  <c r="P38" i="32" s="1"/>
  <c r="Q38" i="32" s="1"/>
  <c r="S38" i="32" s="1"/>
  <c r="N38" i="32"/>
  <c r="J38" i="32"/>
  <c r="M38" i="32" s="1"/>
  <c r="G38" i="32"/>
  <c r="H38" i="32" s="1"/>
  <c r="J37" i="32"/>
  <c r="M37" i="32" s="1"/>
  <c r="N37" i="32" s="1"/>
  <c r="O37" i="32" s="1"/>
  <c r="P37" i="32" s="1"/>
  <c r="Q37" i="32" s="1"/>
  <c r="S37" i="32" s="1"/>
  <c r="H37" i="32"/>
  <c r="G37" i="32"/>
  <c r="M36" i="32"/>
  <c r="N36" i="32" s="1"/>
  <c r="O36" i="32" s="1"/>
  <c r="P36" i="32" s="1"/>
  <c r="Q36" i="32" s="1"/>
  <c r="S36" i="32" s="1"/>
  <c r="J36" i="32"/>
  <c r="H36" i="32"/>
  <c r="G36" i="32"/>
  <c r="M35" i="32"/>
  <c r="N35" i="32" s="1"/>
  <c r="O35" i="32" s="1"/>
  <c r="P35" i="32" s="1"/>
  <c r="Q35" i="32" s="1"/>
  <c r="S35" i="32" s="1"/>
  <c r="J35" i="32"/>
  <c r="G35" i="32"/>
  <c r="H35" i="32" s="1"/>
  <c r="N34" i="32"/>
  <c r="O34" i="32" s="1"/>
  <c r="P34" i="32" s="1"/>
  <c r="Q34" i="32" s="1"/>
  <c r="S34" i="32" s="1"/>
  <c r="M34" i="32"/>
  <c r="J34" i="32"/>
  <c r="G34" i="32"/>
  <c r="H34" i="32" s="1"/>
  <c r="M33" i="32"/>
  <c r="N33" i="32" s="1"/>
  <c r="O33" i="32" s="1"/>
  <c r="P33" i="32" s="1"/>
  <c r="Q33" i="32" s="1"/>
  <c r="S33" i="32" s="1"/>
  <c r="J33" i="32"/>
  <c r="G33" i="32"/>
  <c r="H33" i="32" s="1"/>
  <c r="N32" i="32"/>
  <c r="O32" i="32" s="1"/>
  <c r="P32" i="32" s="1"/>
  <c r="Q32" i="32" s="1"/>
  <c r="S32" i="32" s="1"/>
  <c r="M32" i="32"/>
  <c r="J32" i="32"/>
  <c r="G32" i="32"/>
  <c r="H32" i="32" s="1"/>
  <c r="J31" i="32"/>
  <c r="M31" i="32" s="1"/>
  <c r="N31" i="32" s="1"/>
  <c r="O31" i="32" s="1"/>
  <c r="P31" i="32" s="1"/>
  <c r="Q31" i="32" s="1"/>
  <c r="S31" i="32" s="1"/>
  <c r="H31" i="32"/>
  <c r="G31" i="32"/>
  <c r="J30" i="32"/>
  <c r="M30" i="32" s="1"/>
  <c r="N30" i="32" s="1"/>
  <c r="O30" i="32" s="1"/>
  <c r="P30" i="32" s="1"/>
  <c r="Q30" i="32" s="1"/>
  <c r="S30" i="32" s="1"/>
  <c r="H30" i="32"/>
  <c r="G30" i="32"/>
  <c r="M29" i="32"/>
  <c r="N29" i="32" s="1"/>
  <c r="O29" i="32" s="1"/>
  <c r="P29" i="32" s="1"/>
  <c r="Q29" i="32" s="1"/>
  <c r="S29" i="32" s="1"/>
  <c r="J29" i="32"/>
  <c r="G29" i="32"/>
  <c r="H29" i="32" s="1"/>
  <c r="N28" i="32"/>
  <c r="O28" i="32" s="1"/>
  <c r="P28" i="32" s="1"/>
  <c r="Q28" i="32" s="1"/>
  <c r="S28" i="32" s="1"/>
  <c r="M28" i="32"/>
  <c r="J28" i="32"/>
  <c r="G28" i="32"/>
  <c r="H28" i="32" s="1"/>
  <c r="J27" i="32"/>
  <c r="M27" i="32" s="1"/>
  <c r="N27" i="32" s="1"/>
  <c r="O27" i="32" s="1"/>
  <c r="P27" i="32" s="1"/>
  <c r="Q27" i="32" s="1"/>
  <c r="S27" i="32" s="1"/>
  <c r="H27" i="32"/>
  <c r="G27" i="32"/>
  <c r="J26" i="32"/>
  <c r="M26" i="32" s="1"/>
  <c r="N26" i="32" s="1"/>
  <c r="O26" i="32" s="1"/>
  <c r="P26" i="32" s="1"/>
  <c r="Q26" i="32" s="1"/>
  <c r="H26" i="32"/>
  <c r="G26" i="32"/>
  <c r="R24" i="32"/>
  <c r="J23" i="32"/>
  <c r="M23" i="32" s="1"/>
  <c r="N23" i="32" s="1"/>
  <c r="O23" i="32" s="1"/>
  <c r="P23" i="32" s="1"/>
  <c r="Q23" i="32" s="1"/>
  <c r="S23" i="32" s="1"/>
  <c r="H23" i="32"/>
  <c r="G23" i="32"/>
  <c r="Q22" i="32"/>
  <c r="S22" i="32" s="1"/>
  <c r="P22" i="32"/>
  <c r="J22" i="32"/>
  <c r="M22" i="32" s="1"/>
  <c r="N22" i="32" s="1"/>
  <c r="H22" i="32"/>
  <c r="G22" i="32"/>
  <c r="M21" i="32"/>
  <c r="N21" i="32" s="1"/>
  <c r="O21" i="32" s="1"/>
  <c r="P21" i="32" s="1"/>
  <c r="Q21" i="32" s="1"/>
  <c r="S21" i="32" s="1"/>
  <c r="J21" i="32"/>
  <c r="G21" i="32"/>
  <c r="H21" i="32" s="1"/>
  <c r="S20" i="32"/>
  <c r="Q20" i="32"/>
  <c r="P20" i="32"/>
  <c r="M20" i="32"/>
  <c r="N20" i="32" s="1"/>
  <c r="J20" i="32"/>
  <c r="G20" i="32"/>
  <c r="H20" i="32" s="1"/>
  <c r="N19" i="32"/>
  <c r="O19" i="32" s="1"/>
  <c r="P19" i="32" s="1"/>
  <c r="Q19" i="32" s="1"/>
  <c r="S19" i="32" s="1"/>
  <c r="M19" i="32"/>
  <c r="J19" i="32"/>
  <c r="G19" i="32"/>
  <c r="H19" i="32" s="1"/>
  <c r="J18" i="32"/>
  <c r="M18" i="32" s="1"/>
  <c r="N18" i="32" s="1"/>
  <c r="O18" i="32" s="1"/>
  <c r="P18" i="32" s="1"/>
  <c r="Q18" i="32" s="1"/>
  <c r="S18" i="32" s="1"/>
  <c r="H18" i="32"/>
  <c r="G18" i="32"/>
  <c r="J17" i="32"/>
  <c r="M17" i="32" s="1"/>
  <c r="N17" i="32" s="1"/>
  <c r="O17" i="32" s="1"/>
  <c r="P17" i="32" s="1"/>
  <c r="Q17" i="32" s="1"/>
  <c r="S17" i="32" s="1"/>
  <c r="H17" i="32"/>
  <c r="G17" i="32"/>
  <c r="M16" i="32"/>
  <c r="N16" i="32" s="1"/>
  <c r="O16" i="32" s="1"/>
  <c r="P16" i="32" s="1"/>
  <c r="Q16" i="32" s="1"/>
  <c r="S16" i="32" s="1"/>
  <c r="J16" i="32"/>
  <c r="G16" i="32"/>
  <c r="H16" i="32" s="1"/>
  <c r="N15" i="32"/>
  <c r="O15" i="32" s="1"/>
  <c r="P15" i="32" s="1"/>
  <c r="Q15" i="32" s="1"/>
  <c r="S15" i="32" s="1"/>
  <c r="M15" i="32"/>
  <c r="J15" i="32"/>
  <c r="G15" i="32"/>
  <c r="H15" i="32" s="1"/>
  <c r="J14" i="32"/>
  <c r="M14" i="32" s="1"/>
  <c r="N14" i="32" s="1"/>
  <c r="O14" i="32" s="1"/>
  <c r="P14" i="32" s="1"/>
  <c r="Q14" i="32" s="1"/>
  <c r="S14" i="32" s="1"/>
  <c r="H14" i="32"/>
  <c r="G14" i="32"/>
  <c r="J13" i="32"/>
  <c r="M13" i="32" s="1"/>
  <c r="N13" i="32" s="1"/>
  <c r="O13" i="32" s="1"/>
  <c r="P13" i="32" s="1"/>
  <c r="Q13" i="32" s="1"/>
  <c r="S13" i="32" s="1"/>
  <c r="H13" i="32"/>
  <c r="G13" i="32"/>
  <c r="M12" i="32"/>
  <c r="N12" i="32" s="1"/>
  <c r="O12" i="32" s="1"/>
  <c r="P12" i="32" s="1"/>
  <c r="Q12" i="32" s="1"/>
  <c r="S12" i="32" s="1"/>
  <c r="J12" i="32"/>
  <c r="G12" i="32"/>
  <c r="H12" i="32" s="1"/>
  <c r="N11" i="32"/>
  <c r="O11" i="32" s="1"/>
  <c r="P11" i="32" s="1"/>
  <c r="Q11" i="32" s="1"/>
  <c r="S11" i="32" s="1"/>
  <c r="M11" i="32"/>
  <c r="J11" i="32"/>
  <c r="G11" i="32"/>
  <c r="H11" i="32" s="1"/>
  <c r="O10" i="32"/>
  <c r="P10" i="32" s="1"/>
  <c r="Q10" i="32" s="1"/>
  <c r="S10" i="32" s="1"/>
  <c r="J10" i="32"/>
  <c r="M10" i="32" s="1"/>
  <c r="N10" i="32" s="1"/>
  <c r="H10" i="32"/>
  <c r="G10" i="32"/>
  <c r="P9" i="32"/>
  <c r="Q9" i="32" s="1"/>
  <c r="S9" i="32" s="1"/>
  <c r="J9" i="32"/>
  <c r="M9" i="32" s="1"/>
  <c r="N9" i="32" s="1"/>
  <c r="O9" i="32" s="1"/>
  <c r="H9" i="32"/>
  <c r="G9" i="32"/>
  <c r="Q8" i="32"/>
  <c r="M8" i="32"/>
  <c r="N8" i="32" s="1"/>
  <c r="O8" i="32" s="1"/>
  <c r="P8" i="32" s="1"/>
  <c r="J8" i="32"/>
  <c r="G8" i="32"/>
  <c r="H8" i="32" s="1"/>
  <c r="Q24" i="32" l="1"/>
  <c r="S8" i="32"/>
  <c r="S24" i="32" s="1"/>
  <c r="Q39" i="32"/>
  <c r="S26" i="32"/>
  <c r="S39" i="32" s="1"/>
  <c r="Q70" i="32"/>
  <c r="S54" i="32"/>
  <c r="S70" i="32" s="1"/>
  <c r="Q52" i="32"/>
  <c r="S41" i="32"/>
  <c r="S52" i="32" s="1"/>
  <c r="S72" i="32"/>
  <c r="S88" i="32" s="1"/>
  <c r="Q88" i="32"/>
  <c r="Q90" i="32" s="1"/>
  <c r="R90" i="32"/>
  <c r="S90" i="32" l="1"/>
  <c r="S92" i="32" s="1"/>
  <c r="S94" i="32" s="1"/>
  <c r="S96" i="32" l="1"/>
  <c r="S95" i="32"/>
  <c r="S97" i="32" l="1"/>
  <c r="K54" i="25" l="1"/>
  <c r="D16" i="25"/>
  <c r="E16" i="25" s="1"/>
  <c r="D17" i="25"/>
  <c r="E17" i="25"/>
  <c r="D18" i="25"/>
  <c r="E18" i="25" s="1"/>
  <c r="D19" i="25"/>
  <c r="E19" i="25" s="1"/>
  <c r="D20" i="25"/>
  <c r="E20" i="25" s="1"/>
  <c r="D21" i="25"/>
  <c r="E21" i="25" s="1"/>
  <c r="D34" i="23"/>
  <c r="E34" i="23" s="1"/>
  <c r="D35" i="23"/>
  <c r="E35" i="23" s="1"/>
  <c r="D36" i="23"/>
  <c r="E36" i="23" s="1"/>
  <c r="D37" i="23"/>
  <c r="E37" i="23" s="1"/>
  <c r="D38" i="23"/>
  <c r="E38" i="23" s="1"/>
  <c r="D39" i="23"/>
  <c r="E39" i="23"/>
  <c r="K85" i="23"/>
  <c r="D22" i="23"/>
  <c r="E22" i="23" s="1"/>
  <c r="D23" i="23"/>
  <c r="E23" i="23" s="1"/>
  <c r="D24" i="23"/>
  <c r="E24" i="23" s="1"/>
  <c r="D25" i="23"/>
  <c r="E25" i="23" s="1"/>
  <c r="D26" i="23"/>
  <c r="E26" i="23" s="1"/>
  <c r="D27" i="23"/>
  <c r="E27" i="23" s="1"/>
  <c r="K72" i="23"/>
  <c r="D15" i="17"/>
  <c r="E15" i="17" s="1"/>
  <c r="D16" i="17"/>
  <c r="E16" i="17" s="1"/>
  <c r="D17" i="17"/>
  <c r="E17" i="17" s="1"/>
  <c r="D18" i="17"/>
  <c r="E18" i="17" s="1"/>
  <c r="D19" i="17"/>
  <c r="E19" i="17" s="1"/>
  <c r="D20" i="17"/>
  <c r="E20" i="17" s="1"/>
  <c r="K53" i="17"/>
  <c r="D5" i="25" l="1"/>
  <c r="D11" i="23"/>
  <c r="D5" i="23"/>
  <c r="D13" i="23" l="1"/>
  <c r="D15" i="23" s="1"/>
  <c r="D7" i="23"/>
  <c r="D79" i="23" l="1"/>
  <c r="D82" i="23"/>
  <c r="G82" i="23" s="1"/>
  <c r="H82" i="23" s="1"/>
  <c r="I82" i="23" s="1"/>
  <c r="J82" i="23" s="1"/>
  <c r="L82" i="23" s="1"/>
  <c r="D83" i="23"/>
  <c r="D80" i="23"/>
  <c r="D81" i="23"/>
  <c r="D84" i="23"/>
  <c r="G81" i="23"/>
  <c r="H81" i="23" s="1"/>
  <c r="B32" i="23"/>
  <c r="D77" i="23" s="1"/>
  <c r="G84" i="23"/>
  <c r="H84" i="23" s="1"/>
  <c r="G80" i="23"/>
  <c r="H80" i="23" s="1"/>
  <c r="B33" i="23"/>
  <c r="D7" i="17"/>
  <c r="D9" i="17" s="1"/>
  <c r="D32" i="23" l="1"/>
  <c r="D48" i="17"/>
  <c r="D50" i="17"/>
  <c r="D51" i="17"/>
  <c r="G51" i="17" s="1"/>
  <c r="H51" i="17" s="1"/>
  <c r="I51" i="17" s="1"/>
  <c r="J51" i="17" s="1"/>
  <c r="L51" i="17" s="1"/>
  <c r="D47" i="17"/>
  <c r="G47" i="17" s="1"/>
  <c r="D46" i="17"/>
  <c r="D49" i="17"/>
  <c r="G83" i="23"/>
  <c r="H83" i="23" s="1"/>
  <c r="I81" i="23"/>
  <c r="J81" i="23" s="1"/>
  <c r="L81" i="23" s="1"/>
  <c r="I84" i="23"/>
  <c r="J84" i="23" s="1"/>
  <c r="L84" i="23" s="1"/>
  <c r="D33" i="23"/>
  <c r="E33" i="23" s="1"/>
  <c r="D78" i="23"/>
  <c r="G78" i="23" s="1"/>
  <c r="H78" i="23" s="1"/>
  <c r="I78" i="23" s="1"/>
  <c r="J78" i="23" s="1"/>
  <c r="L78" i="23" s="1"/>
  <c r="G77" i="23"/>
  <c r="H77" i="23" s="1"/>
  <c r="I77" i="23" s="1"/>
  <c r="J77" i="23" s="1"/>
  <c r="L77" i="23" s="1"/>
  <c r="G79" i="23"/>
  <c r="H79" i="23" s="1"/>
  <c r="I79" i="23" s="1"/>
  <c r="J79" i="23" s="1"/>
  <c r="L79" i="23" s="1"/>
  <c r="G50" i="17"/>
  <c r="H50" i="17" s="1"/>
  <c r="I50" i="17" s="1"/>
  <c r="J50" i="17" s="1"/>
  <c r="L50" i="17" s="1"/>
  <c r="G49" i="17"/>
  <c r="H49" i="17" s="1"/>
  <c r="B14" i="17"/>
  <c r="D14" i="17" s="1"/>
  <c r="G48" i="17"/>
  <c r="H48" i="17" s="1"/>
  <c r="I48" i="17" s="1"/>
  <c r="J48" i="17" s="1"/>
  <c r="L48" i="17" s="1"/>
  <c r="E32" i="23"/>
  <c r="I80" i="23"/>
  <c r="J80" i="23" s="1"/>
  <c r="L80" i="23" s="1"/>
  <c r="B13" i="17"/>
  <c r="D45" i="17" s="1"/>
  <c r="I83" i="23" l="1"/>
  <c r="J83" i="23" s="1"/>
  <c r="L83" i="23" s="1"/>
  <c r="L85" i="23" s="1"/>
  <c r="I49" i="17"/>
  <c r="J49" i="17" s="1"/>
  <c r="L49" i="17" s="1"/>
  <c r="D13" i="17"/>
  <c r="D44" i="17"/>
  <c r="G44" i="17" s="1"/>
  <c r="H47" i="17"/>
  <c r="H44" i="17" l="1"/>
  <c r="I44" i="17" l="1"/>
  <c r="J44" i="17" s="1"/>
  <c r="L44" i="17" s="1"/>
  <c r="D7" i="25" l="1"/>
  <c r="D9" i="25" l="1"/>
  <c r="D9" i="23"/>
  <c r="D48" i="25" l="1"/>
  <c r="D51" i="25"/>
  <c r="D47" i="25"/>
  <c r="D50" i="25"/>
  <c r="D52" i="25"/>
  <c r="D49" i="25"/>
  <c r="D71" i="23"/>
  <c r="D68" i="23"/>
  <c r="D70" i="23"/>
  <c r="G70" i="23" s="1"/>
  <c r="H70" i="23" s="1"/>
  <c r="I70" i="23" s="1"/>
  <c r="J70" i="23" s="1"/>
  <c r="L70" i="23" s="1"/>
  <c r="D66" i="23"/>
  <c r="D69" i="23"/>
  <c r="G68" i="23"/>
  <c r="H68" i="23" s="1"/>
  <c r="I68" i="23" s="1"/>
  <c r="J68" i="23" s="1"/>
  <c r="L68" i="23" s="1"/>
  <c r="G71" i="23"/>
  <c r="H71" i="23" s="1"/>
  <c r="I71" i="23" s="1"/>
  <c r="J71" i="23" s="1"/>
  <c r="L71" i="23" s="1"/>
  <c r="D67" i="23"/>
  <c r="G67" i="23" s="1"/>
  <c r="G69" i="23"/>
  <c r="H69" i="23" s="1"/>
  <c r="B21" i="23"/>
  <c r="D65" i="23" s="1"/>
  <c r="B20" i="23"/>
  <c r="B15" i="25"/>
  <c r="D46" i="25" s="1"/>
  <c r="B14" i="25"/>
  <c r="G50" i="25" l="1"/>
  <c r="H50" i="25" s="1"/>
  <c r="G49" i="25"/>
  <c r="H49" i="25"/>
  <c r="I49" i="25" s="1"/>
  <c r="J49" i="25" s="1"/>
  <c r="L49" i="25" s="1"/>
  <c r="G51" i="25"/>
  <c r="H51" i="25" s="1"/>
  <c r="I51" i="25" s="1"/>
  <c r="J51" i="25" s="1"/>
  <c r="L51" i="25" s="1"/>
  <c r="G52" i="25"/>
  <c r="H52" i="25" s="1"/>
  <c r="I69" i="23"/>
  <c r="J69" i="23" s="1"/>
  <c r="L69" i="23" s="1"/>
  <c r="D20" i="23"/>
  <c r="D64" i="23"/>
  <c r="H67" i="23"/>
  <c r="I67" i="23" s="1"/>
  <c r="J67" i="23" s="1"/>
  <c r="L67" i="23" s="1"/>
  <c r="I52" i="25" l="1"/>
  <c r="J52" i="25"/>
  <c r="L52" i="25" s="1"/>
  <c r="I50" i="25"/>
  <c r="J50" i="25"/>
  <c r="L50" i="25" s="1"/>
  <c r="F7" i="28"/>
  <c r="A9" i="3"/>
  <c r="A7" i="3"/>
  <c r="C8" i="2"/>
  <c r="A11" i="3" s="1"/>
  <c r="C7" i="2"/>
  <c r="C6" i="2"/>
  <c r="AB2" i="10"/>
  <c r="C2" i="10" s="1"/>
  <c r="Y2" i="10"/>
  <c r="D45" i="25" l="1"/>
  <c r="D14" i="25"/>
  <c r="E14" i="25" s="1"/>
  <c r="G45" i="25" l="1"/>
  <c r="H45" i="25" s="1"/>
  <c r="G48" i="25"/>
  <c r="H48" i="25" s="1"/>
  <c r="G46" i="25"/>
  <c r="H46" i="25" s="1"/>
  <c r="D21" i="23"/>
  <c r="E21" i="23" s="1"/>
  <c r="D15" i="25"/>
  <c r="E15" i="25" s="1"/>
  <c r="G64" i="23"/>
  <c r="E20" i="23"/>
  <c r="E14" i="17"/>
  <c r="G45" i="17"/>
  <c r="E13" i="17"/>
  <c r="G46" i="17"/>
  <c r="I48" i="25" l="1"/>
  <c r="J48" i="25" s="1"/>
  <c r="L48" i="25" s="1"/>
  <c r="I46" i="25"/>
  <c r="J46" i="25" s="1"/>
  <c r="L46" i="25" s="1"/>
  <c r="I45" i="25"/>
  <c r="J45" i="25" s="1"/>
  <c r="L45" i="25" s="1"/>
  <c r="G47" i="25"/>
  <c r="H47" i="25" s="1"/>
  <c r="G66" i="23"/>
  <c r="H66" i="23" s="1"/>
  <c r="G65" i="23"/>
  <c r="H65" i="23" s="1"/>
  <c r="H64" i="23"/>
  <c r="I47" i="17"/>
  <c r="J47" i="17" s="1"/>
  <c r="L47" i="17" s="1"/>
  <c r="H45" i="17"/>
  <c r="H46" i="17"/>
  <c r="I47" i="25" l="1"/>
  <c r="J47" i="25" s="1"/>
  <c r="L47" i="25" s="1"/>
  <c r="L54" i="25" s="1"/>
  <c r="I64" i="23"/>
  <c r="J64" i="23" s="1"/>
  <c r="L64" i="23" s="1"/>
  <c r="I65" i="23"/>
  <c r="J65" i="23" s="1"/>
  <c r="L65" i="23" s="1"/>
  <c r="I66" i="23"/>
  <c r="J66" i="23" s="1"/>
  <c r="L66" i="23" s="1"/>
  <c r="I45" i="17"/>
  <c r="J45" i="17" s="1"/>
  <c r="L45" i="17" s="1"/>
  <c r="I46" i="17"/>
  <c r="J46" i="17" s="1"/>
  <c r="L46" i="17" s="1"/>
  <c r="L72" i="23" l="1"/>
  <c r="L87" i="23" s="1"/>
  <c r="L53" i="17"/>
  <c r="L55" i="17" s="1"/>
  <c r="E6" i="28"/>
  <c r="E8" i="28" s="1"/>
  <c r="C6" i="28" l="1"/>
  <c r="C8" i="28" s="1"/>
  <c r="D6" i="28"/>
  <c r="D8" i="28" s="1"/>
  <c r="F6" i="28" l="1"/>
  <c r="F8" i="28"/>
  <c r="F9" i="28" s="1"/>
</calcChain>
</file>

<file path=xl/sharedStrings.xml><?xml version="1.0" encoding="utf-8"?>
<sst xmlns="http://schemas.openxmlformats.org/spreadsheetml/2006/main" count="555" uniqueCount="244">
  <si>
    <t>ANEXO 1</t>
  </si>
  <si>
    <t>Apreciados Señores: De manera atenta la Fiscalía General de la Nación Nivel Central, requiere cotizar con ustedes lo siguiente: </t>
  </si>
  <si>
    <t xml:space="preserve">ITEM </t>
  </si>
  <si>
    <t>SOLICITUD COTIZACIÓN</t>
  </si>
  <si>
    <t>ADVERTENCIA</t>
  </si>
  <si>
    <r>
      <rPr>
        <sz val="11"/>
        <rFont val="Arial Narrow"/>
        <family val="2"/>
      </rP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</si>
  <si>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</si>
  <si>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</si>
  <si>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</si>
  <si>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</si>
  <si>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</si>
  <si>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</si>
  <si>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</si>
  <si>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</si>
  <si>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</si>
  <si>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</si>
  <si>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</si>
  <si>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</si>
  <si>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</si>
  <si>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</si>
  <si>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</si>
  <si>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</si>
  <si>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</si>
  <si>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</si>
  <si>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</si>
  <si>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family val="2"/>
      </rPr>
      <t>NOTA:</t>
    </r>
    <r>
      <rPr>
        <sz val="13"/>
        <rFont val="Arial Narrow"/>
        <family val="2"/>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</si>
  <si>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</si>
  <si>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</si>
  <si>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</si>
  <si>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</si>
  <si>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</si>
  <si>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No. Estudio</t>
  </si>
  <si>
    <t>DIA Y MES</t>
  </si>
  <si>
    <t>valor estudios previos</t>
  </si>
  <si>
    <t>Dependencia solicitante</t>
  </si>
  <si>
    <t>Destino</t>
  </si>
  <si>
    <t>Plazo de Ejecución</t>
  </si>
  <si>
    <t>No. COTIZACIONES</t>
  </si>
  <si>
    <t>No. COTIZACIONES LETRAS</t>
  </si>
  <si>
    <t>EMPRESA 1</t>
  </si>
  <si>
    <t>EMPRESA 2</t>
  </si>
  <si>
    <t>EMPRESA 3</t>
  </si>
  <si>
    <t>EMPRESA 4</t>
  </si>
  <si>
    <t>NUMERO DE EMPRESAS SECOP</t>
  </si>
  <si>
    <t>PROCESO HISTORICO ANALIZADO</t>
  </si>
  <si>
    <t>IPC INICIAL</t>
  </si>
  <si>
    <t>IPC FINAL</t>
  </si>
  <si>
    <t>OFERTAS DEL HISTORICO</t>
  </si>
  <si>
    <t>CONTRATISTA HISTORICO</t>
  </si>
  <si>
    <t>VALOR DEL CONTRATO</t>
  </si>
  <si>
    <t>TERMINO DE EJECUCION</t>
  </si>
  <si>
    <t>LINK</t>
  </si>
  <si>
    <t>MODALIAD DE CONTRATACION</t>
  </si>
  <si>
    <t>FECHA DE SUSCRIPCION DEL CONTRATO</t>
  </si>
  <si>
    <t>FECHA DE INICIO DEL CONTRATO</t>
  </si>
  <si>
    <t xml:space="preserve">V/R ESTUDIO </t>
  </si>
  <si>
    <t>BIEN O SERVICIO</t>
  </si>
  <si>
    <t>FORMULA UTILIZADA</t>
  </si>
  <si>
    <t>CODIGOS CUPS UTILIZADOS</t>
  </si>
  <si>
    <t>DESCRIPCION SEGMENTO</t>
  </si>
  <si>
    <t># EMPRESAS POTENCIALES</t>
  </si>
  <si>
    <t># DE EMPRESAS INTERESADAS</t>
  </si>
  <si>
    <t>Jefe Departamento de Seguridad y el Director Protección y Asistencia de la Fiscalía General de la Nación</t>
  </si>
  <si>
    <t>El contrato se ejecutará en los lugares relacionados en las “FICHA TÉCNICA DE BIENES Y SERVICIOS DE CARACTERÍSTICAS TÉCNICAS UNIFORMES Y DE COMÚN UTILIZACIÓN”, de cada una de las Regionales, anexas al presente proceso contractual.</t>
  </si>
  <si>
    <t>desde el 01 de diciembre de 2020 hasta el 31 de julio de 2022</t>
  </si>
  <si>
    <t>COLVISEG</t>
  </si>
  <si>
    <t xml:space="preserve">SEGURIDAD HORUS LTDA </t>
  </si>
  <si>
    <t>COSEQUIN LTDA</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</si>
  <si>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DEL NIVEL CENTRAL</t>
  </si>
  <si>
    <t>PROCESO FGN-IPSE-040-2018 NC</t>
  </si>
  <si>
    <t xml:space="preserve">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LAS DIFERENTES REGIONALES QUE CONFORMAN LA FISCALIA GENERAL DE LA NACIÓN- GRUPO 9: NIVEL CENTRAL
</t>
  </si>
  <si>
    <t>SU OPORTUNO SERVICIO LTDA.</t>
  </si>
  <si>
    <t>29,379,751,963</t>
  </si>
  <si>
    <t>60 DIAS</t>
  </si>
  <si>
    <t>https://www.contratos.gov.co/consultas/detalleProceso.do?numConstancia=18-9-449535</t>
  </si>
  <si>
    <t>SUBASTA INVERSA</t>
  </si>
  <si>
    <t>01  DE DICIEMBRE DE  2018</t>
  </si>
  <si>
    <t>BIENES</t>
  </si>
  <si>
    <t>PARA CALCULAR EL VALOR  QUE CORRESPONDE AL FACTOR HUMANO  SE EMPLEARON LOS VALORES ESTABLECIDOS POR LA SUPERINTENDENCIA DE VIGILANCIA Y SEGURIDAD  PARA EL AÑO 2020 SEGÚN CIRCULAR EXTERNA Nº 20201300000015  Y PARA EL FACTOR TECNOLOGICO SE EMPLEARON LOS VALORES DE REFERENCIA.</t>
  </si>
  <si>
    <t>IVA INCLUIDO Y TODOS LOS COSTOS DIRECTOS E INDIRECTOS</t>
  </si>
  <si>
    <t>01 de diciembre de 2020</t>
  </si>
  <si>
    <t>LISTADO DE POSIBLES PROVEEDORES</t>
  </si>
  <si>
    <t xml:space="preserve">No. </t>
  </si>
  <si>
    <t>Nombre Empresa</t>
  </si>
  <si>
    <t>Telefono Fijo y/o celular</t>
  </si>
  <si>
    <t>Correo electronico</t>
  </si>
  <si>
    <t>auxiliarcomercial.cosequin@gmail.com</t>
  </si>
  <si>
    <t xml:space="preserve">comercial2@horusseguridad.com </t>
  </si>
  <si>
    <t xml:space="preserve">dircomercial@colviseg.com </t>
  </si>
  <si>
    <t>ANEXO 2</t>
  </si>
  <si>
    <t xml:space="preserve">EXPERIENCIA EN CONTRATACIÓN EN LOS ÚLTIMOS AÑOS </t>
  </si>
  <si>
    <t>Con el fin de conocer la experiencia con la que cuentan las empresas del sector relacionadas con el objeto del presente estudio de mercado, agradecemos diligenciar el cuadro relacionado a continuación con base en los contratos suscritos en los ultimos 5 años</t>
  </si>
  <si>
    <t>EMPRESA</t>
  </si>
  <si>
    <t>FECHA DE SUSCRIPCIÓN</t>
  </si>
  <si>
    <t>% DE PARTICIPACIÓN</t>
  </si>
  <si>
    <t>VALOR TOTAL EJECUTADO DEL CONTRATO DE ACUERDO AL % DE PARTICIPACIÓN</t>
  </si>
  <si>
    <t>NO SE EVIDENCIAN PROCESOS DE CONTRATACION PUBLICA ADELANTADOS POR ESTE OFERENTE</t>
  </si>
  <si>
    <t>ANEXO 1 - FACTOR HUMANO - VIGENCIA 2026 (1 MES)</t>
  </si>
  <si>
    <r>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EJE CAFETERO CONFORMADA POR LAS SECCIONALES: RISARALDA, CALDAS, QUINDIO Y CHOCÓ</t>
    </r>
    <r>
      <rPr>
        <sz val="9"/>
        <color rgb="FF000000"/>
        <rFont val="Arial Narrow"/>
        <family val="2"/>
      </rPr>
      <t> </t>
    </r>
  </si>
  <si>
    <t>VARIABLES ESTABLECIDAS POR LA  SUPERINTENDENCIA DE VIGILANCIA Y SEGURIDAD PARA EL AÑO 2026 SEGÚN CIRCULAR EXTERNA Nº 202513000001105CS DEL 30 DE DICIEMBRE DE 2025 Y RESOLUCIÓN 20251000059517CS DEL 8 DE AGOSTO DE 2025</t>
  </si>
  <si>
    <t>SALARIO MINIMO 2026</t>
  </si>
  <si>
    <t>TARIFA MINIMA SECTOR PUBLICO</t>
  </si>
  <si>
    <t>VALOR TARIFA MINIMA SECTOR PUBLICO</t>
  </si>
  <si>
    <t>VALOR PRIMA SEGURO DE VIDA</t>
  </si>
  <si>
    <t>VALOR TARIFA MÍNIMA MAS PRIMA SEGURO DE VIDA</t>
  </si>
  <si>
    <t>MODALIDAD DE MEDIO, TARIFA, PORCENTAJE  ADMINISTRACION  Y SUPERVISION.</t>
  </si>
  <si>
    <t>MODALIDAD MEDIO</t>
  </si>
  <si>
    <t>TARIFA</t>
  </si>
  <si>
    <t xml:space="preserve">PORCENTAJE A Y S </t>
  </si>
  <si>
    <t>VALOR A Y S</t>
  </si>
  <si>
    <t>TARIFA + A Y S</t>
  </si>
  <si>
    <t>24 HRS CON ARMA DOMINGO A DOMINGO</t>
  </si>
  <si>
    <t>24 HRS SIN ARMA DOMINGO A DOMINGO</t>
  </si>
  <si>
    <t>12 HRS DIURNO CON ARMA LUNES A VIERNES CON FESTIVOS</t>
  </si>
  <si>
    <t>12 HRS DIURNO SIN ARMA LUNES A VIERNES CON FESTIVOS</t>
  </si>
  <si>
    <t>12 HRS NOCTURNO CON ARMA DOMINGO A DOMINGO</t>
  </si>
  <si>
    <t>12 HRS DIURNO CON ARMA DOMINGO A DOMINGO</t>
  </si>
  <si>
    <t>12 HRS DIURNO CON ARMA LUNES A VIERNES SIN FESTIVOS</t>
  </si>
  <si>
    <t>12 HRS DIURNO SIN ARMA LUNES A VIERNES SIN FESTIVOS</t>
  </si>
  <si>
    <t>DIAS A TENER EN CUENTA PARA EL COBRO DE LAS TARIFAS MINIMAS EN LA PRESTACION DE LOS SERVICIOS DE VIGILANCIA Y SEGURIDAD PRIVADA PARA 2026</t>
  </si>
  <si>
    <t xml:space="preserve">LUNES A VIERNES SIN FESTIVOS </t>
  </si>
  <si>
    <t>LUNES A VIERNES CON FESTIVOS</t>
  </si>
  <si>
    <t>LUNES A SABADO SIN FESTIVOS</t>
  </si>
  <si>
    <t>LUNES A SABADO CON FESTIVOS</t>
  </si>
  <si>
    <t>FESTIVOS</t>
  </si>
  <si>
    <t>SABADOS Y DOMINGOS</t>
  </si>
  <si>
    <t>SABADOS, DOMINGOS Y FESTIVOS</t>
  </si>
  <si>
    <t>VARIABLE DE PROPORCIONALIDAD SOBRE EL VALOR DEL SERVICIO ESTABLECIDO PARA UN SERVICIO DE VEINTICUATRO (24) HORAS Y TREINTA (30) DÍAS AL MES Y EN LOS TÉRMINOS DE LA JORNADA LABORAL VIGENTE.</t>
  </si>
  <si>
    <t xml:space="preserve">JORNADA LABORAL  </t>
  </si>
  <si>
    <t>VARIABLE DE PROPORCIONALIDAD</t>
  </si>
  <si>
    <t>6:00:00 a. m. a 7:00 p.m. (Turno de 13 horas Diurnas)</t>
  </si>
  <si>
    <t>7:00 a 6:00 a.m. (Turno de 11 horas Nocturnas)</t>
  </si>
  <si>
    <t xml:space="preserve">b. Tomar el valor resultante de la aplicación de la variable de proporcionalidad anteriormente establecida, dividirlo por treinta (30) días y multiplicarlo por el número de días en que se prestará el servicio, luego dividirlo por la jornada laboral y el resultado multiplicarlo por las horas requeridas del servicio.
</t>
  </si>
  <si>
    <t>Lo anterior, corresponde a la aplicación de la siguiente fórmula matemática:  (SMLMV x TARIFA DE SERVICIOS) x VARIABLE PROPORCIONALIDAD) /30) x DÍAS
QUE SE REQUIERE EL SERVICIO) /JORNADA LABORAL) x HORAS REQUERIDAS DEL SERVICIO.</t>
  </si>
  <si>
    <t>NECESIDAD FGN ( VALORES UNITARIOS  MES)</t>
  </si>
  <si>
    <t>VALIDACION TOTAL DE CIFRAS</t>
  </si>
  <si>
    <t>MODALIDAD /MEDIO</t>
  </si>
  <si>
    <t>JORNADA LABORAL</t>
  </si>
  <si>
    <t xml:space="preserve">DIAS  AL MES SEGÚN CIRCULAR DE SUPERVIGILANCIA </t>
  </si>
  <si>
    <t>VALOR MES</t>
  </si>
  <si>
    <t>%  ADMINISTRACION Y SUPERVISION</t>
  </si>
  <si>
    <t>VALOR MES  ADMINISTRACION Y SUPERVISION</t>
  </si>
  <si>
    <t>VALOR MES INCLUIDO  ADMINISTRACION Y SUPERVISION</t>
  </si>
  <si>
    <t>IVA</t>
  </si>
  <si>
    <t>VALOR MES INCLUIDO AYS E IVA</t>
  </si>
  <si>
    <t xml:space="preserve">CONSOLIDADO PUESTOS </t>
  </si>
  <si>
    <t>VALOR 2026
 1 MES</t>
  </si>
  <si>
    <t>24 HRS CON ARMA</t>
  </si>
  <si>
    <t>DOMINGO A DOMINGO</t>
  </si>
  <si>
    <t>24 HRS SIN ARMA</t>
  </si>
  <si>
    <t>12 HRS DIURNO CON ARMA</t>
  </si>
  <si>
    <t>12 HRS DIURNO SIN ARMA</t>
  </si>
  <si>
    <t>12 HRS NOCTURNO CON ARMA</t>
  </si>
  <si>
    <t>LUNES A VIERNES SIN FESTIVOS</t>
  </si>
  <si>
    <t>TOTAL VIGENCIA 2026 (1 MES)</t>
  </si>
  <si>
    <t>ANEXO 1.1. - FACTOR HUMANO - VIGENCIA 2027 (12 MESES)</t>
  </si>
  <si>
    <t>TARIFA MINIMA SECTOR PUBLICO - ENERO 1 AL 30 DE JUNIO 2027 (6 meses)</t>
  </si>
  <si>
    <t>TARIFA MINIMA SECTOR PUBLICO - 1 DE JULIO AL 31 DE DICIEMBRE DE 2027 ( 6 meses)</t>
  </si>
  <si>
    <t>MODALIDAD DE MEDIO, TARIFA, PORCENTAJE  ADMINISTRACION  Y SUPERVISION - ENERO 1 AL 30 DE JUNIO 2027</t>
  </si>
  <si>
    <t xml:space="preserve">MODALIDAD DE MEDIO, TARIFA, PORCENTAJE  ADMINISTRACION  Y SUPERVISION - 1 DE JULIO AL 31 DE DICIEMBRE DE 2027 </t>
  </si>
  <si>
    <t>DIAS A TENER EN CUENTA PARA EL COBRO DE LAS TARIFAS MINIMAS EN LA PRESTACION DE LOS SERVICIOS DE VIGILANCIA Y SEGURIDAD PRIVADA PARA 2024</t>
  </si>
  <si>
    <t>ENERO 1 AL 30 DE JUNIO 2027 (6 meses)</t>
  </si>
  <si>
    <t>NECESIDAD DE LA ENTIDAD ( VALORES UNITARIOS  MES)</t>
  </si>
  <si>
    <t xml:space="preserve">VALOR 2027
 6 MESES </t>
  </si>
  <si>
    <t>1 DE JULIO AL 31 DE DICIEMBRE DE 2027 ( 6 meses)</t>
  </si>
  <si>
    <t xml:space="preserve">VALOR 2027
  6 MESES </t>
  </si>
  <si>
    <t>TOTAL VIGENCIA 2027</t>
  </si>
  <si>
    <t>ANEXO 1.2. - FACTOR HUMANO - VIGENCIA 2028 (11 MESES)</t>
  </si>
  <si>
    <t>VALOR TOTAL 2028
11 MESES</t>
  </si>
  <si>
    <t>TOTAL VIGENCIA 2028 (11 MESES)</t>
  </si>
  <si>
    <t xml:space="preserve">PROYECCION DE COSTOS HISTORICOS Y COTIZACIÓN </t>
  </si>
  <si>
    <r>
      <t xml:space="preserve"> SERVICIO DE VIGILANCIA Y SEGURIDAD PRIVADA QUE REQUIERA LA FISCALÍA GENERAL DE LA NACIÓN REGIONAL EJE CAFETERO
</t>
    </r>
    <r>
      <rPr>
        <b/>
        <sz val="8"/>
        <rFont val="Arial"/>
        <family val="2"/>
      </rPr>
      <t>VIGENCIA 2026 - 2028</t>
    </r>
  </si>
  <si>
    <t>ÍTEM</t>
  </si>
  <si>
    <t>DESCRIPCIÓN DEL BIEN</t>
  </si>
  <si>
    <t>UNIDAD DE MEDIDA</t>
  </si>
  <si>
    <t>CANTIDAD</t>
  </si>
  <si>
    <t>PROCESO No. FGN-REC-0036-2024</t>
  </si>
  <si>
    <t>JULIO 
2024</t>
  </si>
  <si>
    <t>AGOSTO 2026</t>
  </si>
  <si>
    <t>ANÁLISIS PROYECCIÓN COSTOS HISTÓRICOS (IPC / Indices - Serie de empalme)</t>
  </si>
  <si>
    <t>VALOR UNITARIO
SIN IVA</t>
  </si>
  <si>
    <t xml:space="preserve">IVA UNITARIO                    </t>
  </si>
  <si>
    <t xml:space="preserve">VALOR UNITARIO INCLUIDO IVA </t>
  </si>
  <si>
    <t xml:space="preserve">VALOR TOTAL MENSUAL </t>
  </si>
  <si>
    <t xml:space="preserve">VALOR TOTAL
24 MESES </t>
  </si>
  <si>
    <t xml:space="preserve">VALOR COTIZACION 
POR 24 MESES </t>
  </si>
  <si>
    <t xml:space="preserve">VALOR FINAL PROMEDIO COSTOS HISTORICOS Y  COTIZACION </t>
  </si>
  <si>
    <t>SECCIONAL RISARALDA</t>
  </si>
  <si>
    <r>
      <t xml:space="preserve">MONITOR DE 43" LED FULL HD, Resolución: </t>
    </r>
    <r>
      <rPr>
        <sz val="8"/>
        <color theme="1"/>
        <rFont val="Arial"/>
        <family val="2"/>
      </rPr>
      <t>Full HD 1920x1080, Brillo de 400 cd/m2, Entradas HDMI, VGA, USB. Salida de audio.  Capacidad de trabajo 7/24.</t>
    </r>
  </si>
  <si>
    <t xml:space="preserve">UNIDAD  </t>
  </si>
  <si>
    <t>CAMARAS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</si>
  <si>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CIBERDOMO IP PTZ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</si>
  <si>
    <t>GRABADOR DE 8/16/32 CANALES PENTAHIBRIDO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</si>
  <si>
    <r>
      <t xml:space="preserve">CONTROL JOYSTICK. </t>
    </r>
    <r>
      <rPr>
        <sz val="8"/>
        <color theme="1"/>
        <rFont val="Arial"/>
        <family val="2"/>
      </rPr>
      <t>Joystick tridimensional para el control de Cámaras PTZ. Funciones: Posición Predeterminada, Auto Scan, Auto Pan, Auto Tour.</t>
    </r>
  </si>
  <si>
    <r>
      <t>SISTEMA DE</t>
    </r>
    <r>
      <rPr>
        <sz val="8"/>
        <color theme="1"/>
        <rFont val="Arial"/>
        <family val="2"/>
      </rPr>
      <t xml:space="preserve"> </t>
    </r>
    <r>
      <rPr>
        <b/>
        <sz val="8"/>
        <color theme="1"/>
        <rFont val="Arial"/>
        <family val="2"/>
      </rPr>
      <t xml:space="preserve">IDENTIFICACIÓN BIOMÉTRICA PARA INGRESO DE FUNCIONARIOS. </t>
    </r>
    <r>
      <rPr>
        <sz val="8"/>
        <color theme="1"/>
        <rFont val="Arial"/>
        <family val="2"/>
      </rPr>
      <t>Lectores duales Biométrico y RFID (lectora de tarjetas de proximidad)</t>
    </r>
    <r>
      <rPr>
        <b/>
        <sz val="8"/>
        <color theme="1"/>
        <rFont val="Arial"/>
        <family val="2"/>
      </rPr>
      <t xml:space="preserve">. </t>
    </r>
    <r>
      <rPr>
        <sz val="8"/>
        <color theme="1"/>
        <rFont val="Arial"/>
        <family val="2"/>
      </rPr>
      <t>Debe soportar tarjetas con el protocolo MIFARE PLUS X 4K (Carné Institucional)</t>
    </r>
    <r>
      <rPr>
        <b/>
        <sz val="8"/>
        <color theme="1"/>
        <rFont val="Arial"/>
        <family val="2"/>
      </rPr>
      <t xml:space="preserve">. </t>
    </r>
    <r>
      <rPr>
        <sz val="8"/>
        <color theme="1"/>
        <rFont val="Arial"/>
        <family val="2"/>
      </rPr>
      <t>Software de administración y configuración del sistema. El software debe permitir la generación de reportes tanto de ingreso como de salida.</t>
    </r>
    <r>
      <rPr>
        <b/>
        <sz val="8"/>
        <color theme="1"/>
        <rFont val="Arial"/>
        <family val="2"/>
      </rPr>
      <t xml:space="preserve"> </t>
    </r>
    <r>
      <rPr>
        <sz val="8"/>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8"/>
        <color theme="1"/>
        <rFont val="Arial"/>
        <family val="2"/>
      </rPr>
      <t xml:space="preserve"> </t>
    </r>
    <r>
      <rPr>
        <sz val="8"/>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8"/>
        <color theme="1"/>
        <rFont val="Arial"/>
        <family val="2"/>
      </rPr>
      <t xml:space="preserve"> </t>
    </r>
    <r>
      <rPr>
        <sz val="8"/>
        <color theme="1"/>
        <rFont val="Arial"/>
        <family val="2"/>
      </rPr>
      <t>El sistema debe contar con una UPS de respaldo de energía diferente a la del sistema de CCTV.</t>
    </r>
  </si>
  <si>
    <r>
      <t xml:space="preserve">SISTEMA DE REGISTRO Y CONTROL DE ACCESO DE VISITANTES. </t>
    </r>
    <r>
      <rPr>
        <sz val="8"/>
        <color theme="1"/>
        <rFont val="Arial"/>
        <family val="2"/>
      </rPr>
      <t>Estación de registro. (En sedes principales se debe contar con mínimo dos (2) estaciones de registro)</t>
    </r>
    <r>
      <rPr>
        <b/>
        <sz val="8"/>
        <color theme="1"/>
        <rFont val="Arial"/>
        <family val="2"/>
      </rPr>
      <t xml:space="preserve">. </t>
    </r>
    <r>
      <rPr>
        <sz val="8"/>
        <color theme="1"/>
        <rFont val="Arial"/>
        <family val="2"/>
      </rPr>
      <t>Lector de Cédula de ciudadanía.</t>
    </r>
    <r>
      <rPr>
        <b/>
        <sz val="8"/>
        <color theme="1"/>
        <rFont val="Arial"/>
        <family val="2"/>
      </rPr>
      <t xml:space="preserve"> </t>
    </r>
    <r>
      <rPr>
        <sz val="8"/>
        <color theme="1"/>
        <rFont val="Arial"/>
        <family val="2"/>
      </rPr>
      <t>Cámara para registro fotográfico.</t>
    </r>
    <r>
      <rPr>
        <b/>
        <sz val="8"/>
        <color theme="1"/>
        <rFont val="Arial"/>
        <family val="2"/>
      </rPr>
      <t xml:space="preserve"> </t>
    </r>
    <r>
      <rPr>
        <sz val="8"/>
        <color theme="1"/>
        <rFont val="Arial"/>
        <family val="2"/>
      </rPr>
      <t>Capturador Biométrico de huella.</t>
    </r>
    <r>
      <rPr>
        <b/>
        <sz val="8"/>
        <color theme="1"/>
        <rFont val="Arial"/>
        <family val="2"/>
      </rPr>
      <t xml:space="preserve"> </t>
    </r>
    <r>
      <rPr>
        <sz val="8"/>
        <color theme="1"/>
        <rFont val="Arial"/>
        <family val="2"/>
      </rPr>
      <t>Software Licenciado Y Operativo.</t>
    </r>
    <r>
      <rPr>
        <b/>
        <sz val="8"/>
        <color theme="1"/>
        <rFont val="Arial"/>
        <family val="2"/>
      </rPr>
      <t xml:space="preserve"> </t>
    </r>
    <r>
      <rPr>
        <sz val="8"/>
        <color theme="1"/>
        <rFont val="Arial"/>
        <family val="2"/>
      </rPr>
      <t>Debe permitir la generación de reportes tanto de ingreso como de salida.</t>
    </r>
    <r>
      <rPr>
        <b/>
        <sz val="8"/>
        <color theme="1"/>
        <rFont val="Arial"/>
        <family val="2"/>
      </rPr>
      <t xml:space="preserve"> </t>
    </r>
    <r>
      <rPr>
        <sz val="8"/>
        <color theme="1"/>
        <rFont val="Arial"/>
        <family val="2"/>
      </rPr>
      <t>El sistema debe contar con una UPS de respaldo de energía diferente a la del sistema de CCTV.</t>
    </r>
  </si>
  <si>
    <t>ARCO DETECTOR DE METALES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</si>
  <si>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</si>
  <si>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r>
      <t xml:space="preserve">UPS RESPALDO DE ENERGIA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t>
    </r>
    <r>
      <rPr>
        <b/>
        <sz val="8"/>
        <color theme="1"/>
        <rFont val="Arial"/>
        <family val="2"/>
      </rPr>
      <t xml:space="preserve"> DEBE SOPORTAR TODO EL SISTEMA DE CCTV, INCLUYENDO LAS CÁMARAS DE VIDEO POR UN PERIODO DE TIEMPO MÍNIMO DE DOS (2) HORAS EN CASO DE PÉRDIDA DEL FUIDO ELÉCTRICO</t>
    </r>
    <r>
      <rPr>
        <sz val="8"/>
        <color theme="1"/>
        <rFont val="Arial"/>
        <family val="2"/>
      </rPr>
      <t>.</t>
    </r>
  </si>
  <si>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</si>
  <si>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DISCO DURO MULTIMARCA QUE SOPORTE FUNCION RAID PARA CCTV.</t>
  </si>
  <si>
    <t xml:space="preserve">UNIDAD </t>
  </si>
  <si>
    <r>
      <t>SCANER DE RAYOS X. Tamaño del Túnel (A) 660 mm (Al) 510 mm. Velocidad de Transporte de la Banda 0.20 m/s</t>
    </r>
    <r>
      <rPr>
        <b/>
        <sz val="8"/>
        <color theme="1"/>
        <rFont val="Arial"/>
        <family val="2"/>
      </rPr>
      <t xml:space="preserve">. </t>
    </r>
    <r>
      <rPr>
        <sz val="8"/>
        <color theme="1"/>
        <rFont val="Arial"/>
        <family val="2"/>
      </rPr>
      <t>Altura de la Banda Transportadora 700 mm. Aprox.</t>
    </r>
    <r>
      <rPr>
        <b/>
        <sz val="8"/>
        <color theme="1"/>
        <rFont val="Arial"/>
        <family val="2"/>
      </rPr>
      <t xml:space="preserve"> </t>
    </r>
    <r>
      <rPr>
        <sz val="8"/>
        <color theme="1"/>
        <rFont val="Arial"/>
        <family val="2"/>
      </rPr>
      <t>Carga Máxima ≤180 Kg Distribuido Uniformemente.</t>
    </r>
    <r>
      <rPr>
        <b/>
        <sz val="8"/>
        <color theme="1"/>
        <rFont val="Arial"/>
        <family val="2"/>
      </rPr>
      <t xml:space="preserve"> </t>
    </r>
    <r>
      <rPr>
        <sz val="8"/>
        <color theme="1"/>
        <rFont val="Arial"/>
        <family val="2"/>
      </rPr>
      <t>Resolución de Contraste   40 AWG (Alambre Metálico de 0.0787 mm). Definición de Penetración    34 AWG. Penetración (Placa de Acero) 38 mm. Monitor LED de 17 pulgadas.</t>
    </r>
    <r>
      <rPr>
        <b/>
        <sz val="8"/>
        <color theme="1"/>
        <rFont val="Arial"/>
        <family val="2"/>
      </rPr>
      <t xml:space="preserve"> </t>
    </r>
    <r>
      <rPr>
        <sz val="8"/>
        <color theme="1"/>
        <rFont val="Arial"/>
        <family val="2"/>
      </rPr>
      <t>Funciones del Sistema Alarma de Alta Densidad</t>
    </r>
    <r>
      <rPr>
        <b/>
        <sz val="8"/>
        <color theme="1"/>
        <rFont val="Arial"/>
        <family val="2"/>
      </rPr>
      <t xml:space="preserve">. </t>
    </r>
    <r>
      <rPr>
        <sz val="8"/>
        <color theme="1"/>
        <rFont val="Arial"/>
        <family val="2"/>
      </rPr>
      <t>Detección Auxiliar de Explosivos/Drogas.</t>
    </r>
    <r>
      <rPr>
        <b/>
        <sz val="8"/>
        <color theme="1"/>
        <rFont val="Arial"/>
        <family val="2"/>
      </rPr>
      <t xml:space="preserve"> </t>
    </r>
    <r>
      <rPr>
        <sz val="8"/>
        <color theme="1"/>
        <rFont val="Arial"/>
        <family val="2"/>
      </rPr>
      <t>Proyección de Imágenes de Amenaza (TIP).</t>
    </r>
    <r>
      <rPr>
        <b/>
        <sz val="8"/>
        <color theme="1"/>
        <rFont val="Arial"/>
        <family val="2"/>
      </rPr>
      <t xml:space="preserve"> </t>
    </r>
    <r>
      <rPr>
        <sz val="8"/>
        <color theme="1"/>
        <rFont val="Arial"/>
        <family val="2"/>
      </rPr>
      <t>Zoom de 64x. Seguridad Fotográfica.</t>
    </r>
    <r>
      <rPr>
        <b/>
        <sz val="8"/>
        <color theme="1"/>
        <rFont val="Arial"/>
        <family val="2"/>
      </rPr>
      <t xml:space="preserve"> </t>
    </r>
    <r>
      <rPr>
        <sz val="8"/>
        <color theme="1"/>
        <rFont val="Arial"/>
        <family val="2"/>
      </rPr>
      <t>Normas ASA/ISO 1600</t>
    </r>
    <r>
      <rPr>
        <b/>
        <sz val="8"/>
        <color theme="1"/>
        <rFont val="Arial"/>
        <family val="2"/>
      </rPr>
      <t xml:space="preserve">. </t>
    </r>
    <r>
      <rPr>
        <sz val="8"/>
        <color theme="1"/>
        <rFont val="Arial"/>
        <family val="2"/>
      </rPr>
      <t xml:space="preserve">Dosis de Radiación por Inspección &lt;1.0 μ Gy (μ Sv) </t>
    </r>
    <r>
      <rPr>
        <b/>
        <sz val="8"/>
        <color theme="1"/>
        <rFont val="Arial"/>
        <family val="2"/>
      </rPr>
      <t>Tasa</t>
    </r>
    <r>
      <rPr>
        <sz val="8"/>
        <color theme="1"/>
        <rFont val="Arial"/>
        <family val="2"/>
      </rPr>
      <t xml:space="preserve"> de Dosis de Radiación Externa 0.1 μ Gy/h (μ Sv/h) (a 5 cm de la Carcasa). El contratista asumirá el trámite y los costos de licencia y de control dosimétrico.</t>
    </r>
  </si>
  <si>
    <t>MOLINETES BIDIRECCIONALES 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</si>
  <si>
    <t xml:space="preserve">Sistema de control de acceso vehicular - 02 lectoras de acceso (una entrada, una Salida, Para operar con el carné institucional el cual es de tecnología MIFARE PLUS X 4k). 02 Barreras vehiculares (una entrada, una Salida) Tipo talanquera de mástil en aluminio debidamente señalizados reflectivos (medida según necesidad). Sensor de cruce con Fotoceldas para control de cierre (para evitar accidentes). Velocidad de apertura &lt; 5 segundos. Motor a 110V con sistema de refrigeración. Sistema de apertura Bloqueo y desbloqueo manual (utilizado en caso de emergencia). Estación de registro para el enrolamiento de los usuarios y la generación de reportes de ingresos y salidas de los vehículos. Instalación y configuración que incluye todos los materiales y accesorios requeridos tales como (adaptadores, baterías, canaletas, tubería, soportes, mástiles, cableado, conectores, switchs de comunicación y todo elemento necesario para su correcto funcionamiento).
</t>
  </si>
  <si>
    <t>UNIDAD</t>
  </si>
  <si>
    <r>
      <t xml:space="preserve">KIT DE ALARMA BASICO: </t>
    </r>
    <r>
      <rPr>
        <sz val="8"/>
        <color rgb="FF000000"/>
        <rFont val="Arial"/>
        <family val="2"/>
      </rPr>
      <t>Comunicación GPRS con reporte a central de monitoreo</t>
    </r>
    <r>
      <rPr>
        <b/>
        <sz val="8"/>
        <color rgb="FF000000"/>
        <rFont val="Arial"/>
        <family val="2"/>
      </rPr>
      <t xml:space="preserve">, </t>
    </r>
    <r>
      <rPr>
        <sz val="8"/>
        <color rgb="FF000000"/>
        <rFont val="Arial"/>
        <family val="2"/>
      </rPr>
      <t>Gabinete, batería de respaldo, transformador, sirena de 30watts</t>
    </r>
    <r>
      <rPr>
        <b/>
        <sz val="8"/>
        <color rgb="FF000000"/>
        <rFont val="Arial"/>
        <family val="2"/>
      </rPr>
      <t xml:space="preserve">, </t>
    </r>
    <r>
      <rPr>
        <sz val="8"/>
        <color rgb="FF000000"/>
        <rFont val="Arial"/>
        <family val="2"/>
      </rPr>
      <t>Panel de 32 zonas, Sensores de movimiento (inmune a mascotas), Sensores de humo, Sensores magnéticos livianos (detector de apertura)</t>
    </r>
    <r>
      <rPr>
        <b/>
        <sz val="8"/>
        <color rgb="FF000000"/>
        <rFont val="Arial"/>
        <family val="2"/>
      </rPr>
      <t xml:space="preserve"> Nota:</t>
    </r>
    <r>
      <rPr>
        <sz val="8"/>
        <color rgb="FF000000"/>
        <rFont val="Arial"/>
        <family val="2"/>
      </rPr>
      <t xml:space="preserve"> Las cantidades de los sensores están sujetas a las características físicas de la sede en la que se instalarán.</t>
    </r>
  </si>
  <si>
    <t xml:space="preserve">SUB TOTAL RISARALDA </t>
  </si>
  <si>
    <t xml:space="preserve">SECCIONAL CALDAS  CUADRO 1 </t>
  </si>
  <si>
    <t>DISCO DURO 4 TB MULTIMARCA QUE SOPORTE FUNCION RAID PARA CCTV</t>
  </si>
  <si>
    <t xml:space="preserve"> $ -   </t>
  </si>
  <si>
    <t xml:space="preserve">KIT DE ALARMA BASICO
• Comunicación GPRS con reporte a 
central de monitoreo
• Gabinete, batería de respaldo, transformador,
 sirena de 30watts
• Panel de 32 zonas.
• Sensores de movimiento (inmune a mascotas).
• Sensores de humo. 
• Sensores magnéticos livianos (detector de apertura)
Nota: Las cantidades de los sensores están
 sujetas a las características físicas de la sede en la 
que se instalarán.
</t>
  </si>
  <si>
    <t xml:space="preserve">SUB TOTAL CALDAS CUADRO 1 </t>
  </si>
  <si>
    <t xml:space="preserve">SECCIONAL CALDAS CUADRO 2 </t>
  </si>
  <si>
    <t xml:space="preserve">SUBTOTAL CALDAS CUADRO 2 </t>
  </si>
  <si>
    <t xml:space="preserve">SECCIONAL QUINDIO </t>
  </si>
  <si>
    <t xml:space="preserve">SCANER DE RAYOS X. Tamaño del Túnel (A) 660 mm (Al) 510 mm. Velocidad de Transporte de la Banda 0.20 m/s. Altura de la Banda Transportadora 700 mm. Aprox. Carga Máxima ≤180 Kg Distribuido Uniformemente. Resolución de Contraste   40 AWG (Alambre Metálico de 0.0787 mm). Definición de Penetración    34 AWG. Penetración (Placa de Acero) 38 mm. Monitor LED de 17 pulgadas. Funciones del Sistema Alarma de Alta Densidad. Detección Auxiliar de Explosivos/Drogas. Proyección de Imágenes de Amenaza (TIP). Zoom de 64x. Seguridad Fotográfica. Normas ASA/ISO 1600. Dosis de Radiación por Inspección &lt;1.0 μ Gy (μ Sv) Tasa de Dosis de Radiación Externa 0.1 μ Gy/h (μ Sv/h) (a 5 cm de la Carcasa). El contratista asumirá el trámite y los costos de licencia y de control dosimétrico.
</t>
  </si>
  <si>
    <t>Sistema de control de acceso vehicular - 02 lectoras de acceso (una entrada, una Salida, Para operar con el carné institucional el cual es de tecnología MIFARE PLUS X 4k). 02 Barreras vehiculares (una entrada, una Salida) Tipo talanquera de mástil en aluminio debidamente señalizados reflectivos (medida según necesidad). Sensor de cruce con Fotoceldas para control de cierre (para evitar accidentes). Velocidad de apertura &lt; 5 segundos. Motor a 110V con sistema de refrigeración. Sistema de apertura Bloqueo y desbloqueo manual (utilizado en caso de emergencia). Estación de registro para el enrolamiento de los usuarios y la generación de reportes de ingresos y salidas de los vehículos. Instalación y configuración que incluye todos los materiales y accesorios requeridos tales como (adaptadores, baterías, canaletas, tubería, soportes, mástiles, cableado, conectores, switchs de comunicación y todo elemento necesario para su correcto funcionamiento).</t>
  </si>
  <si>
    <t>KIT DE ALARMA BASICO: Comunicación GPRS con reporte a central de monitoreo, Gabinete, batería de respaldo, transformador, sirena de 30watts, Panel de 32 zonas, Sensores de movimiento (inmune a mascotas), Sensores de humo, Sensores magnéticos livianos (detector de apertura) Nota: Las cantidades de los sensores están sujetas a las características físicas de la sede en la que se instalarán.</t>
  </si>
  <si>
    <t>ESTACION DE TRABAJO PARA VIDEO WALL DE 3x3 (9 monitores 43¨), PC con un procesador de generación vigente, 4 entradas PCI Express, Disco de estado sólido de 1 TB, 16GB de memoria RAM, Sistema operativo licenciado  Windows 11 o superior, Tarjetas de video o controlador de Video Wall que permita la interconexión de 9 pantallas, Instalación y configuración que incluye los materiales y accesorios requeridos tales como (adaptadores, baterías, canaletas, tubería, soportes, mástiles, cableado, conectores y todo aquel necesario para su correcto funcionamiento, servicio de internet).</t>
  </si>
  <si>
    <t xml:space="preserve">SUBTOTAL QUINDIO </t>
  </si>
  <si>
    <t xml:space="preserve">SECCIONAL CHOCO </t>
  </si>
  <si>
    <t>CAMARAS IP TIPO BALA ANTIVANDALICO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</si>
  <si>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r>
      <t xml:space="preserve">SCANER DE RAYOS X. </t>
    </r>
    <r>
      <rPr>
        <sz val="8"/>
        <color theme="1"/>
        <rFont val="Arial"/>
        <family val="2"/>
      </rPr>
      <t>Tamaño del Túnel (A) 660 mm (Al) 510 mm. Velocidad de Transporte de la Banda 0.20 m/s</t>
    </r>
    <r>
      <rPr>
        <b/>
        <sz val="8"/>
        <color theme="1"/>
        <rFont val="Arial"/>
        <family val="2"/>
      </rPr>
      <t xml:space="preserve">. </t>
    </r>
    <r>
      <rPr>
        <sz val="8"/>
        <color theme="1"/>
        <rFont val="Arial"/>
        <family val="2"/>
      </rPr>
      <t>Altura de la Banda Transportadora 700 mm. Aprox.</t>
    </r>
    <r>
      <rPr>
        <b/>
        <sz val="8"/>
        <color theme="1"/>
        <rFont val="Arial"/>
        <family val="2"/>
      </rPr>
      <t xml:space="preserve"> </t>
    </r>
    <r>
      <rPr>
        <sz val="8"/>
        <color theme="1"/>
        <rFont val="Arial"/>
        <family val="2"/>
      </rPr>
      <t>Carga Máxima ≤180 Kg Distribuido Uniformemente.</t>
    </r>
    <r>
      <rPr>
        <b/>
        <sz val="8"/>
        <color theme="1"/>
        <rFont val="Arial"/>
        <family val="2"/>
      </rPr>
      <t xml:space="preserve"> </t>
    </r>
    <r>
      <rPr>
        <sz val="8"/>
        <color theme="1"/>
        <rFont val="Arial"/>
        <family val="2"/>
      </rPr>
      <t>Resolución de Contraste   40 AWG (Alambre Metálico de 0.0787 mm). Definición de Penetración    34 AWG. Penetración (Placa de Acero) 38 mm. Monitor LED de 17 pulgadas.</t>
    </r>
    <r>
      <rPr>
        <b/>
        <sz val="8"/>
        <color theme="1"/>
        <rFont val="Arial"/>
        <family val="2"/>
      </rPr>
      <t xml:space="preserve"> </t>
    </r>
    <r>
      <rPr>
        <sz val="8"/>
        <color theme="1"/>
        <rFont val="Arial"/>
        <family val="2"/>
      </rPr>
      <t>Funciones del Sistema Alarma de Alta Densidad</t>
    </r>
    <r>
      <rPr>
        <b/>
        <sz val="8"/>
        <color theme="1"/>
        <rFont val="Arial"/>
        <family val="2"/>
      </rPr>
      <t xml:space="preserve">. </t>
    </r>
    <r>
      <rPr>
        <sz val="8"/>
        <color theme="1"/>
        <rFont val="Arial"/>
        <family val="2"/>
      </rPr>
      <t>Detección Auxiliar de Explosivos/Drogas.</t>
    </r>
    <r>
      <rPr>
        <b/>
        <sz val="8"/>
        <color theme="1"/>
        <rFont val="Arial"/>
        <family val="2"/>
      </rPr>
      <t xml:space="preserve"> </t>
    </r>
    <r>
      <rPr>
        <sz val="8"/>
        <color theme="1"/>
        <rFont val="Arial"/>
        <family val="2"/>
      </rPr>
      <t>Proyección de Imágenes de Amenaza (TIP).</t>
    </r>
    <r>
      <rPr>
        <b/>
        <sz val="8"/>
        <color theme="1"/>
        <rFont val="Arial"/>
        <family val="2"/>
      </rPr>
      <t xml:space="preserve"> </t>
    </r>
    <r>
      <rPr>
        <sz val="8"/>
        <color theme="1"/>
        <rFont val="Arial"/>
        <family val="2"/>
      </rPr>
      <t>Zoom de 64x. Seguridad Fotográfica.</t>
    </r>
    <r>
      <rPr>
        <b/>
        <sz val="8"/>
        <color theme="1"/>
        <rFont val="Arial"/>
        <family val="2"/>
      </rPr>
      <t xml:space="preserve"> </t>
    </r>
    <r>
      <rPr>
        <sz val="8"/>
        <color theme="1"/>
        <rFont val="Arial"/>
        <family val="2"/>
      </rPr>
      <t>Normas ASA/ISO 1600</t>
    </r>
    <r>
      <rPr>
        <b/>
        <sz val="8"/>
        <color theme="1"/>
        <rFont val="Arial"/>
        <family val="2"/>
      </rPr>
      <t xml:space="preserve">. </t>
    </r>
    <r>
      <rPr>
        <sz val="8"/>
        <color theme="1"/>
        <rFont val="Arial"/>
        <family val="2"/>
      </rPr>
      <t xml:space="preserve">Dosis de Radiación por Inspección &lt;1.0 μ Gy (μ Sv) </t>
    </r>
    <r>
      <rPr>
        <b/>
        <sz val="8"/>
        <color theme="1"/>
        <rFont val="Arial"/>
        <family val="2"/>
      </rPr>
      <t>Tasa</t>
    </r>
    <r>
      <rPr>
        <sz val="8"/>
        <color theme="1"/>
        <rFont val="Arial"/>
        <family val="2"/>
      </rPr>
      <t xml:space="preserve"> de Dosis de Radiación Externa 0.1 μ Gy/h (μ Sv/h) (a 5 cm de la Carcasa). El contratista asumirá el trámite y los costos de licencia y de control dosimétrico.</t>
    </r>
  </si>
  <si>
    <t>SUBTOTAL CHOCO</t>
  </si>
  <si>
    <t xml:space="preserve">VALOR TOTAL DEL FACTOR TECNOLOGICO  CONTRATO POR 24 MESES                                                                                                                                                                                                                                                                                                                                                                                                                     </t>
  </si>
  <si>
    <t>NOTAS:</t>
  </si>
  <si>
    <t>VR. MENSUAL</t>
  </si>
  <si>
    <t xml:space="preserve">1)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
2) Para el presente Análisis se tomaron  los valores correspondientes la oferta presentada por  proponente seleccionado en el proceso FGN-REC-IPSE-0036-2024, llevandolos a valor presente por medio del indice de series de empalme del DANE.
3) Para el valor de los ITEMS  13 Y 14 Risaralda, 12 y 14 Quindio y 13 y 15 Chocó se tuvo en cuenta los valores del estudio del sector  del proceso del Nivel Central  de la presente vigencia, por cuanto fueron elementos no contratados ni cotizaados en la vigencia 2024-2026 para la Regional Eje Cafetero
</t>
  </si>
  <si>
    <t>VIGENCIA</t>
  </si>
  <si>
    <t>TOTAL 24 MESES</t>
  </si>
  <si>
    <t xml:space="preserve">ANEXO 3 CONSOLIDADO -  ESTUDIO DEL SECTOR </t>
  </si>
  <si>
    <t xml:space="preserve"> </t>
  </si>
  <si>
    <t>FGN</t>
  </si>
  <si>
    <t>DESCRIPCIÓN DEL SERVICIO</t>
  </si>
  <si>
    <t>VALOR TOTAL 2026
 (1 MES)</t>
  </si>
  <si>
    <t>VALOR TOTAL 2027
 (12 MESES)</t>
  </si>
  <si>
    <t>VALOR TOTAL 2028 
(11 MESES)</t>
  </si>
  <si>
    <t>VALOR TOTAL PRESUPUESTO
2026 - 2028</t>
  </si>
  <si>
    <t>FACTOR HUMANO – F.G.N.</t>
  </si>
  <si>
    <t>FACTOR TECNOLÓGICO</t>
  </si>
  <si>
    <t>TOTAL FGN</t>
  </si>
  <si>
    <t>VALOR TOTAL NECESIDADES VIGENCIAS 2026 - 2027 - 2028</t>
  </si>
  <si>
    <t>VALOR TOTAL PRESUPUESTO ESTIMADO VIGENCIAS 2026 - 2027 - 2028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</si>
</sst>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0.00_);_(&quot;$&quot;* \(#,##0.00\);_(&quot;$&quot;*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0.00_-;\-&quot;$&quot;* #,##0.00_-;_-&quot;$&quot;* &quot;-&quot;??_-;_-@_-"/>
    <numFmt numFmtId="169" formatCode="&quot;$&quot;\ #,##0.00"/>
    <numFmt numFmtId="170" formatCode="&quot;$&quot;#,##0"/>
    <numFmt numFmtId="171" formatCode="&quot;$&quot;\ #,##0"/>
    <numFmt numFmtId="172" formatCode="#,##0.0"/>
    <numFmt numFmtId="173" formatCode="_-&quot;$&quot;* #,##0_-;\-&quot;$&quot;* #,##0_-;_-&quot;$&quot;* &quot;-&quot;??_-;_-@_-"/>
    <numFmt numFmtId="174" formatCode="0.00000%"/>
    <numFmt numFmtId="175" formatCode="dd/mm/yyyy;@"/>
    <numFmt numFmtId="176" formatCode="&quot;$&quot;#,##0.00"/>
    <numFmt numFmtId="177" formatCode="_(&quot;$&quot;\ * #,##0_);_(&quot;$&quot;\ * \(#,##0\);_(&quot;$&quot;\ * &quot;-&quot;??_);_(@_)"/>
    <numFmt numFmtId="178" formatCode="_-&quot;$&quot;* #,##0_-;\-&quot;$&quot;* #,##0_-;_-&quot;$&quot;* &quot;-&quot;_-;_-@_-"/>
  </numFmts>
  <fonts count="56">
    <font>
      <sz val="11"/>
      <color theme="1"/>
      <name val="Calibri"/>
      <charset val="134"/>
      <scheme val="minor"/>
    </font>
    <font>
      <sz val="11"/>
      <color theme="1"/>
      <name val="Calibri"/>
      <family val="2"/>
      <scheme val="minor"/>
    </font>
    <font>
      <b/>
      <sz val="12"/>
      <name val="Arial Narrow"/>
      <family val="2"/>
    </font>
    <font>
      <sz val="12"/>
      <name val="Arial Narrow"/>
      <family val="2"/>
    </font>
    <font>
      <b/>
      <sz val="11"/>
      <name val="Arial Narrow"/>
      <family val="2"/>
    </font>
    <font>
      <sz val="11"/>
      <name val="Arial Narrow"/>
      <family val="2"/>
    </font>
    <font>
      <b/>
      <sz val="11"/>
      <color theme="1"/>
      <name val="Calibri"/>
      <family val="2"/>
      <scheme val="minor"/>
    </font>
    <font>
      <sz val="11"/>
      <color theme="1"/>
      <name val="Arial Narrow"/>
      <family val="2"/>
    </font>
    <font>
      <sz val="12"/>
      <color theme="0"/>
      <name val="Arial Narrow"/>
      <family val="2"/>
    </font>
    <font>
      <b/>
      <sz val="12"/>
      <color theme="1"/>
      <name val="Arial Narrow"/>
      <family val="2"/>
    </font>
    <font>
      <b/>
      <sz val="14"/>
      <color theme="1"/>
      <name val="Arial Narrow"/>
      <family val="2"/>
    </font>
    <font>
      <sz val="13"/>
      <color theme="1"/>
      <name val="Arial Narrow"/>
      <family val="2"/>
    </font>
    <font>
      <b/>
      <sz val="14"/>
      <name val="Arial Narrow"/>
      <family val="2"/>
    </font>
    <font>
      <b/>
      <sz val="11"/>
      <color theme="1"/>
      <name val="Arial Narrow"/>
      <family val="2"/>
    </font>
    <font>
      <b/>
      <sz val="10"/>
      <name val="Arial Narrow"/>
      <family val="2"/>
    </font>
    <font>
      <sz val="10"/>
      <name val="Arial Narrow"/>
      <family val="2"/>
    </font>
    <font>
      <sz val="10"/>
      <color theme="1"/>
      <name val="Arial Narrow"/>
      <family val="2"/>
    </font>
    <font>
      <b/>
      <sz val="10"/>
      <color theme="1"/>
      <name val="Arial Narrow"/>
      <family val="2"/>
    </font>
    <font>
      <b/>
      <sz val="13"/>
      <color theme="1"/>
      <name val="Arial Narrow"/>
      <family val="2"/>
    </font>
    <font>
      <sz val="8"/>
      <color theme="1"/>
      <name val="Arial"/>
      <family val="2"/>
    </font>
    <font>
      <b/>
      <sz val="14"/>
      <color theme="1"/>
      <name val="Arial Black"/>
      <family val="2"/>
    </font>
    <font>
      <b/>
      <sz val="12"/>
      <color theme="1"/>
      <name val="Calibri"/>
      <family val="2"/>
      <scheme val="minor"/>
    </font>
    <font>
      <sz val="12"/>
      <color theme="1"/>
      <name val="Calibri"/>
      <family val="2"/>
      <scheme val="minor"/>
    </font>
    <font>
      <b/>
      <sz val="8"/>
      <color theme="1"/>
      <name val="Arial"/>
      <family val="2"/>
    </font>
    <font>
      <sz val="8"/>
      <color rgb="FF3D3D3D"/>
      <name val="Arial"/>
      <family val="2"/>
    </font>
    <font>
      <sz val="11"/>
      <color theme="1"/>
      <name val="Arial"/>
      <family val="2"/>
    </font>
    <font>
      <b/>
      <sz val="12"/>
      <color theme="1"/>
      <name val="Arial"/>
      <family val="2"/>
    </font>
    <font>
      <u/>
      <sz val="11"/>
      <color theme="10"/>
      <name val="Calibri"/>
      <family val="2"/>
      <scheme val="minor"/>
    </font>
    <font>
      <sz val="11"/>
      <color rgb="FFFF0000"/>
      <name val="Calibri"/>
      <family val="2"/>
      <scheme val="minor"/>
    </font>
    <font>
      <sz val="11"/>
      <name val="Calibri"/>
      <family val="2"/>
      <scheme val="minor"/>
    </font>
    <font>
      <sz val="12"/>
      <color rgb="FF3D3D3D"/>
      <name val="Arial"/>
      <family val="2"/>
    </font>
    <font>
      <b/>
      <sz val="11"/>
      <name val="Calibri"/>
      <family val="2"/>
      <scheme val="minor"/>
    </font>
    <font>
      <b/>
      <sz val="11"/>
      <color theme="1"/>
      <name val="Arial"/>
      <family val="2"/>
    </font>
    <font>
      <b/>
      <sz val="14"/>
      <color theme="1"/>
      <name val="Calibri"/>
      <family val="2"/>
      <scheme val="minor"/>
    </font>
    <font>
      <sz val="13"/>
      <color rgb="FF000080"/>
      <name val="Arial Narrow"/>
      <family val="2"/>
    </font>
    <font>
      <b/>
      <sz val="11"/>
      <name val="Arial"/>
      <family val="2"/>
    </font>
    <font>
      <b/>
      <sz val="13"/>
      <name val="Arial Narrow"/>
      <family val="2"/>
    </font>
    <font>
      <sz val="13"/>
      <name val="Arial Narrow"/>
      <family val="2"/>
    </font>
    <font>
      <sz val="10"/>
      <name val="Arial"/>
      <family val="2"/>
    </font>
    <font>
      <sz val="11"/>
      <color theme="1"/>
      <name val="Calibri"/>
      <family val="2"/>
      <scheme val="minor"/>
    </font>
    <font>
      <sz val="12"/>
      <color theme="1"/>
      <name val="Arial"/>
      <family val="2"/>
    </font>
    <font>
      <sz val="8"/>
      <name val="Calibri"/>
      <family val="2"/>
      <scheme val="minor"/>
    </font>
    <font>
      <sz val="14"/>
      <color theme="1"/>
      <name val="Arial Narrow"/>
      <family val="2"/>
    </font>
    <font>
      <sz val="11"/>
      <color theme="1"/>
      <name val="Calibri"/>
      <family val="2"/>
      <scheme val="minor"/>
    </font>
    <font>
      <sz val="8"/>
      <color rgb="FF000000"/>
      <name val="Arial"/>
      <family val="2"/>
    </font>
    <font>
      <b/>
      <sz val="9"/>
      <color theme="1"/>
      <name val="Arial Narrow"/>
      <family val="2"/>
    </font>
    <font>
      <b/>
      <sz val="9"/>
      <color theme="1"/>
      <name val="Calibri"/>
      <family val="2"/>
      <scheme val="minor"/>
    </font>
    <font>
      <sz val="9"/>
      <color theme="1"/>
      <name val="Arial Narrow"/>
      <family val="2"/>
    </font>
    <font>
      <b/>
      <sz val="9"/>
      <color rgb="FF000000"/>
      <name val="Arial Narrow"/>
      <family val="2"/>
    </font>
    <font>
      <sz val="9"/>
      <color rgb="FF000000"/>
      <name val="Arial Narrow"/>
      <family val="2"/>
    </font>
    <font>
      <sz val="9"/>
      <color rgb="FF000000"/>
      <name val="Arial"/>
      <family val="2"/>
    </font>
    <font>
      <sz val="9"/>
      <color rgb="FFFF0000"/>
      <name val="Arial Narrow"/>
      <family val="2"/>
    </font>
    <font>
      <b/>
      <sz val="8"/>
      <color rgb="FF000000"/>
      <name val="Arial"/>
      <family val="2"/>
    </font>
    <font>
      <b/>
      <sz val="8"/>
      <name val="Arial"/>
      <family val="2"/>
    </font>
    <font>
      <sz val="8"/>
      <name val="Arial"/>
      <family val="2"/>
    </font>
    <font>
      <sz val="8"/>
      <color theme="0"/>
      <name val="Arial"/>
      <family val="2"/>
    </font>
  </fonts>
  <fills count="32">
    <fill>
      <patternFill patternType="none"/>
    </fill>
    <fill>
      <patternFill patternType="gray125"/>
    </fill>
    <fill>
      <patternFill patternType="solid">
        <fgColor theme="3" tint="0.79989013336588644"/>
        <bgColor indexed="64"/>
      </patternFill>
    </fill>
    <fill>
      <patternFill patternType="solid">
        <fgColor theme="0"/>
        <bgColor indexed="64"/>
      </patternFill>
    </fill>
    <fill>
      <patternFill patternType="solid">
        <fgColor rgb="FFD9D9D9"/>
        <bgColor indexed="64"/>
      </patternFill>
    </fill>
    <fill>
      <patternFill patternType="solid">
        <fgColor theme="0" tint="-0.14993743705557422"/>
        <bgColor indexed="64"/>
      </patternFill>
    </fill>
    <fill>
      <patternFill patternType="solid">
        <fgColor theme="0" tint="-0.14990691854609822"/>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
      <patternFill patternType="solid">
        <fgColor rgb="FF00B0F0"/>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indexed="22"/>
        <bgColor indexed="64"/>
      </patternFill>
    </fill>
    <fill>
      <patternFill patternType="solid">
        <fgColor theme="3" tint="0.74999237037263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rgb="FFFF0000"/>
        <bgColor indexed="64"/>
      </patternFill>
    </fill>
    <fill>
      <patternFill patternType="solid">
        <fgColor theme="9" tint="0.59999389629810485"/>
        <bgColor indexed="64"/>
      </patternFill>
    </fill>
    <fill>
      <patternFill patternType="solid">
        <fgColor rgb="FFC0C0C0"/>
        <bgColor rgb="FF000000"/>
      </patternFill>
    </fill>
    <fill>
      <patternFill patternType="solid">
        <fgColor rgb="FFC0C0C0"/>
        <bgColor indexed="64"/>
      </patternFill>
    </fill>
    <fill>
      <patternFill patternType="solid">
        <fgColor rgb="FF00B050"/>
        <bgColor indexed="64"/>
      </patternFill>
    </fill>
    <fill>
      <patternFill patternType="solid">
        <fgColor rgb="FFFFFFCC"/>
        <bgColor indexed="64"/>
      </patternFill>
    </fill>
    <fill>
      <patternFill patternType="solid">
        <fgColor rgb="FFF4BAFE"/>
        <bgColor indexed="64"/>
      </patternFill>
    </fill>
    <fill>
      <patternFill patternType="solid">
        <fgColor rgb="FFFFFF99"/>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E1EDA7"/>
        <bgColor indexed="64"/>
      </patternFill>
    </fill>
  </fills>
  <borders count="4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right style="medium">
        <color auto="1"/>
      </right>
      <top/>
      <bottom/>
      <diagonal/>
    </border>
    <border>
      <left/>
      <right/>
      <top style="medium">
        <color auto="1"/>
      </top>
      <bottom/>
      <diagonal/>
    </border>
    <border>
      <left/>
      <right/>
      <top/>
      <bottom style="medium">
        <color auto="1"/>
      </bottom>
      <diagonal/>
    </border>
    <border>
      <left style="medium">
        <color auto="1"/>
      </left>
      <right/>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medium">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medium">
        <color auto="1"/>
      </top>
      <bottom/>
      <diagonal/>
    </border>
  </borders>
  <cellStyleXfs count="10">
    <xf numFmtId="0" fontId="0" fillId="0" borderId="0"/>
    <xf numFmtId="168" fontId="39" fillId="0" borderId="0" applyFont="0" applyFill="0" applyBorder="0" applyAlignment="0" applyProtection="0"/>
    <xf numFmtId="9" fontId="39" fillId="0" borderId="0" applyFont="0" applyFill="0" applyBorder="0" applyAlignment="0" applyProtection="0"/>
    <xf numFmtId="0" fontId="27" fillId="0" borderId="0" applyNumberFormat="0" applyFill="0" applyBorder="0" applyAlignment="0" applyProtection="0"/>
    <xf numFmtId="168" fontId="39" fillId="0" borderId="0" applyFont="0" applyFill="0" applyBorder="0" applyAlignment="0" applyProtection="0"/>
    <xf numFmtId="0" fontId="38" fillId="0" borderId="0"/>
    <xf numFmtId="0" fontId="38" fillId="0" borderId="0"/>
    <xf numFmtId="168" fontId="1" fillId="0" borderId="0" applyFont="0" applyFill="0" applyBorder="0" applyAlignment="0" applyProtection="0"/>
    <xf numFmtId="9" fontId="1" fillId="0" borderId="0" applyFont="0" applyFill="0" applyBorder="0" applyAlignment="0" applyProtection="0"/>
    <xf numFmtId="166" fontId="43" fillId="0" borderId="0" applyFont="0" applyFill="0" applyBorder="0" applyAlignment="0" applyProtection="0"/>
  </cellStyleXfs>
  <cellXfs count="599">
    <xf numFmtId="0" fontId="0" fillId="0" borderId="0" xfId="0"/>
    <xf numFmtId="0" fontId="2" fillId="3" borderId="0" xfId="0" applyFont="1" applyFill="1" applyAlignment="1">
      <alignment vertical="center" wrapText="1"/>
    </xf>
    <xf numFmtId="0" fontId="3" fillId="0" borderId="4" xfId="0" applyFont="1" applyBorder="1"/>
    <xf numFmtId="0" fontId="2" fillId="0" borderId="0" xfId="0" applyFont="1" applyAlignment="1">
      <alignment vertical="center" wrapText="1"/>
    </xf>
    <xf numFmtId="0" fontId="5"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0" xfId="0" applyFont="1"/>
    <xf numFmtId="1" fontId="3" fillId="3" borderId="0" xfId="0" applyNumberFormat="1" applyFont="1" applyFill="1" applyAlignment="1">
      <alignment vertical="center" wrapText="1"/>
    </xf>
    <xf numFmtId="170" fontId="3" fillId="3" borderId="0" xfId="0" applyNumberFormat="1" applyFont="1" applyFill="1"/>
    <xf numFmtId="171" fontId="3" fillId="0" borderId="0" xfId="0" applyNumberFormat="1" applyFont="1"/>
    <xf numFmtId="0" fontId="13" fillId="0" borderId="0" xfId="0" applyFont="1" applyAlignment="1">
      <alignment horizontal="left" wrapText="1"/>
    </xf>
    <xf numFmtId="0" fontId="13" fillId="0" borderId="0" xfId="0" applyFont="1" applyAlignment="1">
      <alignment wrapText="1"/>
    </xf>
    <xf numFmtId="1" fontId="3" fillId="3" borderId="0" xfId="0" applyNumberFormat="1" applyFont="1" applyFill="1" applyAlignment="1">
      <alignment horizontal="left" vertical="center"/>
    </xf>
    <xf numFmtId="170" fontId="8" fillId="3" borderId="0" xfId="0" applyNumberFormat="1" applyFont="1" applyFill="1"/>
    <xf numFmtId="171" fontId="3" fillId="3" borderId="0" xfId="0" applyNumberFormat="1" applyFont="1" applyFill="1"/>
    <xf numFmtId="0" fontId="7" fillId="0" borderId="0" xfId="0" applyFont="1" applyAlignment="1">
      <alignment vertical="center"/>
    </xf>
    <xf numFmtId="0" fontId="17" fillId="0" borderId="0" xfId="0" applyFont="1"/>
    <xf numFmtId="0" fontId="16" fillId="0" borderId="0" xfId="0" applyFont="1" applyAlignment="1">
      <alignment horizontal="center" vertical="center"/>
    </xf>
    <xf numFmtId="0" fontId="7" fillId="0" borderId="0" xfId="0" applyFont="1"/>
    <xf numFmtId="0" fontId="7" fillId="0" borderId="28" xfId="0" applyFont="1" applyBorder="1"/>
    <xf numFmtId="0" fontId="10" fillId="0" borderId="0" xfId="0" applyFont="1" applyAlignment="1">
      <alignment horizontal="center" wrapText="1"/>
    </xf>
    <xf numFmtId="170" fontId="7" fillId="0" borderId="0" xfId="0" applyNumberFormat="1" applyFont="1" applyAlignment="1">
      <alignment horizontal="center" vertical="center"/>
    </xf>
    <xf numFmtId="172" fontId="7" fillId="0" borderId="0" xfId="0" applyNumberFormat="1" applyFont="1" applyAlignment="1">
      <alignment horizontal="center"/>
    </xf>
    <xf numFmtId="170" fontId="7" fillId="0" borderId="0" xfId="0" applyNumberFormat="1" applyFont="1" applyAlignment="1">
      <alignment horizontal="center"/>
    </xf>
    <xf numFmtId="0" fontId="13" fillId="0" borderId="32" xfId="0" applyFont="1" applyBorder="1" applyAlignment="1">
      <alignment horizontal="left"/>
    </xf>
    <xf numFmtId="0" fontId="13" fillId="0" borderId="0" xfId="0" applyFont="1" applyAlignment="1">
      <alignment horizontal="left"/>
    </xf>
    <xf numFmtId="170" fontId="7" fillId="0" borderId="29" xfId="0" applyNumberFormat="1" applyFont="1" applyBorder="1" applyAlignment="1">
      <alignment horizontal="center"/>
    </xf>
    <xf numFmtId="0" fontId="10" fillId="0" borderId="0" xfId="0" applyFont="1" applyAlignment="1">
      <alignment horizontal="center"/>
    </xf>
    <xf numFmtId="170" fontId="7" fillId="0" borderId="0" xfId="0" applyNumberFormat="1" applyFont="1"/>
    <xf numFmtId="0" fontId="7" fillId="0" borderId="32" xfId="0" applyFont="1" applyBorder="1" applyAlignment="1">
      <alignment wrapText="1"/>
    </xf>
    <xf numFmtId="0" fontId="7" fillId="0" borderId="0" xfId="0" applyFont="1" applyAlignment="1">
      <alignment horizontal="center"/>
    </xf>
    <xf numFmtId="0" fontId="13" fillId="0" borderId="0" xfId="0" applyFont="1" applyAlignment="1">
      <alignment horizontal="center" vertical="center"/>
    </xf>
    <xf numFmtId="0" fontId="13" fillId="0" borderId="32" xfId="0" applyFont="1" applyBorder="1" applyAlignment="1">
      <alignment horizontal="left" wrapText="1"/>
    </xf>
    <xf numFmtId="0" fontId="10" fillId="8" borderId="18" xfId="0" applyFont="1" applyFill="1" applyBorder="1" applyAlignment="1">
      <alignment horizontal="center"/>
    </xf>
    <xf numFmtId="0" fontId="17" fillId="0" borderId="22" xfId="0" applyFont="1" applyBorder="1" applyAlignment="1">
      <alignment horizontal="center" vertical="center"/>
    </xf>
    <xf numFmtId="0" fontId="17" fillId="0" borderId="20" xfId="0" applyFont="1" applyBorder="1" applyAlignment="1">
      <alignment horizontal="center" vertical="center"/>
    </xf>
    <xf numFmtId="0" fontId="17" fillId="0" borderId="23" xfId="0" applyFont="1" applyBorder="1" applyAlignment="1">
      <alignment horizontal="center" vertical="center" wrapText="1"/>
    </xf>
    <xf numFmtId="0" fontId="17" fillId="0" borderId="20" xfId="0" applyFont="1" applyBorder="1" applyAlignment="1">
      <alignment horizontal="center" vertical="center" wrapText="1"/>
    </xf>
    <xf numFmtId="169" fontId="7" fillId="0" borderId="0" xfId="0" applyNumberFormat="1" applyFont="1"/>
    <xf numFmtId="167" fontId="7" fillId="0" borderId="0" xfId="0" applyNumberFormat="1" applyFont="1"/>
    <xf numFmtId="168" fontId="7" fillId="0" borderId="0" xfId="1" applyFont="1" applyBorder="1"/>
    <xf numFmtId="174" fontId="7" fillId="0" borderId="0" xfId="2" applyNumberFormat="1" applyFont="1" applyBorder="1"/>
    <xf numFmtId="0" fontId="19" fillId="0" borderId="0" xfId="0" applyFont="1" applyAlignment="1">
      <alignment horizontal="center"/>
    </xf>
    <xf numFmtId="0" fontId="0" fillId="3" borderId="0" xfId="0" applyFill="1"/>
    <xf numFmtId="0" fontId="22" fillId="0" borderId="0" xfId="0" applyFont="1" applyAlignment="1">
      <alignment horizontal="center" vertical="center"/>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170" fontId="24" fillId="0" borderId="0" xfId="0" applyNumberFormat="1" applyFont="1"/>
    <xf numFmtId="0" fontId="25" fillId="0" borderId="0" xfId="0" applyFont="1"/>
    <xf numFmtId="173" fontId="0" fillId="0" borderId="0" xfId="1" applyNumberFormat="1" applyFont="1"/>
    <xf numFmtId="0" fontId="25" fillId="0" borderId="28" xfId="0" applyFont="1" applyBorder="1" applyAlignment="1">
      <alignment horizontal="center" vertical="center" wrapText="1"/>
    </xf>
    <xf numFmtId="0" fontId="27" fillId="0" borderId="28" xfId="3" applyBorder="1" applyAlignment="1">
      <alignment horizontal="center" vertical="center" wrapText="1"/>
    </xf>
    <xf numFmtId="0" fontId="6" fillId="0" borderId="0" xfId="0" applyFont="1" applyAlignment="1">
      <alignment wrapText="1"/>
    </xf>
    <xf numFmtId="0" fontId="28" fillId="0" borderId="0" xfId="0" applyFont="1" applyAlignment="1">
      <alignment wrapText="1"/>
    </xf>
    <xf numFmtId="1" fontId="0" fillId="0" borderId="0" xfId="0" applyNumberFormat="1"/>
    <xf numFmtId="0" fontId="6" fillId="0" borderId="10" xfId="0" applyFont="1" applyBorder="1" applyAlignment="1">
      <alignment wrapText="1"/>
    </xf>
    <xf numFmtId="0" fontId="29" fillId="0" borderId="10" xfId="0" applyFont="1" applyBorder="1" applyAlignment="1">
      <alignment wrapText="1"/>
    </xf>
    <xf numFmtId="175" fontId="29" fillId="0" borderId="10" xfId="0" applyNumberFormat="1" applyFont="1" applyBorder="1" applyAlignment="1">
      <alignment wrapText="1"/>
    </xf>
    <xf numFmtId="170" fontId="29" fillId="0" borderId="10" xfId="0" applyNumberFormat="1" applyFont="1" applyBorder="1" applyAlignment="1">
      <alignment wrapText="1"/>
    </xf>
    <xf numFmtId="0" fontId="28" fillId="0" borderId="10" xfId="0" applyFont="1" applyBorder="1" applyAlignment="1">
      <alignment wrapText="1"/>
    </xf>
    <xf numFmtId="0" fontId="24" fillId="0" borderId="0" xfId="0" applyFont="1"/>
    <xf numFmtId="0" fontId="30" fillId="0" borderId="0" xfId="0" applyFont="1"/>
    <xf numFmtId="0" fontId="24" fillId="7" borderId="0" xfId="0" applyFont="1" applyFill="1" applyAlignment="1">
      <alignment vertical="center" wrapText="1"/>
    </xf>
    <xf numFmtId="14" fontId="29" fillId="0" borderId="10" xfId="0" applyNumberFormat="1" applyFont="1" applyBorder="1" applyAlignment="1">
      <alignment wrapText="1"/>
    </xf>
    <xf numFmtId="0" fontId="27" fillId="0" borderId="10" xfId="3" applyBorder="1" applyAlignment="1">
      <alignment wrapText="1"/>
    </xf>
    <xf numFmtId="0" fontId="24" fillId="7" borderId="10" xfId="0" applyFont="1" applyFill="1" applyBorder="1" applyAlignment="1">
      <alignment vertical="center" wrapText="1"/>
    </xf>
    <xf numFmtId="1" fontId="6" fillId="0" borderId="0" xfId="0" applyNumberFormat="1" applyFont="1" applyAlignment="1">
      <alignment wrapText="1"/>
    </xf>
    <xf numFmtId="0" fontId="30" fillId="0" borderId="10" xfId="0" applyFont="1" applyBorder="1"/>
    <xf numFmtId="170" fontId="28" fillId="0" borderId="10" xfId="0" applyNumberFormat="1" applyFont="1" applyBorder="1" applyAlignment="1">
      <alignment wrapText="1"/>
    </xf>
    <xf numFmtId="1" fontId="31" fillId="0" borderId="10" xfId="0" applyNumberFormat="1" applyFont="1" applyBorder="1" applyAlignment="1">
      <alignment wrapText="1"/>
    </xf>
    <xf numFmtId="0" fontId="32" fillId="0" borderId="0" xfId="0" applyFont="1"/>
    <xf numFmtId="0" fontId="33" fillId="3" borderId="0" xfId="0" applyFont="1" applyFill="1" applyAlignment="1">
      <alignment horizontal="center"/>
    </xf>
    <xf numFmtId="0" fontId="4" fillId="10" borderId="36"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10" xfId="0" applyFont="1" applyFill="1" applyBorder="1" applyAlignment="1">
      <alignment vertical="center" wrapText="1"/>
    </xf>
    <xf numFmtId="0" fontId="14" fillId="3" borderId="30" xfId="0" applyFont="1" applyFill="1" applyBorder="1" applyAlignment="1">
      <alignment horizontal="center" vertical="center" wrapText="1"/>
    </xf>
    <xf numFmtId="0" fontId="29" fillId="3" borderId="30" xfId="0" applyFont="1" applyFill="1" applyBorder="1"/>
    <xf numFmtId="0" fontId="29" fillId="3" borderId="23" xfId="0" applyFont="1" applyFill="1" applyBorder="1"/>
    <xf numFmtId="0" fontId="29" fillId="3" borderId="0" xfId="0" applyFont="1" applyFill="1"/>
    <xf numFmtId="0" fontId="29" fillId="3" borderId="29" xfId="0" applyFont="1" applyFill="1" applyBorder="1"/>
    <xf numFmtId="0" fontId="14" fillId="3" borderId="0" xfId="0" applyFont="1" applyFill="1" applyAlignment="1">
      <alignment horizontal="center" vertical="center" wrapText="1"/>
    </xf>
    <xf numFmtId="0" fontId="14" fillId="3" borderId="29" xfId="0" applyFont="1" applyFill="1" applyBorder="1" applyAlignment="1">
      <alignment horizontal="center" vertical="center" wrapText="1"/>
    </xf>
    <xf numFmtId="0" fontId="15" fillId="3" borderId="31" xfId="0" applyFont="1" applyFill="1" applyBorder="1" applyAlignment="1">
      <alignment horizontal="left" vertical="center" wrapText="1"/>
    </xf>
    <xf numFmtId="0" fontId="15" fillId="3" borderId="25" xfId="0" applyFont="1" applyFill="1" applyBorder="1" applyAlignment="1">
      <alignment horizontal="left" vertical="center" wrapText="1"/>
    </xf>
    <xf numFmtId="0" fontId="4" fillId="3" borderId="27" xfId="0" applyFont="1" applyFill="1" applyBorder="1" applyAlignment="1">
      <alignment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34" xfId="0" applyFont="1" applyFill="1" applyBorder="1" applyAlignment="1">
      <alignment horizontal="center" vertical="center"/>
    </xf>
    <xf numFmtId="0" fontId="4" fillId="3" borderId="35" xfId="0" applyFont="1" applyFill="1" applyBorder="1" applyAlignment="1">
      <alignment vertical="center" wrapText="1"/>
    </xf>
    <xf numFmtId="0" fontId="36" fillId="3" borderId="0" xfId="0" applyFont="1" applyFill="1"/>
    <xf numFmtId="0" fontId="37" fillId="3" borderId="0" xfId="0" applyFont="1" applyFill="1"/>
    <xf numFmtId="0" fontId="2" fillId="3" borderId="0" xfId="0" applyFont="1" applyFill="1"/>
    <xf numFmtId="176" fontId="7" fillId="0" borderId="10" xfId="0" applyNumberFormat="1" applyFont="1" applyBorder="1"/>
    <xf numFmtId="0" fontId="7" fillId="11" borderId="17" xfId="0" applyFont="1" applyFill="1" applyBorder="1" applyAlignment="1">
      <alignment horizontal="center"/>
    </xf>
    <xf numFmtId="0" fontId="17" fillId="0" borderId="30" xfId="0" applyFont="1" applyBorder="1" applyAlignment="1">
      <alignment horizontal="center" vertical="center" wrapText="1"/>
    </xf>
    <xf numFmtId="0" fontId="13" fillId="0" borderId="0" xfId="0" applyFont="1" applyAlignment="1">
      <alignment horizontal="center" wrapText="1"/>
    </xf>
    <xf numFmtId="0" fontId="10" fillId="8" borderId="30" xfId="0" applyFont="1" applyFill="1" applyBorder="1" applyAlignment="1">
      <alignment horizontal="center"/>
    </xf>
    <xf numFmtId="169" fontId="7" fillId="0" borderId="0" xfId="1" applyNumberFormat="1" applyFont="1"/>
    <xf numFmtId="0" fontId="4" fillId="0" borderId="0" xfId="0" applyFont="1" applyAlignment="1">
      <alignment horizontal="left"/>
    </xf>
    <xf numFmtId="169" fontId="7" fillId="0" borderId="0" xfId="1" applyNumberFormat="1" applyFont="1" applyFill="1"/>
    <xf numFmtId="0" fontId="40" fillId="0" borderId="0" xfId="0" applyFont="1"/>
    <xf numFmtId="0" fontId="26" fillId="0" borderId="0" xfId="0" applyFont="1"/>
    <xf numFmtId="176" fontId="7" fillId="0" borderId="8" xfId="0" applyNumberFormat="1" applyFont="1" applyBorder="1"/>
    <xf numFmtId="176" fontId="7" fillId="0" borderId="0" xfId="0" applyNumberFormat="1" applyFont="1"/>
    <xf numFmtId="165" fontId="5" fillId="0" borderId="10" xfId="0" applyNumberFormat="1" applyFont="1" applyBorder="1" applyAlignment="1">
      <alignment horizontal="center" vertical="center" wrapText="1"/>
    </xf>
    <xf numFmtId="165" fontId="5" fillId="0" borderId="11" xfId="0" applyNumberFormat="1" applyFont="1" applyBorder="1" applyAlignment="1">
      <alignment horizontal="center" vertical="center" wrapText="1"/>
    </xf>
    <xf numFmtId="165" fontId="4" fillId="0" borderId="10" xfId="0" applyNumberFormat="1" applyFont="1" applyBorder="1" applyAlignment="1">
      <alignment horizontal="center" vertical="center" wrapText="1"/>
    </xf>
    <xf numFmtId="165" fontId="4" fillId="0" borderId="11" xfId="0" applyNumberFormat="1" applyFont="1" applyBorder="1" applyAlignment="1">
      <alignment horizontal="center" vertical="center" wrapText="1"/>
    </xf>
    <xf numFmtId="165" fontId="4" fillId="4" borderId="16" xfId="0" applyNumberFormat="1" applyFont="1" applyFill="1" applyBorder="1" applyAlignment="1">
      <alignment horizontal="center" vertical="center" wrapText="1"/>
    </xf>
    <xf numFmtId="176" fontId="7" fillId="0" borderId="35" xfId="0" applyNumberFormat="1" applyFont="1" applyBorder="1"/>
    <xf numFmtId="0" fontId="13" fillId="0" borderId="0" xfId="0" applyFont="1" applyAlignment="1">
      <alignment horizontal="center"/>
    </xf>
    <xf numFmtId="9" fontId="7" fillId="0" borderId="0" xfId="0" applyNumberFormat="1" applyFont="1" applyAlignment="1">
      <alignment horizontal="center"/>
    </xf>
    <xf numFmtId="176" fontId="7" fillId="0" borderId="11" xfId="0" applyNumberFormat="1" applyFont="1" applyBorder="1"/>
    <xf numFmtId="176" fontId="7" fillId="0" borderId="16" xfId="0" applyNumberFormat="1" applyFont="1" applyBorder="1"/>
    <xf numFmtId="176" fontId="7" fillId="0" borderId="7" xfId="0" applyNumberFormat="1" applyFont="1" applyBorder="1"/>
    <xf numFmtId="9" fontId="7" fillId="0" borderId="25" xfId="2" applyFont="1" applyFill="1" applyBorder="1" applyAlignment="1">
      <alignment horizontal="center"/>
    </xf>
    <xf numFmtId="0" fontId="7" fillId="0" borderId="24" xfId="0" applyFont="1" applyBorder="1" applyAlignment="1">
      <alignment wrapText="1"/>
    </xf>
    <xf numFmtId="168" fontId="42" fillId="0" borderId="0" xfId="1" applyFont="1"/>
    <xf numFmtId="169" fontId="40" fillId="0" borderId="0" xfId="0" applyNumberFormat="1" applyFont="1"/>
    <xf numFmtId="0" fontId="13" fillId="0" borderId="0" xfId="0" applyFont="1"/>
    <xf numFmtId="168" fontId="7" fillId="0" borderId="0" xfId="1" applyFont="1"/>
    <xf numFmtId="169" fontId="13" fillId="0" borderId="0" xfId="0" applyNumberFormat="1" applyFont="1"/>
    <xf numFmtId="168" fontId="7" fillId="0" borderId="0" xfId="1" applyFont="1" applyAlignment="1">
      <alignment vertical="center"/>
    </xf>
    <xf numFmtId="168" fontId="17" fillId="0" borderId="0" xfId="1" applyFont="1"/>
    <xf numFmtId="168" fontId="7" fillId="0" borderId="36" xfId="1" applyFont="1" applyBorder="1"/>
    <xf numFmtId="168" fontId="7" fillId="0" borderId="33" xfId="1" applyFont="1" applyBorder="1"/>
    <xf numFmtId="168" fontId="7" fillId="0" borderId="34" xfId="1" applyFont="1" applyBorder="1"/>
    <xf numFmtId="169" fontId="7" fillId="0" borderId="0" xfId="0" applyNumberFormat="1" applyFont="1" applyAlignment="1">
      <alignment vertical="center"/>
    </xf>
    <xf numFmtId="2" fontId="7" fillId="0" borderId="0" xfId="1" applyNumberFormat="1" applyFont="1"/>
    <xf numFmtId="2" fontId="7" fillId="0" borderId="0" xfId="0" applyNumberFormat="1" applyFont="1"/>
    <xf numFmtId="169" fontId="7" fillId="0" borderId="0" xfId="0" applyNumberFormat="1" applyFont="1" applyAlignment="1">
      <alignment horizontal="center" vertical="center"/>
    </xf>
    <xf numFmtId="2" fontId="7" fillId="0" borderId="0" xfId="1" applyNumberFormat="1" applyFont="1" applyAlignment="1">
      <alignment horizontal="center"/>
    </xf>
    <xf numFmtId="176" fontId="7" fillId="0" borderId="0" xfId="0" applyNumberFormat="1" applyFont="1" applyAlignment="1">
      <alignment horizontal="center"/>
    </xf>
    <xf numFmtId="168" fontId="13" fillId="0" borderId="0" xfId="1" applyFont="1"/>
    <xf numFmtId="176" fontId="7" fillId="0" borderId="29" xfId="0" applyNumberFormat="1" applyFont="1" applyBorder="1" applyAlignment="1">
      <alignment horizontal="center"/>
    </xf>
    <xf numFmtId="165" fontId="13" fillId="0" borderId="0" xfId="0" applyNumberFormat="1" applyFont="1" applyAlignment="1">
      <alignment horizontal="justify" vertical="center"/>
    </xf>
    <xf numFmtId="169" fontId="13" fillId="13" borderId="28" xfId="0" applyNumberFormat="1" applyFont="1" applyFill="1" applyBorder="1"/>
    <xf numFmtId="169" fontId="13" fillId="13" borderId="28" xfId="0" applyNumberFormat="1" applyFont="1" applyFill="1" applyBorder="1" applyAlignment="1">
      <alignment horizontal="center" vertical="center"/>
    </xf>
    <xf numFmtId="176" fontId="7" fillId="0" borderId="0" xfId="0" applyNumberFormat="1" applyFont="1" applyAlignment="1">
      <alignment horizontal="center" vertical="center"/>
    </xf>
    <xf numFmtId="9" fontId="7" fillId="0" borderId="0" xfId="0" applyNumberFormat="1" applyFont="1" applyAlignment="1">
      <alignment horizontal="center" vertical="center"/>
    </xf>
    <xf numFmtId="0" fontId="17" fillId="0" borderId="20" xfId="0" applyFont="1" applyBorder="1"/>
    <xf numFmtId="0" fontId="17" fillId="0" borderId="20" xfId="0" applyFont="1" applyBorder="1" applyAlignment="1">
      <alignment horizontal="center" wrapText="1"/>
    </xf>
    <xf numFmtId="176" fontId="7" fillId="0" borderId="10" xfId="0" applyNumberFormat="1" applyFont="1" applyBorder="1" applyAlignment="1">
      <alignment horizontal="center" vertical="center"/>
    </xf>
    <xf numFmtId="9" fontId="7" fillId="0" borderId="10" xfId="0" applyNumberFormat="1" applyFont="1" applyBorder="1" applyAlignment="1">
      <alignment horizontal="center" vertical="center"/>
    </xf>
    <xf numFmtId="176" fontId="7" fillId="0" borderId="7" xfId="0" applyNumberFormat="1" applyFont="1" applyBorder="1" applyAlignment="1">
      <alignment horizontal="center" vertical="center"/>
    </xf>
    <xf numFmtId="9" fontId="7" fillId="0" borderId="7" xfId="0" applyNumberFormat="1" applyFont="1" applyBorder="1" applyAlignment="1">
      <alignment horizontal="center" vertical="center"/>
    </xf>
    <xf numFmtId="176" fontId="7" fillId="0" borderId="8" xfId="0" applyNumberFormat="1" applyFont="1" applyBorder="1" applyAlignment="1">
      <alignment horizontal="center" vertical="center"/>
    </xf>
    <xf numFmtId="176" fontId="7" fillId="0" borderId="11" xfId="0" applyNumberFormat="1" applyFont="1" applyBorder="1" applyAlignment="1">
      <alignment horizontal="center" vertical="center"/>
    </xf>
    <xf numFmtId="0" fontId="47" fillId="0" borderId="0" xfId="0" applyFont="1"/>
    <xf numFmtId="0" fontId="47" fillId="0" borderId="0" xfId="0" applyFont="1" applyAlignment="1">
      <alignment horizontal="center"/>
    </xf>
    <xf numFmtId="0" fontId="47" fillId="0" borderId="28" xfId="0" applyFont="1" applyBorder="1"/>
    <xf numFmtId="0" fontId="45" fillId="0" borderId="0" xfId="0" applyFont="1" applyAlignment="1">
      <alignment horizontal="center" wrapText="1"/>
    </xf>
    <xf numFmtId="170" fontId="47" fillId="0" borderId="0" xfId="0" applyNumberFormat="1" applyFont="1" applyAlignment="1">
      <alignment horizontal="center" vertical="center"/>
    </xf>
    <xf numFmtId="0" fontId="47" fillId="0" borderId="0" xfId="0" applyFont="1" applyAlignment="1">
      <alignment vertical="center"/>
    </xf>
    <xf numFmtId="0" fontId="47" fillId="0" borderId="0" xfId="0" applyFont="1" applyAlignment="1">
      <alignment horizontal="center" vertical="center"/>
    </xf>
    <xf numFmtId="172" fontId="47" fillId="0" borderId="0" xfId="0" applyNumberFormat="1" applyFont="1" applyAlignment="1">
      <alignment horizontal="center"/>
    </xf>
    <xf numFmtId="170" fontId="47" fillId="0" borderId="0" xfId="0" applyNumberFormat="1" applyFont="1" applyAlignment="1">
      <alignment horizontal="center"/>
    </xf>
    <xf numFmtId="0" fontId="45" fillId="0" borderId="32" xfId="0" applyFont="1" applyBorder="1" applyAlignment="1">
      <alignment horizontal="left"/>
    </xf>
    <xf numFmtId="0" fontId="45" fillId="0" borderId="0" xfId="0" applyFont="1" applyAlignment="1">
      <alignment horizontal="left"/>
    </xf>
    <xf numFmtId="170" fontId="47" fillId="0" borderId="29" xfId="0" applyNumberFormat="1" applyFont="1" applyBorder="1" applyAlignment="1">
      <alignment horizontal="center"/>
    </xf>
    <xf numFmtId="0" fontId="45" fillId="0" borderId="0" xfId="0" applyFont="1" applyAlignment="1">
      <alignment horizontal="center"/>
    </xf>
    <xf numFmtId="0" fontId="45" fillId="0" borderId="20" xfId="0" applyFont="1" applyBorder="1"/>
    <xf numFmtId="0" fontId="45" fillId="0" borderId="20" xfId="0" applyFont="1" applyBorder="1" applyAlignment="1">
      <alignment horizontal="center" wrapText="1"/>
    </xf>
    <xf numFmtId="0" fontId="45" fillId="0" borderId="0" xfId="0" applyFont="1"/>
    <xf numFmtId="176" fontId="47" fillId="0" borderId="7" xfId="0" applyNumberFormat="1" applyFont="1" applyBorder="1" applyAlignment="1">
      <alignment horizontal="center" vertical="center"/>
    </xf>
    <xf numFmtId="9" fontId="47" fillId="0" borderId="7" xfId="0" applyNumberFormat="1" applyFont="1" applyBorder="1" applyAlignment="1">
      <alignment horizontal="center" vertical="center"/>
    </xf>
    <xf numFmtId="176" fontId="47" fillId="0" borderId="8" xfId="0" applyNumberFormat="1" applyFont="1" applyBorder="1" applyAlignment="1">
      <alignment horizontal="center" vertical="center"/>
    </xf>
    <xf numFmtId="170" fontId="47" fillId="0" borderId="0" xfId="0" applyNumberFormat="1" applyFont="1"/>
    <xf numFmtId="176" fontId="47" fillId="0" borderId="10" xfId="0" applyNumberFormat="1" applyFont="1" applyBorder="1" applyAlignment="1">
      <alignment horizontal="center" vertical="center"/>
    </xf>
    <xf numFmtId="9" fontId="47" fillId="0" borderId="10" xfId="0" applyNumberFormat="1" applyFont="1" applyBorder="1" applyAlignment="1">
      <alignment horizontal="center" vertical="center"/>
    </xf>
    <xf numFmtId="176" fontId="47" fillId="0" borderId="11" xfId="0" applyNumberFormat="1" applyFont="1" applyBorder="1" applyAlignment="1">
      <alignment horizontal="center" vertical="center"/>
    </xf>
    <xf numFmtId="0" fontId="45" fillId="0" borderId="0" xfId="0" applyFont="1" applyAlignment="1">
      <alignment wrapText="1"/>
    </xf>
    <xf numFmtId="0" fontId="45" fillId="0" borderId="0" xfId="0" applyFont="1" applyAlignment="1">
      <alignment horizontal="center" vertical="center"/>
    </xf>
    <xf numFmtId="0" fontId="45" fillId="0" borderId="0" xfId="0" applyFont="1" applyAlignment="1">
      <alignment horizontal="left" wrapText="1"/>
    </xf>
    <xf numFmtId="0" fontId="45" fillId="0" borderId="32" xfId="0" applyFont="1" applyBorder="1" applyAlignment="1">
      <alignment horizontal="left" wrapText="1"/>
    </xf>
    <xf numFmtId="0" fontId="45" fillId="8" borderId="18" xfId="0" applyFont="1" applyFill="1" applyBorder="1" applyAlignment="1">
      <alignment horizontal="center"/>
    </xf>
    <xf numFmtId="0" fontId="45" fillId="0" borderId="22" xfId="0" applyFont="1" applyBorder="1" applyAlignment="1">
      <alignment horizontal="center" vertical="center"/>
    </xf>
    <xf numFmtId="0" fontId="45" fillId="0" borderId="20" xfId="0" applyFont="1" applyBorder="1" applyAlignment="1">
      <alignment horizontal="center" vertical="center"/>
    </xf>
    <xf numFmtId="0" fontId="45" fillId="0" borderId="23" xfId="0" applyFont="1" applyBorder="1" applyAlignment="1">
      <alignment horizontal="center" vertical="center" wrapText="1"/>
    </xf>
    <xf numFmtId="0" fontId="45" fillId="0" borderId="20" xfId="0" applyFont="1" applyBorder="1" applyAlignment="1">
      <alignment horizontal="center" vertical="center" wrapText="1"/>
    </xf>
    <xf numFmtId="176" fontId="47" fillId="3" borderId="8" xfId="0" applyNumberFormat="1" applyFont="1" applyFill="1" applyBorder="1"/>
    <xf numFmtId="169" fontId="47" fillId="0" borderId="0" xfId="0" applyNumberFormat="1" applyFont="1"/>
    <xf numFmtId="168" fontId="47" fillId="0" borderId="0" xfId="1" applyFont="1"/>
    <xf numFmtId="0" fontId="47" fillId="0" borderId="0" xfId="0" applyFont="1" applyAlignment="1">
      <alignment wrapText="1"/>
    </xf>
    <xf numFmtId="176" fontId="47" fillId="0" borderId="0" xfId="0" applyNumberFormat="1" applyFont="1"/>
    <xf numFmtId="9" fontId="47" fillId="0" borderId="0" xfId="2" applyFont="1" applyFill="1" applyBorder="1" applyAlignment="1">
      <alignment horizontal="center"/>
    </xf>
    <xf numFmtId="0" fontId="47" fillId="11" borderId="17" xfId="0" applyFont="1" applyFill="1" applyBorder="1" applyAlignment="1">
      <alignment horizontal="center"/>
    </xf>
    <xf numFmtId="176" fontId="45" fillId="3" borderId="28" xfId="0" applyNumberFormat="1" applyFont="1" applyFill="1" applyBorder="1"/>
    <xf numFmtId="169" fontId="51" fillId="0" borderId="0" xfId="0" applyNumberFormat="1" applyFont="1"/>
    <xf numFmtId="44" fontId="47" fillId="0" borderId="0" xfId="0" applyNumberFormat="1" applyFont="1"/>
    <xf numFmtId="169" fontId="47" fillId="0" borderId="0" xfId="0" applyNumberFormat="1" applyFont="1" applyAlignment="1">
      <alignment vertical="center"/>
    </xf>
    <xf numFmtId="44" fontId="47" fillId="0" borderId="0" xfId="0" applyNumberFormat="1" applyFont="1" applyAlignment="1">
      <alignment vertical="center"/>
    </xf>
    <xf numFmtId="169" fontId="45" fillId="13" borderId="28" xfId="0" applyNumberFormat="1" applyFont="1" applyFill="1" applyBorder="1" applyAlignment="1">
      <alignment vertical="center"/>
    </xf>
    <xf numFmtId="0" fontId="47" fillId="0" borderId="10" xfId="0" applyFont="1" applyBorder="1" applyAlignment="1">
      <alignment horizontal="center"/>
    </xf>
    <xf numFmtId="0" fontId="47" fillId="0" borderId="10" xfId="0" applyFont="1" applyBorder="1" applyAlignment="1">
      <alignment wrapText="1"/>
    </xf>
    <xf numFmtId="176" fontId="47" fillId="0" borderId="10" xfId="0" applyNumberFormat="1" applyFont="1" applyBorder="1"/>
    <xf numFmtId="9" fontId="47" fillId="0" borderId="10" xfId="2" applyFont="1" applyFill="1" applyBorder="1" applyAlignment="1">
      <alignment horizontal="center"/>
    </xf>
    <xf numFmtId="0" fontId="47" fillId="0" borderId="10" xfId="0" applyFont="1" applyBorder="1"/>
    <xf numFmtId="0" fontId="50" fillId="9" borderId="36" xfId="0" applyFont="1" applyFill="1" applyBorder="1" applyAlignment="1">
      <alignment horizontal="justify" vertical="center" wrapText="1"/>
    </xf>
    <xf numFmtId="0" fontId="47" fillId="0" borderId="7" xfId="0" applyFont="1" applyBorder="1" applyAlignment="1">
      <alignment wrapText="1"/>
    </xf>
    <xf numFmtId="0" fontId="47" fillId="0" borderId="7" xfId="0" applyFont="1" applyBorder="1" applyAlignment="1">
      <alignment horizontal="center"/>
    </xf>
    <xf numFmtId="176" fontId="47" fillId="0" borderId="7" xfId="0" applyNumberFormat="1" applyFont="1" applyBorder="1"/>
    <xf numFmtId="9" fontId="47" fillId="0" borderId="8" xfId="2" applyFont="1" applyFill="1" applyBorder="1" applyAlignment="1">
      <alignment horizontal="center"/>
    </xf>
    <xf numFmtId="0" fontId="50" fillId="15" borderId="33" xfId="0" applyFont="1" applyFill="1" applyBorder="1" applyAlignment="1">
      <alignment horizontal="justify" vertical="center" wrapText="1"/>
    </xf>
    <xf numFmtId="9" fontId="47" fillId="0" borderId="11" xfId="2" applyFont="1" applyFill="1" applyBorder="1" applyAlignment="1">
      <alignment horizontal="center"/>
    </xf>
    <xf numFmtId="0" fontId="50" fillId="12" borderId="33" xfId="0" applyFont="1" applyFill="1" applyBorder="1" applyAlignment="1">
      <alignment horizontal="justify" vertical="center" wrapText="1"/>
    </xf>
    <xf numFmtId="0" fontId="50" fillId="16" borderId="33" xfId="0" applyFont="1" applyFill="1" applyBorder="1" applyAlignment="1">
      <alignment horizontal="justify" vertical="center" wrapText="1"/>
    </xf>
    <xf numFmtId="0" fontId="50" fillId="17" borderId="33" xfId="0" applyFont="1" applyFill="1" applyBorder="1" applyAlignment="1">
      <alignment horizontal="justify" vertical="center" wrapText="1"/>
    </xf>
    <xf numFmtId="0" fontId="50" fillId="18" borderId="33" xfId="0" applyFont="1" applyFill="1" applyBorder="1" applyAlignment="1">
      <alignment horizontal="justify" vertical="center" wrapText="1"/>
    </xf>
    <xf numFmtId="0" fontId="50" fillId="19" borderId="33" xfId="0" applyFont="1" applyFill="1" applyBorder="1" applyAlignment="1">
      <alignment horizontal="justify" vertical="center" wrapText="1"/>
    </xf>
    <xf numFmtId="0" fontId="50" fillId="20" borderId="34" xfId="0" applyFont="1" applyFill="1" applyBorder="1" applyAlignment="1">
      <alignment horizontal="justify" vertical="center" wrapText="1"/>
    </xf>
    <xf numFmtId="0" fontId="47" fillId="0" borderId="35" xfId="0" applyFont="1" applyBorder="1"/>
    <xf numFmtId="0" fontId="47" fillId="0" borderId="35" xfId="0" applyFont="1" applyBorder="1" applyAlignment="1">
      <alignment horizontal="center"/>
    </xf>
    <xf numFmtId="176" fontId="47" fillId="0" borderId="35" xfId="0" applyNumberFormat="1" applyFont="1" applyBorder="1"/>
    <xf numFmtId="9" fontId="47" fillId="0" borderId="16" xfId="2" applyFont="1" applyFill="1" applyBorder="1" applyAlignment="1">
      <alignment horizontal="center"/>
    </xf>
    <xf numFmtId="0" fontId="45" fillId="11" borderId="20" xfId="0" applyFont="1" applyFill="1" applyBorder="1" applyAlignment="1">
      <alignment horizontal="center" vertical="center" wrapText="1"/>
    </xf>
    <xf numFmtId="176" fontId="47" fillId="3" borderId="29" xfId="0" applyNumberFormat="1" applyFont="1" applyFill="1" applyBorder="1"/>
    <xf numFmtId="176" fontId="47" fillId="0" borderId="36" xfId="0" applyNumberFormat="1" applyFont="1" applyBorder="1"/>
    <xf numFmtId="176" fontId="47" fillId="0" borderId="33" xfId="0" applyNumberFormat="1" applyFont="1" applyBorder="1"/>
    <xf numFmtId="176" fontId="47" fillId="3" borderId="11" xfId="0" applyNumberFormat="1" applyFont="1" applyFill="1" applyBorder="1"/>
    <xf numFmtId="176" fontId="47" fillId="0" borderId="34" xfId="0" applyNumberFormat="1" applyFont="1" applyBorder="1"/>
    <xf numFmtId="176" fontId="47" fillId="3" borderId="16" xfId="0" applyNumberFormat="1" applyFont="1" applyFill="1" applyBorder="1"/>
    <xf numFmtId="176" fontId="47" fillId="0" borderId="35" xfId="0" applyNumberFormat="1" applyFont="1" applyBorder="1" applyAlignment="1">
      <alignment horizontal="center" vertical="center"/>
    </xf>
    <xf numFmtId="9" fontId="47" fillId="0" borderId="35" xfId="2" applyFont="1" applyFill="1" applyBorder="1" applyAlignment="1">
      <alignment horizontal="center"/>
    </xf>
    <xf numFmtId="176" fontId="47" fillId="0" borderId="16" xfId="0" applyNumberFormat="1" applyFont="1" applyBorder="1" applyAlignment="1">
      <alignment horizontal="center" vertical="center"/>
    </xf>
    <xf numFmtId="9" fontId="47" fillId="0" borderId="7" xfId="2" applyFont="1" applyFill="1" applyBorder="1" applyAlignment="1">
      <alignment horizontal="center"/>
    </xf>
    <xf numFmtId="176" fontId="7" fillId="0" borderId="35" xfId="0" applyNumberFormat="1" applyFont="1" applyBorder="1" applyAlignment="1">
      <alignment horizontal="center" vertical="center"/>
    </xf>
    <xf numFmtId="176" fontId="7" fillId="0" borderId="16"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17" fillId="12" borderId="6" xfId="0" applyFont="1" applyFill="1" applyBorder="1" applyAlignment="1">
      <alignment horizontal="center" vertical="center"/>
    </xf>
    <xf numFmtId="0" fontId="17" fillId="12" borderId="46" xfId="0" applyFont="1" applyFill="1" applyBorder="1" applyAlignment="1">
      <alignment horizontal="center" vertical="center"/>
    </xf>
    <xf numFmtId="0" fontId="17" fillId="12" borderId="46" xfId="0" applyFont="1" applyFill="1" applyBorder="1" applyAlignment="1">
      <alignment horizontal="center" vertical="center" wrapText="1"/>
    </xf>
    <xf numFmtId="0" fontId="17" fillId="12" borderId="37" xfId="0" applyFont="1" applyFill="1" applyBorder="1" applyAlignment="1">
      <alignment horizontal="center" vertical="center" wrapText="1"/>
    </xf>
    <xf numFmtId="168" fontId="17" fillId="12" borderId="6" xfId="1" applyFont="1" applyFill="1" applyBorder="1" applyAlignment="1">
      <alignment horizontal="center" vertical="center" wrapText="1"/>
    </xf>
    <xf numFmtId="1" fontId="7" fillId="11" borderId="4" xfId="0" applyNumberFormat="1" applyFont="1" applyFill="1" applyBorder="1" applyAlignment="1">
      <alignment horizontal="center"/>
    </xf>
    <xf numFmtId="169" fontId="13" fillId="0" borderId="5" xfId="0" applyNumberFormat="1" applyFont="1" applyBorder="1"/>
    <xf numFmtId="9" fontId="7" fillId="0" borderId="10" xfId="0" applyNumberFormat="1" applyFont="1" applyBorder="1" applyAlignment="1">
      <alignment horizontal="center"/>
    </xf>
    <xf numFmtId="9" fontId="7" fillId="0" borderId="35" xfId="0" applyNumberFormat="1" applyFont="1" applyBorder="1" applyAlignment="1">
      <alignment horizontal="center"/>
    </xf>
    <xf numFmtId="0" fontId="7" fillId="0" borderId="31" xfId="0" applyFont="1" applyBorder="1" applyAlignment="1">
      <alignment wrapText="1"/>
    </xf>
    <xf numFmtId="0" fontId="7" fillId="0" borderId="31" xfId="0" applyFont="1" applyBorder="1" applyAlignment="1">
      <alignment horizontal="center"/>
    </xf>
    <xf numFmtId="176" fontId="7" fillId="0" borderId="31" xfId="0" applyNumberFormat="1" applyFont="1" applyBorder="1"/>
    <xf numFmtId="170" fontId="7" fillId="0" borderId="10" xfId="0" applyNumberFormat="1" applyFont="1" applyBorder="1" applyAlignment="1">
      <alignment horizontal="center" vertical="center"/>
    </xf>
    <xf numFmtId="170" fontId="7" fillId="0" borderId="7" xfId="0" applyNumberFormat="1" applyFont="1" applyBorder="1" applyAlignment="1">
      <alignment horizontal="center" vertical="center"/>
    </xf>
    <xf numFmtId="170" fontId="7" fillId="0" borderId="35" xfId="0" applyNumberFormat="1" applyFont="1" applyBorder="1" applyAlignment="1">
      <alignment horizontal="center" vertical="center"/>
    </xf>
    <xf numFmtId="1" fontId="7" fillId="11" borderId="0" xfId="0" applyNumberFormat="1" applyFont="1" applyFill="1" applyAlignment="1">
      <alignment horizontal="center"/>
    </xf>
    <xf numFmtId="176" fontId="7" fillId="0" borderId="29" xfId="0" applyNumberFormat="1" applyFont="1" applyBorder="1"/>
    <xf numFmtId="176" fontId="7" fillId="0" borderId="36" xfId="0" applyNumberFormat="1" applyFont="1" applyBorder="1"/>
    <xf numFmtId="176" fontId="7" fillId="0" borderId="33" xfId="0" applyNumberFormat="1" applyFont="1" applyBorder="1"/>
    <xf numFmtId="176" fontId="7" fillId="0" borderId="34" xfId="0" applyNumberFormat="1" applyFont="1" applyBorder="1"/>
    <xf numFmtId="0" fontId="19" fillId="0" borderId="0" xfId="0" applyFont="1"/>
    <xf numFmtId="0" fontId="23" fillId="0" borderId="25" xfId="0" applyFont="1" applyBorder="1" applyAlignment="1">
      <alignment horizontal="center" vertical="center" wrapText="1"/>
    </xf>
    <xf numFmtId="0" fontId="23" fillId="0" borderId="0" xfId="0" applyFont="1" applyAlignment="1">
      <alignment horizontal="center" vertical="center" wrapText="1"/>
    </xf>
    <xf numFmtId="0" fontId="23" fillId="3" borderId="9" xfId="6" applyFont="1" applyFill="1" applyBorder="1" applyAlignment="1">
      <alignment horizontal="center" vertical="center" wrapText="1"/>
    </xf>
    <xf numFmtId="49" fontId="52" fillId="22" borderId="29" xfId="0" applyNumberFormat="1" applyFont="1" applyFill="1" applyBorder="1" applyAlignment="1">
      <alignment horizontal="center" vertical="center" wrapText="1"/>
    </xf>
    <xf numFmtId="0" fontId="53" fillId="3" borderId="0" xfId="6" applyFont="1" applyFill="1" applyAlignment="1">
      <alignment horizontal="center" vertical="center" wrapText="1"/>
    </xf>
    <xf numFmtId="0" fontId="54" fillId="0" borderId="0" xfId="0" applyFont="1"/>
    <xf numFmtId="0" fontId="23" fillId="24" borderId="26" xfId="0" applyFont="1" applyFill="1" applyBorder="1" applyAlignment="1">
      <alignment horizontal="center" vertical="center" wrapText="1"/>
    </xf>
    <xf numFmtId="0" fontId="23" fillId="0" borderId="26" xfId="0" applyFont="1" applyBorder="1" applyAlignment="1">
      <alignment horizontal="center" vertical="center" wrapText="1"/>
    </xf>
    <xf numFmtId="0" fontId="23" fillId="0" borderId="25" xfId="0" applyFont="1" applyBorder="1" applyAlignment="1">
      <alignment horizontal="justify" vertical="center" wrapText="1"/>
    </xf>
    <xf numFmtId="166" fontId="19" fillId="0" borderId="26" xfId="9" applyFont="1" applyBorder="1" applyAlignment="1">
      <alignment vertical="center"/>
    </xf>
    <xf numFmtId="177" fontId="19" fillId="0" borderId="26" xfId="0" applyNumberFormat="1" applyFont="1" applyBorder="1" applyAlignment="1">
      <alignment vertical="center"/>
    </xf>
    <xf numFmtId="178" fontId="19" fillId="0" borderId="26" xfId="0" applyNumberFormat="1" applyFont="1" applyBorder="1" applyAlignment="1">
      <alignment vertical="center"/>
    </xf>
    <xf numFmtId="178" fontId="19" fillId="0" borderId="24" xfId="0" applyNumberFormat="1" applyFont="1" applyBorder="1" applyAlignment="1">
      <alignment horizontal="center" vertical="center"/>
    </xf>
    <xf numFmtId="178" fontId="19" fillId="0" borderId="28" xfId="0" applyNumberFormat="1" applyFont="1" applyBorder="1" applyAlignment="1">
      <alignment horizontal="center" vertical="center"/>
    </xf>
    <xf numFmtId="164" fontId="44" fillId="0" borderId="45" xfId="0" applyNumberFormat="1" applyFont="1" applyBorder="1" applyAlignment="1">
      <alignment horizontal="center" vertical="center"/>
    </xf>
    <xf numFmtId="0" fontId="19" fillId="0" borderId="25" xfId="0" applyFont="1" applyBorder="1" applyAlignment="1">
      <alignment horizontal="justify" vertical="center" wrapText="1"/>
    </xf>
    <xf numFmtId="166" fontId="19" fillId="0" borderId="28" xfId="9" applyFont="1" applyBorder="1" applyAlignment="1">
      <alignment vertical="center"/>
    </xf>
    <xf numFmtId="177" fontId="19" fillId="0" borderId="28" xfId="0" applyNumberFormat="1" applyFont="1" applyBorder="1" applyAlignment="1">
      <alignment vertical="center"/>
    </xf>
    <xf numFmtId="178" fontId="19" fillId="0" borderId="28" xfId="0" applyNumberFormat="1" applyFont="1" applyBorder="1" applyAlignment="1">
      <alignment vertical="center"/>
    </xf>
    <xf numFmtId="178" fontId="19" fillId="0" borderId="17" xfId="0" applyNumberFormat="1" applyFont="1" applyBorder="1" applyAlignment="1">
      <alignment horizontal="center" vertical="center"/>
    </xf>
    <xf numFmtId="166" fontId="19" fillId="3" borderId="26" xfId="9" applyFont="1" applyFill="1" applyBorder="1" applyAlignment="1">
      <alignment vertical="center"/>
    </xf>
    <xf numFmtId="166" fontId="19" fillId="25" borderId="26" xfId="9" applyFont="1" applyFill="1" applyBorder="1" applyAlignment="1">
      <alignment vertical="center"/>
    </xf>
    <xf numFmtId="166" fontId="19" fillId="3" borderId="28" xfId="9" applyFont="1" applyFill="1" applyBorder="1" applyAlignment="1">
      <alignment vertical="center"/>
    </xf>
    <xf numFmtId="178" fontId="19" fillId="3" borderId="28" xfId="0" applyNumberFormat="1" applyFont="1" applyFill="1" applyBorder="1" applyAlignment="1">
      <alignment vertical="center"/>
    </xf>
    <xf numFmtId="178" fontId="19" fillId="0" borderId="20" xfId="0" applyNumberFormat="1" applyFont="1" applyBorder="1" applyAlignment="1">
      <alignment horizontal="center" vertical="center"/>
    </xf>
    <xf numFmtId="164" fontId="44" fillId="0" borderId="23" xfId="0" applyNumberFormat="1" applyFont="1" applyBorder="1" applyAlignment="1">
      <alignment horizontal="center" vertical="center"/>
    </xf>
    <xf numFmtId="178" fontId="19" fillId="26" borderId="17" xfId="0" applyNumberFormat="1" applyFont="1" applyFill="1" applyBorder="1" applyAlignment="1">
      <alignment horizontal="center" vertical="center"/>
    </xf>
    <xf numFmtId="178" fontId="19" fillId="27" borderId="28" xfId="0" applyNumberFormat="1" applyFont="1" applyFill="1" applyBorder="1" applyAlignment="1">
      <alignment horizontal="center" vertical="center"/>
    </xf>
    <xf numFmtId="178" fontId="19" fillId="12" borderId="19" xfId="0" applyNumberFormat="1" applyFont="1" applyFill="1" applyBorder="1" applyAlignment="1">
      <alignment horizontal="center" vertical="center"/>
    </xf>
    <xf numFmtId="0" fontId="23" fillId="28" borderId="26" xfId="0" applyFont="1" applyFill="1" applyBorder="1" applyAlignment="1">
      <alignment horizontal="center" vertical="center" wrapText="1"/>
    </xf>
    <xf numFmtId="0" fontId="19" fillId="0" borderId="0" xfId="0" applyFont="1" applyAlignment="1">
      <alignment horizontal="center" vertical="center"/>
    </xf>
    <xf numFmtId="173" fontId="53" fillId="3" borderId="39" xfId="1" applyNumberFormat="1" applyFont="1" applyFill="1" applyBorder="1" applyAlignment="1">
      <alignment vertical="center" wrapText="1"/>
    </xf>
    <xf numFmtId="0" fontId="52" fillId="7" borderId="25" xfId="0" applyFont="1" applyFill="1" applyBorder="1" applyAlignment="1">
      <alignment horizontal="justify" vertical="center" wrapText="1"/>
    </xf>
    <xf numFmtId="0" fontId="44" fillId="7" borderId="28" xfId="0" applyFont="1" applyFill="1" applyBorder="1" applyAlignment="1">
      <alignment horizontal="justify" vertical="center" wrapText="1"/>
    </xf>
    <xf numFmtId="0" fontId="44" fillId="7" borderId="20" xfId="0" applyFont="1" applyFill="1" applyBorder="1" applyAlignment="1">
      <alignment horizontal="justify" vertical="center" wrapText="1"/>
    </xf>
    <xf numFmtId="0" fontId="23" fillId="0" borderId="29" xfId="0" applyFont="1" applyBorder="1" applyAlignment="1">
      <alignment horizontal="center" vertical="center" wrapText="1"/>
    </xf>
    <xf numFmtId="166" fontId="54" fillId="3" borderId="26" xfId="9" applyFont="1" applyFill="1" applyBorder="1" applyAlignment="1">
      <alignment vertical="center"/>
    </xf>
    <xf numFmtId="178" fontId="23" fillId="26" borderId="17" xfId="0" applyNumberFormat="1" applyFont="1" applyFill="1" applyBorder="1"/>
    <xf numFmtId="178" fontId="23" fillId="27" borderId="28" xfId="0" applyNumberFormat="1" applyFont="1" applyFill="1" applyBorder="1" applyAlignment="1">
      <alignment horizontal="center" vertical="center"/>
    </xf>
    <xf numFmtId="178" fontId="23" fillId="12" borderId="19" xfId="0" applyNumberFormat="1" applyFont="1" applyFill="1" applyBorder="1" applyAlignment="1">
      <alignment horizontal="center" vertical="center"/>
    </xf>
    <xf numFmtId="178" fontId="19" fillId="0" borderId="0" xfId="0" applyNumberFormat="1" applyFont="1" applyAlignment="1">
      <alignment horizontal="center" vertical="center"/>
    </xf>
    <xf numFmtId="178" fontId="19" fillId="0" borderId="22" xfId="0" applyNumberFormat="1" applyFont="1" applyBorder="1" applyAlignment="1">
      <alignment horizontal="center" vertical="center"/>
    </xf>
    <xf numFmtId="0" fontId="23" fillId="29" borderId="26" xfId="0" applyFont="1" applyFill="1" applyBorder="1" applyAlignment="1">
      <alignment horizontal="center" vertical="center" wrapText="1"/>
    </xf>
    <xf numFmtId="178" fontId="23" fillId="27" borderId="18" xfId="0" applyNumberFormat="1" applyFont="1" applyFill="1" applyBorder="1" applyAlignment="1">
      <alignment horizontal="center" vertical="center"/>
    </xf>
    <xf numFmtId="0" fontId="23" fillId="30" borderId="26" xfId="0" applyFont="1" applyFill="1" applyBorder="1" applyAlignment="1">
      <alignment horizontal="center" vertical="center" wrapText="1"/>
    </xf>
    <xf numFmtId="164" fontId="44" fillId="0" borderId="11" xfId="0" applyNumberFormat="1" applyFont="1" applyBorder="1" applyAlignment="1">
      <alignment horizontal="center" vertical="center"/>
    </xf>
    <xf numFmtId="166" fontId="19" fillId="0" borderId="29" xfId="9" applyFont="1" applyBorder="1" applyAlignment="1">
      <alignment vertical="center"/>
    </xf>
    <xf numFmtId="0" fontId="44" fillId="7" borderId="25" xfId="0" applyFont="1" applyFill="1" applyBorder="1" applyAlignment="1">
      <alignment horizontal="justify" vertical="center" wrapText="1"/>
    </xf>
    <xf numFmtId="178" fontId="23" fillId="3" borderId="26" xfId="0" applyNumberFormat="1" applyFont="1" applyFill="1" applyBorder="1" applyAlignment="1">
      <alignment horizontal="center" vertical="center"/>
    </xf>
    <xf numFmtId="0" fontId="23" fillId="31" borderId="17" xfId="0" applyFont="1" applyFill="1" applyBorder="1"/>
    <xf numFmtId="0" fontId="23" fillId="31" borderId="18" xfId="0" applyFont="1" applyFill="1" applyBorder="1"/>
    <xf numFmtId="0" fontId="19" fillId="31" borderId="18" xfId="0" applyFont="1" applyFill="1" applyBorder="1" applyAlignment="1">
      <alignment horizontal="center"/>
    </xf>
    <xf numFmtId="178" fontId="23" fillId="31" borderId="19" xfId="0" applyNumberFormat="1" applyFont="1" applyFill="1" applyBorder="1" applyAlignment="1">
      <alignment horizontal="center" vertical="center"/>
    </xf>
    <xf numFmtId="178" fontId="23" fillId="26" borderId="28" xfId="0" applyNumberFormat="1" applyFont="1" applyFill="1" applyBorder="1"/>
    <xf numFmtId="178" fontId="23" fillId="27" borderId="28" xfId="0" applyNumberFormat="1" applyFont="1" applyFill="1" applyBorder="1"/>
    <xf numFmtId="178" fontId="23" fillId="12" borderId="28" xfId="0" applyNumberFormat="1" applyFont="1" applyFill="1" applyBorder="1"/>
    <xf numFmtId="0" fontId="19" fillId="0" borderId="0" xfId="0" applyFont="1" applyAlignment="1">
      <alignment vertical="center"/>
    </xf>
    <xf numFmtId="0" fontId="54" fillId="0" borderId="0" xfId="0" applyFont="1" applyAlignment="1">
      <alignment vertical="center"/>
    </xf>
    <xf numFmtId="0" fontId="53" fillId="0" borderId="0" xfId="0" applyFont="1" applyAlignment="1">
      <alignment vertical="center"/>
    </xf>
    <xf numFmtId="0" fontId="55" fillId="0" borderId="0" xfId="0" applyFont="1" applyAlignment="1">
      <alignment vertical="center"/>
    </xf>
    <xf numFmtId="178" fontId="54" fillId="0" borderId="0" xfId="0" applyNumberFormat="1" applyFont="1" applyAlignment="1">
      <alignment horizontal="center" vertical="center"/>
    </xf>
    <xf numFmtId="178" fontId="54" fillId="0" borderId="0" xfId="0" applyNumberFormat="1" applyFont="1" applyAlignment="1">
      <alignment vertical="center"/>
    </xf>
    <xf numFmtId="0" fontId="54" fillId="0" borderId="0" xfId="0" applyFont="1" applyAlignment="1">
      <alignment horizontal="center" vertical="center"/>
    </xf>
    <xf numFmtId="0" fontId="54" fillId="0" borderId="0" xfId="0" applyFont="1" applyAlignment="1">
      <alignment horizontal="left" vertical="center" wrapText="1"/>
    </xf>
    <xf numFmtId="0" fontId="53" fillId="0" borderId="0" xfId="0" applyFont="1" applyAlignment="1">
      <alignment horizontal="left" vertical="center"/>
    </xf>
    <xf numFmtId="0" fontId="53" fillId="0" borderId="0" xfId="0" applyFont="1" applyAlignment="1">
      <alignment vertical="center" wrapText="1"/>
    </xf>
    <xf numFmtId="0" fontId="53" fillId="0" borderId="0" xfId="0" applyFont="1" applyAlignment="1">
      <alignment horizontal="left" vertical="center" wrapText="1"/>
    </xf>
    <xf numFmtId="178" fontId="23" fillId="0" borderId="0" xfId="0" applyNumberFormat="1" applyFont="1"/>
    <xf numFmtId="10" fontId="54" fillId="0" borderId="0" xfId="0" applyNumberFormat="1" applyFont="1" applyAlignment="1">
      <alignment vertical="center"/>
    </xf>
    <xf numFmtId="0" fontId="53" fillId="3" borderId="0" xfId="0" applyFont="1" applyFill="1" applyAlignment="1">
      <alignment horizontal="left" vertical="center"/>
    </xf>
    <xf numFmtId="178" fontId="53" fillId="0" borderId="0" xfId="0" applyNumberFormat="1" applyFont="1" applyAlignment="1">
      <alignment horizontal="center" vertical="center"/>
    </xf>
    <xf numFmtId="0" fontId="54" fillId="0" borderId="0" xfId="0" applyFont="1" applyAlignment="1">
      <alignment horizontal="left" vertical="center"/>
    </xf>
    <xf numFmtId="0" fontId="54" fillId="0" borderId="0" xfId="0" applyFont="1" applyAlignment="1">
      <alignment horizontal="justify" vertical="center" wrapText="1"/>
    </xf>
    <xf numFmtId="0" fontId="53" fillId="0" borderId="0" xfId="0" applyFont="1" applyAlignment="1">
      <alignment horizontal="justify" vertical="justify" wrapText="1"/>
    </xf>
    <xf numFmtId="0" fontId="19" fillId="0" borderId="0" xfId="0" applyFont="1" applyAlignment="1">
      <alignment wrapText="1"/>
    </xf>
    <xf numFmtId="0" fontId="47" fillId="3" borderId="10" xfId="0" applyFont="1" applyFill="1" applyBorder="1" applyAlignment="1">
      <alignment horizontal="center"/>
    </xf>
    <xf numFmtId="165" fontId="7" fillId="0" borderId="0" xfId="0" applyNumberFormat="1" applyFont="1"/>
    <xf numFmtId="0" fontId="4" fillId="16" borderId="13" xfId="0" applyFont="1" applyFill="1" applyBorder="1" applyAlignment="1">
      <alignment horizontal="center" vertical="center" wrapText="1"/>
    </xf>
    <xf numFmtId="0" fontId="4" fillId="16" borderId="14" xfId="0" applyFont="1" applyFill="1" applyBorder="1" applyAlignment="1">
      <alignment horizontal="center" vertical="center" wrapText="1"/>
    </xf>
    <xf numFmtId="0" fontId="4" fillId="16"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8" fillId="0" borderId="17" xfId="0" applyFont="1" applyBorder="1" applyAlignment="1">
      <alignment horizontal="center" vertical="justify" wrapText="1"/>
    </xf>
    <xf numFmtId="0" fontId="48" fillId="0" borderId="18" xfId="0" applyFont="1" applyBorder="1" applyAlignment="1">
      <alignment horizontal="center" vertical="justify" wrapText="1"/>
    </xf>
    <xf numFmtId="0" fontId="48" fillId="0" borderId="19" xfId="0" applyFont="1" applyBorder="1" applyAlignment="1">
      <alignment horizontal="center" vertical="justify" wrapText="1"/>
    </xf>
    <xf numFmtId="0" fontId="4" fillId="5" borderId="13"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37" fillId="3" borderId="0" xfId="0" applyFont="1" applyFill="1" applyAlignment="1">
      <alignment horizontal="left" vertical="top" wrapText="1"/>
    </xf>
    <xf numFmtId="0" fontId="4" fillId="3" borderId="10" xfId="0" applyFont="1" applyFill="1" applyBorder="1" applyAlignment="1">
      <alignment horizontal="left" vertical="top" wrapText="1"/>
    </xf>
    <xf numFmtId="0" fontId="4" fillId="3" borderId="11" xfId="0" applyFont="1" applyFill="1" applyBorder="1" applyAlignment="1">
      <alignment horizontal="left" vertical="top" wrapText="1"/>
    </xf>
    <xf numFmtId="0" fontId="5" fillId="3" borderId="35" xfId="0" applyFont="1" applyFill="1" applyBorder="1" applyAlignment="1">
      <alignment vertical="center" wrapText="1"/>
    </xf>
    <xf numFmtId="0" fontId="5" fillId="3" borderId="16" xfId="0" applyFont="1" applyFill="1" applyBorder="1" applyAlignment="1">
      <alignment vertical="center" wrapText="1"/>
    </xf>
    <xf numFmtId="0" fontId="4" fillId="3" borderId="3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10" xfId="0" applyFont="1" applyFill="1" applyBorder="1" applyAlignment="1">
      <alignment vertical="center" wrapText="1"/>
    </xf>
    <xf numFmtId="0" fontId="14" fillId="3" borderId="22"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14" fillId="3" borderId="24" xfId="0" applyFont="1" applyFill="1" applyBorder="1" applyAlignment="1">
      <alignment horizontal="center" vertical="center" wrapText="1"/>
    </xf>
    <xf numFmtId="0" fontId="4" fillId="3" borderId="10" xfId="0" applyFont="1" applyFill="1" applyBorder="1" applyAlignment="1">
      <alignment horizontal="left" vertical="center" wrapText="1"/>
    </xf>
    <xf numFmtId="0" fontId="15" fillId="3" borderId="0" xfId="0" applyFont="1" applyFill="1" applyAlignment="1">
      <alignment horizontal="center"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2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1" xfId="0" applyFont="1" applyFill="1" applyBorder="1" applyAlignment="1">
      <alignment horizontal="left" vertical="center" wrapText="1"/>
    </xf>
    <xf numFmtId="0" fontId="20" fillId="9" borderId="32" xfId="0" applyFont="1" applyFill="1" applyBorder="1" applyAlignment="1">
      <alignment horizontal="center"/>
    </xf>
    <xf numFmtId="0" fontId="20" fillId="9" borderId="0" xfId="0" applyFont="1" applyFill="1" applyAlignment="1">
      <alignment horizontal="center"/>
    </xf>
    <xf numFmtId="0" fontId="34" fillId="3" borderId="0" xfId="0" applyFont="1" applyFill="1" applyAlignment="1">
      <alignment horizontal="center" wrapText="1"/>
    </xf>
    <xf numFmtId="0" fontId="35" fillId="10" borderId="7" xfId="0" applyFont="1" applyFill="1" applyBorder="1" applyAlignment="1">
      <alignment horizontal="center" vertical="center" wrapText="1"/>
    </xf>
    <xf numFmtId="0" fontId="35" fillId="10" borderId="8" xfId="0" applyFont="1" applyFill="1" applyBorder="1" applyAlignment="1">
      <alignment horizontal="center" vertical="center" wrapText="1"/>
    </xf>
    <xf numFmtId="0" fontId="26" fillId="8" borderId="17" xfId="0" applyFont="1" applyFill="1" applyBorder="1" applyAlignment="1">
      <alignment horizontal="center"/>
    </xf>
    <xf numFmtId="0" fontId="26" fillId="8" borderId="18" xfId="0" applyFont="1" applyFill="1" applyBorder="1" applyAlignment="1">
      <alignment horizontal="center"/>
    </xf>
    <xf numFmtId="0" fontId="26" fillId="8" borderId="19" xfId="0" applyFont="1" applyFill="1" applyBorder="1" applyAlignment="1">
      <alignment horizontal="center"/>
    </xf>
    <xf numFmtId="0" fontId="26" fillId="6" borderId="22" xfId="0" applyFont="1" applyFill="1" applyBorder="1" applyAlignment="1">
      <alignment horizontal="center" vertical="center"/>
    </xf>
    <xf numFmtId="0" fontId="26" fillId="6" borderId="30" xfId="0" applyFont="1" applyFill="1" applyBorder="1" applyAlignment="1">
      <alignment horizontal="center" vertical="center"/>
    </xf>
    <xf numFmtId="0" fontId="26" fillId="6" borderId="23" xfId="0" applyFont="1" applyFill="1" applyBorder="1" applyAlignment="1">
      <alignment horizontal="center" vertical="center"/>
    </xf>
    <xf numFmtId="0" fontId="23" fillId="0" borderId="43" xfId="0" applyFont="1" applyBorder="1" applyAlignment="1">
      <alignment horizontal="center" vertical="center"/>
    </xf>
    <xf numFmtId="0" fontId="23" fillId="0" borderId="44" xfId="0" applyFont="1" applyBorder="1" applyAlignment="1">
      <alignment horizontal="center" vertical="center"/>
    </xf>
    <xf numFmtId="0" fontId="23" fillId="0" borderId="40" xfId="0" applyFont="1" applyBorder="1" applyAlignment="1">
      <alignment horizontal="center" vertical="center"/>
    </xf>
    <xf numFmtId="0" fontId="20" fillId="9" borderId="17" xfId="0" applyFont="1" applyFill="1" applyBorder="1" applyAlignment="1">
      <alignment horizontal="center" vertical="center" wrapText="1"/>
    </xf>
    <xf numFmtId="0" fontId="20" fillId="9" borderId="18" xfId="0" applyFont="1" applyFill="1" applyBorder="1" applyAlignment="1">
      <alignment horizontal="center" vertical="center" wrapText="1"/>
    </xf>
    <xf numFmtId="0" fontId="20" fillId="9" borderId="19" xfId="0" applyFont="1" applyFill="1" applyBorder="1" applyAlignment="1">
      <alignment horizontal="center" vertical="center" wrapText="1"/>
    </xf>
    <xf numFmtId="0" fontId="21" fillId="10" borderId="17" xfId="0" applyFont="1" applyFill="1" applyBorder="1" applyAlignment="1">
      <alignment horizontal="center" vertical="center"/>
    </xf>
    <xf numFmtId="0" fontId="21" fillId="10" borderId="18" xfId="0" applyFont="1" applyFill="1" applyBorder="1" applyAlignment="1">
      <alignment horizontal="center" vertical="center"/>
    </xf>
    <xf numFmtId="0" fontId="21" fillId="10" borderId="19" xfId="0" applyFont="1" applyFill="1" applyBorder="1" applyAlignment="1">
      <alignment horizontal="center" vertical="center"/>
    </xf>
    <xf numFmtId="0" fontId="0" fillId="0" borderId="22" xfId="0" applyBorder="1" applyAlignment="1">
      <alignment horizontal="left" vertical="center" wrapText="1"/>
    </xf>
    <xf numFmtId="0" fontId="0" fillId="0" borderId="30" xfId="0" applyBorder="1" applyAlignment="1">
      <alignment horizontal="left" vertical="center" wrapText="1"/>
    </xf>
    <xf numFmtId="0" fontId="0" fillId="0" borderId="23" xfId="0" applyBorder="1" applyAlignment="1">
      <alignment horizontal="left" vertical="center" wrapText="1"/>
    </xf>
    <xf numFmtId="176" fontId="47" fillId="0" borderId="17" xfId="0" applyNumberFormat="1" applyFont="1" applyBorder="1" applyAlignment="1">
      <alignment horizontal="center"/>
    </xf>
    <xf numFmtId="176" fontId="47" fillId="0" borderId="19" xfId="0" applyNumberFormat="1" applyFont="1" applyBorder="1" applyAlignment="1">
      <alignment horizontal="center"/>
    </xf>
    <xf numFmtId="0" fontId="45" fillId="0" borderId="17" xfId="0" applyFont="1" applyBorder="1" applyAlignment="1">
      <alignment horizontal="left" wrapText="1"/>
    </xf>
    <xf numFmtId="0" fontId="45" fillId="0" borderId="18" xfId="0" applyFont="1" applyBorder="1" applyAlignment="1">
      <alignment horizontal="left" wrapText="1"/>
    </xf>
    <xf numFmtId="0" fontId="45" fillId="0" borderId="19" xfId="0" applyFont="1" applyBorder="1" applyAlignment="1">
      <alignment horizontal="left" wrapText="1"/>
    </xf>
    <xf numFmtId="0" fontId="47" fillId="0" borderId="17" xfId="0" applyFont="1" applyBorder="1" applyAlignment="1">
      <alignment horizontal="center"/>
    </xf>
    <xf numFmtId="0" fontId="47" fillId="0" borderId="18" xfId="0" applyFont="1" applyBorder="1" applyAlignment="1">
      <alignment horizontal="center"/>
    </xf>
    <xf numFmtId="0" fontId="47" fillId="0" borderId="19" xfId="0" applyFont="1" applyBorder="1" applyAlignment="1">
      <alignment horizontal="center"/>
    </xf>
    <xf numFmtId="0" fontId="45" fillId="8" borderId="17" xfId="0" applyFont="1" applyFill="1" applyBorder="1" applyAlignment="1">
      <alignment horizontal="center" wrapText="1"/>
    </xf>
    <xf numFmtId="0" fontId="45" fillId="8" borderId="18" xfId="0" applyFont="1" applyFill="1" applyBorder="1" applyAlignment="1">
      <alignment horizontal="center" wrapText="1"/>
    </xf>
    <xf numFmtId="0" fontId="45" fillId="8" borderId="19" xfId="0" applyFont="1" applyFill="1" applyBorder="1" applyAlignment="1">
      <alignment horizontal="center" wrapText="1"/>
    </xf>
    <xf numFmtId="0" fontId="47" fillId="0" borderId="0" xfId="0" applyFont="1" applyAlignment="1">
      <alignment horizontal="center"/>
    </xf>
    <xf numFmtId="20" fontId="47" fillId="0" borderId="22" xfId="0" applyNumberFormat="1" applyFont="1" applyBorder="1" applyAlignment="1">
      <alignment horizontal="center" vertical="center"/>
    </xf>
    <xf numFmtId="0" fontId="47" fillId="0" borderId="23" xfId="0" applyFont="1" applyBorder="1" applyAlignment="1">
      <alignment horizontal="center" vertical="center"/>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5" fillId="0" borderId="17" xfId="0" applyFont="1" applyBorder="1" applyAlignment="1">
      <alignment horizontal="center" vertical="center"/>
    </xf>
    <xf numFmtId="0" fontId="45" fillId="0" borderId="19" xfId="0" applyFont="1" applyBorder="1" applyAlignment="1">
      <alignment horizontal="center" vertical="center"/>
    </xf>
    <xf numFmtId="0" fontId="45" fillId="0" borderId="18" xfId="0" applyFont="1" applyBorder="1" applyAlignment="1">
      <alignment horizontal="center" vertical="center"/>
    </xf>
    <xf numFmtId="0" fontId="45" fillId="13" borderId="17" xfId="0" applyFont="1" applyFill="1" applyBorder="1" applyAlignment="1">
      <alignment horizontal="center" vertical="center"/>
    </xf>
    <xf numFmtId="0" fontId="46" fillId="13" borderId="18" xfId="0" applyFont="1" applyFill="1" applyBorder="1" applyAlignment="1">
      <alignment horizontal="center" vertical="center"/>
    </xf>
    <xf numFmtId="0" fontId="46" fillId="13" borderId="19" xfId="0" applyFont="1" applyFill="1" applyBorder="1" applyAlignment="1">
      <alignment horizontal="center" vertical="center"/>
    </xf>
    <xf numFmtId="0" fontId="48" fillId="0" borderId="24" xfId="0" applyFont="1" applyBorder="1" applyAlignment="1">
      <alignment horizontal="justify" vertical="justify" wrapText="1"/>
    </xf>
    <xf numFmtId="0" fontId="48" fillId="0" borderId="31" xfId="0" applyFont="1" applyBorder="1" applyAlignment="1">
      <alignment horizontal="justify" vertical="justify" wrapText="1"/>
    </xf>
    <xf numFmtId="0" fontId="48" fillId="0" borderId="25" xfId="0" applyFont="1" applyBorder="1" applyAlignment="1">
      <alignment horizontal="justify" vertical="justify" wrapText="1"/>
    </xf>
    <xf numFmtId="0" fontId="45" fillId="8" borderId="17" xfId="0" applyFont="1" applyFill="1" applyBorder="1" applyAlignment="1">
      <alignment horizontal="center" vertical="center" wrapText="1"/>
    </xf>
    <xf numFmtId="0" fontId="45" fillId="8" borderId="18" xfId="0" applyFont="1" applyFill="1" applyBorder="1" applyAlignment="1">
      <alignment horizontal="center" vertical="center" wrapText="1"/>
    </xf>
    <xf numFmtId="0" fontId="45" fillId="8" borderId="19" xfId="0" applyFont="1" applyFill="1" applyBorder="1" applyAlignment="1">
      <alignment horizontal="center" vertical="center" wrapText="1"/>
    </xf>
    <xf numFmtId="0" fontId="45" fillId="0" borderId="17" xfId="0" applyFont="1" applyBorder="1" applyAlignment="1">
      <alignment horizontal="left" vertical="center"/>
    </xf>
    <xf numFmtId="0" fontId="45" fillId="0" borderId="18" xfId="0" applyFont="1" applyBorder="1" applyAlignment="1">
      <alignment horizontal="left" vertical="center"/>
    </xf>
    <xf numFmtId="0" fontId="45" fillId="0" borderId="19" xfId="0" applyFont="1" applyBorder="1" applyAlignment="1">
      <alignment horizontal="left" vertical="center"/>
    </xf>
    <xf numFmtId="170" fontId="47" fillId="0" borderId="17" xfId="0" applyNumberFormat="1" applyFont="1" applyBorder="1" applyAlignment="1">
      <alignment horizontal="center" vertical="center"/>
    </xf>
    <xf numFmtId="170" fontId="47" fillId="0" borderId="19" xfId="0" applyNumberFormat="1" applyFont="1" applyBorder="1" applyAlignment="1">
      <alignment horizontal="center" vertical="center"/>
    </xf>
    <xf numFmtId="0" fontId="45" fillId="0" borderId="0" xfId="0" applyFont="1" applyAlignment="1" applyProtection="1">
      <alignment horizontal="center" vertical="center"/>
      <protection hidden="1"/>
    </xf>
    <xf numFmtId="0" fontId="45" fillId="0" borderId="30" xfId="0" applyFont="1" applyBorder="1" applyAlignment="1">
      <alignment horizontal="center" wrapText="1"/>
    </xf>
    <xf numFmtId="0" fontId="45" fillId="0" borderId="0" xfId="0" applyFont="1" applyAlignment="1">
      <alignment horizontal="center" wrapText="1"/>
    </xf>
    <xf numFmtId="10" fontId="47" fillId="0" borderId="17" xfId="0" applyNumberFormat="1" applyFont="1" applyBorder="1" applyAlignment="1">
      <alignment horizontal="center"/>
    </xf>
    <xf numFmtId="0" fontId="47" fillId="0" borderId="0" xfId="0" applyFont="1" applyAlignment="1" applyProtection="1">
      <alignment horizontal="center" vertical="center" wrapText="1"/>
      <protection hidden="1"/>
    </xf>
    <xf numFmtId="0" fontId="45" fillId="0" borderId="0" xfId="0" applyFont="1" applyAlignment="1" applyProtection="1">
      <alignment horizontal="center" vertical="center" wrapText="1"/>
      <protection hidden="1"/>
    </xf>
    <xf numFmtId="0" fontId="45" fillId="8" borderId="17" xfId="0" applyFont="1" applyFill="1" applyBorder="1" applyAlignment="1">
      <alignment horizontal="center"/>
    </xf>
    <xf numFmtId="0" fontId="45" fillId="8" borderId="18" xfId="0" applyFont="1" applyFill="1" applyBorder="1" applyAlignment="1">
      <alignment horizontal="center"/>
    </xf>
    <xf numFmtId="0" fontId="45" fillId="8" borderId="19" xfId="0" applyFont="1" applyFill="1" applyBorder="1" applyAlignment="1">
      <alignment horizontal="center"/>
    </xf>
    <xf numFmtId="10" fontId="47" fillId="0" borderId="22" xfId="0" applyNumberFormat="1" applyFont="1" applyBorder="1" applyAlignment="1">
      <alignment horizontal="center" vertical="center"/>
    </xf>
    <xf numFmtId="0" fontId="47" fillId="0" borderId="30" xfId="0" applyFont="1" applyBorder="1" applyAlignment="1">
      <alignment horizontal="center" vertical="center"/>
    </xf>
    <xf numFmtId="0" fontId="47" fillId="0" borderId="31" xfId="0" applyFont="1" applyBorder="1" applyAlignment="1">
      <alignment horizontal="center" vertical="center"/>
    </xf>
    <xf numFmtId="0" fontId="45" fillId="0" borderId="17" xfId="0" applyFont="1" applyBorder="1" applyAlignment="1">
      <alignment vertical="center" wrapText="1"/>
    </xf>
    <xf numFmtId="0" fontId="45" fillId="0" borderId="18" xfId="0" applyFont="1" applyBorder="1" applyAlignment="1">
      <alignment vertical="center" wrapText="1"/>
    </xf>
    <xf numFmtId="0" fontId="45" fillId="0" borderId="19" xfId="0" applyFont="1" applyBorder="1" applyAlignment="1">
      <alignment vertical="center" wrapText="1"/>
    </xf>
    <xf numFmtId="0" fontId="45" fillId="13" borderId="17" xfId="0" applyFont="1" applyFill="1" applyBorder="1" applyAlignment="1">
      <alignment horizontal="left" vertical="center"/>
    </xf>
    <xf numFmtId="0" fontId="45" fillId="13" borderId="18" xfId="0" applyFont="1" applyFill="1" applyBorder="1" applyAlignment="1">
      <alignment horizontal="left" vertical="center"/>
    </xf>
    <xf numFmtId="0" fontId="45" fillId="13" borderId="19" xfId="0" applyFont="1" applyFill="1" applyBorder="1" applyAlignment="1">
      <alignment horizontal="left" vertical="center"/>
    </xf>
    <xf numFmtId="0" fontId="47" fillId="0" borderId="17" xfId="2" applyNumberFormat="1" applyFont="1" applyBorder="1" applyAlignment="1">
      <alignment horizontal="center"/>
    </xf>
    <xf numFmtId="0" fontId="47" fillId="0" borderId="19" xfId="2" applyNumberFormat="1" applyFont="1" applyBorder="1" applyAlignment="1">
      <alignment horizontal="center"/>
    </xf>
    <xf numFmtId="0" fontId="45" fillId="0" borderId="17" xfId="0" applyFont="1" applyBorder="1" applyAlignment="1">
      <alignment horizontal="left"/>
    </xf>
    <xf numFmtId="0" fontId="45" fillId="0" borderId="18" xfId="0" applyFont="1" applyBorder="1" applyAlignment="1">
      <alignment horizontal="left"/>
    </xf>
    <xf numFmtId="0" fontId="45" fillId="0" borderId="19" xfId="0" applyFont="1" applyBorder="1" applyAlignment="1">
      <alignment horizontal="left"/>
    </xf>
    <xf numFmtId="0" fontId="45" fillId="8" borderId="22" xfId="0" applyFont="1" applyFill="1" applyBorder="1" applyAlignment="1">
      <alignment horizontal="center"/>
    </xf>
    <xf numFmtId="0" fontId="45" fillId="8" borderId="30" xfId="0" applyFont="1" applyFill="1" applyBorder="1" applyAlignment="1">
      <alignment horizontal="center"/>
    </xf>
    <xf numFmtId="0" fontId="45" fillId="8" borderId="23" xfId="0" applyFont="1" applyFill="1" applyBorder="1" applyAlignment="1">
      <alignment horizontal="center"/>
    </xf>
    <xf numFmtId="0" fontId="45" fillId="8" borderId="22" xfId="0" applyFont="1" applyFill="1" applyBorder="1" applyAlignment="1">
      <alignment horizontal="center" wrapText="1"/>
    </xf>
    <xf numFmtId="0" fontId="45" fillId="8" borderId="30" xfId="0" applyFont="1" applyFill="1" applyBorder="1" applyAlignment="1">
      <alignment horizontal="center" wrapText="1"/>
    </xf>
    <xf numFmtId="0" fontId="45" fillId="8" borderId="23" xfId="0" applyFont="1" applyFill="1" applyBorder="1" applyAlignment="1">
      <alignment horizontal="center" wrapText="1"/>
    </xf>
    <xf numFmtId="170" fontId="47" fillId="0" borderId="17" xfId="0" applyNumberFormat="1" applyFont="1" applyBorder="1" applyAlignment="1">
      <alignment horizontal="center"/>
    </xf>
    <xf numFmtId="170" fontId="47" fillId="0" borderId="19" xfId="0" applyNumberFormat="1" applyFont="1" applyBorder="1" applyAlignment="1">
      <alignment horizontal="center"/>
    </xf>
    <xf numFmtId="0" fontId="13" fillId="0" borderId="30" xfId="0" applyFont="1" applyBorder="1" applyAlignment="1">
      <alignment horizontal="center" wrapText="1"/>
    </xf>
    <xf numFmtId="0" fontId="13" fillId="0" borderId="0" xfId="0" applyFont="1" applyAlignment="1">
      <alignment horizontal="center" wrapText="1"/>
    </xf>
    <xf numFmtId="0" fontId="13" fillId="11" borderId="17" xfId="0" applyFont="1" applyFill="1" applyBorder="1" applyAlignment="1">
      <alignment horizontal="center" vertical="center" wrapText="1"/>
    </xf>
    <xf numFmtId="0" fontId="13" fillId="11" borderId="18" xfId="0" applyFont="1" applyFill="1" applyBorder="1" applyAlignment="1">
      <alignment horizontal="center" vertical="center" wrapText="1"/>
    </xf>
    <xf numFmtId="0" fontId="13" fillId="11" borderId="19" xfId="0" applyFont="1" applyFill="1" applyBorder="1" applyAlignment="1">
      <alignment horizontal="center" vertical="center" wrapText="1"/>
    </xf>
    <xf numFmtId="0" fontId="13" fillId="0" borderId="17" xfId="0" applyFont="1" applyBorder="1" applyAlignment="1">
      <alignment horizontal="left"/>
    </xf>
    <xf numFmtId="0" fontId="13" fillId="0" borderId="18" xfId="0" applyFont="1" applyBorder="1" applyAlignment="1">
      <alignment horizontal="left"/>
    </xf>
    <xf numFmtId="0" fontId="13" fillId="0" borderId="19" xfId="0" applyFont="1" applyBorder="1" applyAlignment="1">
      <alignment horizontal="left"/>
    </xf>
    <xf numFmtId="176" fontId="7" fillId="0" borderId="17" xfId="0" applyNumberFormat="1" applyFont="1" applyBorder="1" applyAlignment="1">
      <alignment horizontal="center"/>
    </xf>
    <xf numFmtId="176" fontId="7" fillId="0" borderId="19" xfId="0" applyNumberFormat="1" applyFont="1" applyBorder="1" applyAlignment="1">
      <alignment horizontal="center"/>
    </xf>
    <xf numFmtId="0" fontId="9" fillId="8" borderId="22" xfId="0" applyFont="1" applyFill="1" applyBorder="1" applyAlignment="1">
      <alignment horizontal="center"/>
    </xf>
    <xf numFmtId="0" fontId="9" fillId="8" borderId="30" xfId="0" applyFont="1" applyFill="1" applyBorder="1" applyAlignment="1">
      <alignment horizontal="center"/>
    </xf>
    <xf numFmtId="0" fontId="9" fillId="8" borderId="23" xfId="0" applyFont="1" applyFill="1" applyBorder="1" applyAlignment="1">
      <alignment horizontal="center"/>
    </xf>
    <xf numFmtId="0" fontId="10" fillId="8" borderId="22" xfId="0" applyFont="1" applyFill="1" applyBorder="1" applyAlignment="1">
      <alignment horizontal="center"/>
    </xf>
    <xf numFmtId="0" fontId="10" fillId="8" borderId="30" xfId="0" applyFont="1" applyFill="1" applyBorder="1" applyAlignment="1">
      <alignment horizontal="center"/>
    </xf>
    <xf numFmtId="0" fontId="10" fillId="8" borderId="18" xfId="0" applyFont="1" applyFill="1" applyBorder="1" applyAlignment="1">
      <alignment horizontal="center"/>
    </xf>
    <xf numFmtId="0" fontId="10" fillId="8" borderId="23" xfId="0" applyFont="1" applyFill="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10" fontId="7" fillId="0" borderId="17" xfId="0" applyNumberFormat="1" applyFont="1" applyBorder="1" applyAlignment="1">
      <alignment horizontal="center"/>
    </xf>
    <xf numFmtId="0" fontId="11" fillId="0" borderId="0" xfId="0" applyFont="1" applyAlignment="1" applyProtection="1">
      <alignment horizontal="center" vertical="center" wrapText="1"/>
      <protection hidden="1"/>
    </xf>
    <xf numFmtId="0" fontId="18" fillId="0" borderId="0" xfId="0" applyFont="1" applyAlignment="1" applyProtection="1">
      <alignment horizontal="center" vertical="center" wrapText="1"/>
      <protection hidden="1"/>
    </xf>
    <xf numFmtId="10" fontId="7" fillId="0" borderId="22" xfId="0" applyNumberFormat="1" applyFont="1" applyBorder="1" applyAlignment="1">
      <alignment horizontal="center" vertical="center"/>
    </xf>
    <xf numFmtId="0" fontId="7" fillId="0" borderId="30"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31" xfId="0" applyFont="1" applyBorder="1" applyAlignment="1">
      <alignment horizontal="center" vertical="center"/>
    </xf>
    <xf numFmtId="0" fontId="7" fillId="0" borderId="25" xfId="0" applyFont="1" applyBorder="1" applyAlignment="1">
      <alignment horizontal="center" vertical="center"/>
    </xf>
    <xf numFmtId="0" fontId="13" fillId="8" borderId="22" xfId="0" applyFont="1" applyFill="1" applyBorder="1" applyAlignment="1">
      <alignment horizontal="center"/>
    </xf>
    <xf numFmtId="0" fontId="13" fillId="8" borderId="23" xfId="0" applyFont="1" applyFill="1" applyBorder="1" applyAlignment="1">
      <alignment horizontal="center"/>
    </xf>
    <xf numFmtId="0" fontId="13" fillId="0" borderId="17" xfId="0" applyFont="1" applyBorder="1" applyAlignment="1">
      <alignment horizontal="left" vertical="center"/>
    </xf>
    <xf numFmtId="0" fontId="13" fillId="0" borderId="18" xfId="0" applyFont="1" applyBorder="1" applyAlignment="1">
      <alignment horizontal="left" vertical="center"/>
    </xf>
    <xf numFmtId="0" fontId="13" fillId="0" borderId="19" xfId="0" applyFont="1" applyBorder="1" applyAlignment="1">
      <alignment horizontal="left" vertical="center"/>
    </xf>
    <xf numFmtId="170" fontId="7" fillId="0" borderId="17" xfId="0" applyNumberFormat="1" applyFont="1" applyBorder="1" applyAlignment="1">
      <alignment horizontal="center" vertical="center"/>
    </xf>
    <xf numFmtId="170" fontId="7" fillId="0" borderId="19" xfId="0" applyNumberFormat="1" applyFont="1" applyBorder="1" applyAlignment="1">
      <alignment horizontal="center" vertical="center"/>
    </xf>
    <xf numFmtId="0" fontId="9" fillId="13" borderId="17" xfId="0" applyFont="1" applyFill="1" applyBorder="1" applyAlignment="1">
      <alignment horizontal="center" vertical="center"/>
    </xf>
    <xf numFmtId="0" fontId="21" fillId="13" borderId="18" xfId="0" applyFont="1" applyFill="1" applyBorder="1" applyAlignment="1">
      <alignment horizontal="center" vertical="center"/>
    </xf>
    <xf numFmtId="0" fontId="21" fillId="13" borderId="19" xfId="0" applyFont="1" applyFill="1" applyBorder="1" applyAlignment="1">
      <alignment horizontal="center" vertical="center"/>
    </xf>
    <xf numFmtId="0" fontId="13" fillId="0" borderId="17" xfId="0" applyFont="1" applyBorder="1" applyAlignment="1">
      <alignment vertical="center" wrapText="1"/>
    </xf>
    <xf numFmtId="0" fontId="13" fillId="0" borderId="18" xfId="0" applyFont="1" applyBorder="1" applyAlignment="1">
      <alignment vertical="center" wrapText="1"/>
    </xf>
    <xf numFmtId="0" fontId="13" fillId="0" borderId="19" xfId="0" applyFont="1" applyBorder="1" applyAlignment="1">
      <alignment vertical="center" wrapText="1"/>
    </xf>
    <xf numFmtId="0" fontId="13" fillId="0" borderId="17" xfId="0" applyFont="1" applyBorder="1" applyAlignment="1">
      <alignment horizontal="left" wrapText="1"/>
    </xf>
    <xf numFmtId="0" fontId="13" fillId="0" borderId="18" xfId="0" applyFont="1" applyBorder="1" applyAlignment="1">
      <alignment horizontal="left" wrapText="1"/>
    </xf>
    <xf numFmtId="0" fontId="13" fillId="0" borderId="19" xfId="0" applyFont="1" applyBorder="1" applyAlignment="1">
      <alignment horizontal="left" wrapText="1"/>
    </xf>
    <xf numFmtId="0" fontId="10" fillId="8" borderId="17" xfId="0" applyFont="1" applyFill="1" applyBorder="1" applyAlignment="1">
      <alignment horizontal="center" wrapText="1"/>
    </xf>
    <xf numFmtId="0" fontId="10" fillId="8" borderId="18" xfId="0" applyFont="1" applyFill="1" applyBorder="1" applyAlignment="1">
      <alignment horizontal="center" wrapText="1"/>
    </xf>
    <xf numFmtId="0" fontId="10" fillId="8" borderId="19" xfId="0" applyFont="1" applyFill="1" applyBorder="1" applyAlignment="1">
      <alignment horizontal="center" wrapText="1"/>
    </xf>
    <xf numFmtId="0" fontId="13" fillId="0" borderId="17" xfId="0" applyFont="1" applyBorder="1" applyAlignment="1">
      <alignment horizontal="center" vertical="center"/>
    </xf>
    <xf numFmtId="0" fontId="13" fillId="0" borderId="19" xfId="0" applyFont="1" applyBorder="1" applyAlignment="1">
      <alignment horizontal="center" vertical="center"/>
    </xf>
    <xf numFmtId="0" fontId="13" fillId="0" borderId="18" xfId="0" applyFont="1" applyBorder="1" applyAlignment="1">
      <alignment horizontal="center" vertical="center"/>
    </xf>
    <xf numFmtId="0" fontId="18" fillId="0" borderId="0" xfId="0" applyFont="1" applyAlignment="1" applyProtection="1">
      <alignment horizontal="center" vertical="center"/>
      <protection hidden="1"/>
    </xf>
    <xf numFmtId="170" fontId="7" fillId="0" borderId="17" xfId="0" applyNumberFormat="1" applyFont="1" applyBorder="1" applyAlignment="1">
      <alignment horizontal="center"/>
    </xf>
    <xf numFmtId="170" fontId="7" fillId="0" borderId="19" xfId="0" applyNumberFormat="1" applyFont="1" applyBorder="1" applyAlignment="1">
      <alignment horizontal="center"/>
    </xf>
    <xf numFmtId="20" fontId="7" fillId="0" borderId="22" xfId="0" applyNumberFormat="1" applyFont="1" applyBorder="1" applyAlignment="1">
      <alignment horizontal="center" vertical="center"/>
    </xf>
    <xf numFmtId="0" fontId="7" fillId="0" borderId="17" xfId="2" applyNumberFormat="1" applyFont="1" applyBorder="1" applyAlignment="1">
      <alignment horizontal="center"/>
    </xf>
    <xf numFmtId="0" fontId="7" fillId="0" borderId="19" xfId="2" applyNumberFormat="1" applyFont="1" applyBorder="1" applyAlignment="1">
      <alignment horizontal="center"/>
    </xf>
    <xf numFmtId="0" fontId="13" fillId="13" borderId="17" xfId="0" applyFont="1" applyFill="1" applyBorder="1" applyAlignment="1">
      <alignment horizontal="left" vertical="center"/>
    </xf>
    <xf numFmtId="0" fontId="13" fillId="13" borderId="18" xfId="0" applyFont="1" applyFill="1" applyBorder="1" applyAlignment="1">
      <alignment horizontal="left" vertical="center"/>
    </xf>
    <xf numFmtId="0" fontId="13" fillId="13" borderId="19" xfId="0" applyFont="1" applyFill="1" applyBorder="1" applyAlignment="1">
      <alignment horizontal="left" vertical="center"/>
    </xf>
    <xf numFmtId="0" fontId="10" fillId="8" borderId="17" xfId="0" applyFont="1" applyFill="1" applyBorder="1" applyAlignment="1">
      <alignment horizontal="center" vertical="center" wrapText="1"/>
    </xf>
    <xf numFmtId="0" fontId="10" fillId="8" borderId="18" xfId="0" applyFont="1" applyFill="1" applyBorder="1" applyAlignment="1">
      <alignment horizontal="center" vertical="center" wrapText="1"/>
    </xf>
    <xf numFmtId="0" fontId="10" fillId="8" borderId="19" xfId="0" applyFont="1" applyFill="1" applyBorder="1" applyAlignment="1">
      <alignment horizontal="center" vertical="center" wrapText="1"/>
    </xf>
    <xf numFmtId="0" fontId="10" fillId="8" borderId="22" xfId="0" applyFont="1" applyFill="1" applyBorder="1" applyAlignment="1">
      <alignment horizontal="center" wrapText="1"/>
    </xf>
    <xf numFmtId="0" fontId="10" fillId="8" borderId="30" xfId="0" applyFont="1" applyFill="1" applyBorder="1" applyAlignment="1">
      <alignment horizontal="center" wrapText="1"/>
    </xf>
    <xf numFmtId="0" fontId="10" fillId="8" borderId="23" xfId="0" applyFont="1" applyFill="1" applyBorder="1" applyAlignment="1">
      <alignment horizontal="center" wrapText="1"/>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0" fillId="8" borderId="17" xfId="0" applyFont="1" applyFill="1" applyBorder="1" applyAlignment="1">
      <alignment horizontal="center"/>
    </xf>
    <xf numFmtId="0" fontId="10" fillId="8" borderId="19" xfId="0" applyFont="1" applyFill="1" applyBorder="1" applyAlignment="1">
      <alignment horizontal="center"/>
    </xf>
    <xf numFmtId="0" fontId="13" fillId="8" borderId="17" xfId="0" applyFont="1" applyFill="1" applyBorder="1" applyAlignment="1">
      <alignment horizontal="center"/>
    </xf>
    <xf numFmtId="0" fontId="13" fillId="8" borderId="19" xfId="0" applyFont="1" applyFill="1" applyBorder="1" applyAlignment="1">
      <alignment horizontal="center"/>
    </xf>
    <xf numFmtId="0" fontId="13" fillId="13" borderId="17" xfId="0" applyFont="1" applyFill="1" applyBorder="1" applyAlignment="1">
      <alignment horizontal="left"/>
    </xf>
    <xf numFmtId="0" fontId="13" fillId="13" borderId="18" xfId="0" applyFont="1" applyFill="1" applyBorder="1" applyAlignment="1">
      <alignment horizontal="left"/>
    </xf>
    <xf numFmtId="0" fontId="13" fillId="13" borderId="19" xfId="0" applyFont="1" applyFill="1" applyBorder="1" applyAlignment="1">
      <alignment horizontal="left"/>
    </xf>
    <xf numFmtId="0" fontId="54" fillId="0" borderId="0" xfId="0" applyFont="1" applyAlignment="1">
      <alignment horizontal="left" vertical="top" wrapText="1"/>
    </xf>
    <xf numFmtId="0" fontId="54" fillId="0" borderId="0" xfId="0" applyFont="1" applyAlignment="1">
      <alignment horizontal="left" vertical="center" wrapText="1"/>
    </xf>
    <xf numFmtId="173" fontId="53" fillId="3" borderId="17" xfId="1" applyNumberFormat="1" applyFont="1" applyFill="1" applyBorder="1" applyAlignment="1">
      <alignment vertical="center" wrapText="1"/>
    </xf>
    <xf numFmtId="173" fontId="53" fillId="3" borderId="19" xfId="1" applyNumberFormat="1" applyFont="1" applyFill="1" applyBorder="1" applyAlignment="1">
      <alignment vertical="center" wrapText="1"/>
    </xf>
    <xf numFmtId="173" fontId="53" fillId="30" borderId="17" xfId="1" applyNumberFormat="1" applyFont="1" applyFill="1" applyBorder="1" applyAlignment="1">
      <alignment horizontal="center" vertical="center" wrapText="1"/>
    </xf>
    <xf numFmtId="173" fontId="53" fillId="30" borderId="18" xfId="1" applyNumberFormat="1" applyFont="1" applyFill="1" applyBorder="1" applyAlignment="1">
      <alignment horizontal="center" vertical="center" wrapText="1"/>
    </xf>
    <xf numFmtId="173" fontId="53" fillId="30" borderId="19" xfId="1" applyNumberFormat="1" applyFont="1" applyFill="1" applyBorder="1" applyAlignment="1">
      <alignment horizontal="center" vertical="center" wrapText="1"/>
    </xf>
    <xf numFmtId="0" fontId="23" fillId="3" borderId="17" xfId="0" applyFont="1" applyFill="1" applyBorder="1" applyAlignment="1">
      <alignment horizontal="right" vertical="center" wrapText="1"/>
    </xf>
    <xf numFmtId="0" fontId="23" fillId="3" borderId="31" xfId="0" applyFont="1" applyFill="1" applyBorder="1" applyAlignment="1">
      <alignment horizontal="right" vertical="center" wrapText="1"/>
    </xf>
    <xf numFmtId="0" fontId="23" fillId="3" borderId="25" xfId="0" applyFont="1" applyFill="1" applyBorder="1" applyAlignment="1">
      <alignment horizontal="right" vertical="center" wrapText="1"/>
    </xf>
    <xf numFmtId="0" fontId="23" fillId="30" borderId="17" xfId="0" applyFont="1" applyFill="1" applyBorder="1" applyAlignment="1">
      <alignment horizontal="justify" vertical="center" wrapText="1"/>
    </xf>
    <xf numFmtId="0" fontId="23" fillId="30" borderId="18" xfId="0" applyFont="1" applyFill="1" applyBorder="1" applyAlignment="1">
      <alignment horizontal="justify" vertical="center" wrapText="1"/>
    </xf>
    <xf numFmtId="0" fontId="23" fillId="30" borderId="19" xfId="0" applyFont="1" applyFill="1" applyBorder="1" applyAlignment="1">
      <alignment horizontal="justify" vertical="center" wrapText="1"/>
    </xf>
    <xf numFmtId="178" fontId="23" fillId="29" borderId="17" xfId="0" applyNumberFormat="1" applyFont="1" applyFill="1" applyBorder="1" applyAlignment="1">
      <alignment horizontal="right" vertical="center" wrapText="1"/>
    </xf>
    <xf numFmtId="0" fontId="23" fillId="29" borderId="18" xfId="0" applyFont="1" applyFill="1" applyBorder="1" applyAlignment="1">
      <alignment horizontal="right" vertical="center" wrapText="1"/>
    </xf>
    <xf numFmtId="0" fontId="23" fillId="29" borderId="19" xfId="0" applyFont="1" applyFill="1" applyBorder="1" applyAlignment="1">
      <alignment horizontal="right" vertical="center" wrapText="1"/>
    </xf>
    <xf numFmtId="178" fontId="23" fillId="28" borderId="17" xfId="0" applyNumberFormat="1" applyFont="1" applyFill="1" applyBorder="1" applyAlignment="1">
      <alignment horizontal="right" vertical="center" wrapText="1"/>
    </xf>
    <xf numFmtId="0" fontId="23" fillId="28" borderId="18" xfId="0" applyFont="1" applyFill="1" applyBorder="1" applyAlignment="1">
      <alignment horizontal="right" vertical="center" wrapText="1"/>
    </xf>
    <xf numFmtId="0" fontId="23" fillId="28" borderId="19" xfId="0" applyFont="1" applyFill="1" applyBorder="1" applyAlignment="1">
      <alignment horizontal="right" vertical="center" wrapText="1"/>
    </xf>
    <xf numFmtId="0" fontId="23" fillId="29" borderId="17" xfId="0" applyFont="1" applyFill="1" applyBorder="1" applyAlignment="1">
      <alignment horizontal="justify" vertical="center" wrapText="1"/>
    </xf>
    <xf numFmtId="0" fontId="23" fillId="29" borderId="18" xfId="0" applyFont="1" applyFill="1" applyBorder="1" applyAlignment="1">
      <alignment horizontal="justify" vertical="center" wrapText="1"/>
    </xf>
    <xf numFmtId="0" fontId="23" fillId="29" borderId="19" xfId="0" applyFont="1" applyFill="1" applyBorder="1" applyAlignment="1">
      <alignment horizontal="justify" vertical="center" wrapText="1"/>
    </xf>
    <xf numFmtId="0" fontId="23" fillId="28" borderId="17" xfId="0" applyFont="1" applyFill="1" applyBorder="1" applyAlignment="1">
      <alignment horizontal="center" vertical="center" wrapText="1"/>
    </xf>
    <xf numFmtId="0" fontId="23" fillId="28" borderId="18" xfId="0" applyFont="1" applyFill="1" applyBorder="1" applyAlignment="1">
      <alignment horizontal="center" vertical="center" wrapText="1"/>
    </xf>
    <xf numFmtId="0" fontId="23" fillId="28" borderId="19" xfId="0" applyFont="1" applyFill="1" applyBorder="1" applyAlignment="1">
      <alignment horizontal="center" vertical="center" wrapText="1"/>
    </xf>
    <xf numFmtId="0" fontId="23" fillId="28" borderId="22" xfId="0" applyFont="1" applyFill="1" applyBorder="1" applyAlignment="1">
      <alignment horizontal="left" vertical="center" wrapText="1"/>
    </xf>
    <xf numFmtId="0" fontId="23" fillId="28" borderId="30" xfId="0" applyFont="1" applyFill="1" applyBorder="1" applyAlignment="1">
      <alignment horizontal="left" vertical="center" wrapText="1"/>
    </xf>
    <xf numFmtId="178" fontId="23" fillId="24" borderId="17" xfId="0" applyNumberFormat="1" applyFont="1" applyFill="1" applyBorder="1" applyAlignment="1">
      <alignment horizontal="center" vertical="center" wrapText="1"/>
    </xf>
    <xf numFmtId="178" fontId="23" fillId="24" borderId="18" xfId="0" applyNumberFormat="1" applyFont="1" applyFill="1" applyBorder="1" applyAlignment="1">
      <alignment horizontal="center" vertical="center" wrapText="1"/>
    </xf>
    <xf numFmtId="178" fontId="23" fillId="24" borderId="19" xfId="0" applyNumberFormat="1" applyFont="1" applyFill="1" applyBorder="1" applyAlignment="1">
      <alignment horizontal="center" vertical="center" wrapText="1"/>
    </xf>
    <xf numFmtId="0" fontId="23" fillId="28" borderId="17" xfId="0" applyFont="1" applyFill="1" applyBorder="1" applyAlignment="1">
      <alignment horizontal="justify" vertical="center" wrapText="1"/>
    </xf>
    <xf numFmtId="0" fontId="23" fillId="28" borderId="18" xfId="0" applyFont="1" applyFill="1" applyBorder="1" applyAlignment="1">
      <alignment horizontal="justify" vertical="center" wrapText="1"/>
    </xf>
    <xf numFmtId="0" fontId="23" fillId="28" borderId="19" xfId="0" applyFont="1" applyFill="1" applyBorder="1" applyAlignment="1">
      <alignment horizontal="justify" vertical="center" wrapText="1"/>
    </xf>
    <xf numFmtId="0" fontId="23" fillId="21" borderId="24" xfId="0" applyFont="1" applyFill="1" applyBorder="1" applyAlignment="1">
      <alignment horizontal="center" vertical="center" wrapText="1"/>
    </xf>
    <xf numFmtId="0" fontId="23" fillId="21" borderId="31" xfId="0" applyFont="1" applyFill="1" applyBorder="1" applyAlignment="1">
      <alignment horizontal="center" vertical="center" wrapText="1"/>
    </xf>
    <xf numFmtId="0" fontId="23" fillId="0" borderId="22"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4" borderId="32" xfId="0" applyFont="1" applyFill="1" applyBorder="1" applyAlignment="1">
      <alignment horizontal="center" vertical="center" wrapText="1"/>
    </xf>
    <xf numFmtId="0" fontId="23" fillId="4" borderId="0" xfId="0" applyFont="1" applyFill="1" applyAlignment="1">
      <alignment horizontal="center" vertical="center" wrapText="1"/>
    </xf>
    <xf numFmtId="0" fontId="23" fillId="0" borderId="17"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4" borderId="20" xfId="0" applyFont="1" applyFill="1" applyBorder="1" applyAlignment="1">
      <alignment horizontal="center" vertical="center" wrapText="1"/>
    </xf>
    <xf numFmtId="0" fontId="23" fillId="4" borderId="21"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52" fillId="4" borderId="20" xfId="0" applyFont="1" applyFill="1" applyBorder="1" applyAlignment="1">
      <alignment horizontal="center" vertical="center" wrapText="1"/>
    </xf>
    <xf numFmtId="0" fontId="52" fillId="4" borderId="21" xfId="0" applyFont="1" applyFill="1" applyBorder="1" applyAlignment="1">
      <alignment horizontal="center" vertical="center" wrapText="1"/>
    </xf>
    <xf numFmtId="0" fontId="52" fillId="4" borderId="29" xfId="0" applyFont="1" applyFill="1" applyBorder="1" applyAlignment="1">
      <alignment horizontal="center" vertical="center" wrapText="1"/>
    </xf>
    <xf numFmtId="0" fontId="23" fillId="14" borderId="24" xfId="6" applyFont="1" applyFill="1" applyBorder="1" applyAlignment="1">
      <alignment horizontal="center" vertical="center" wrapText="1"/>
    </xf>
    <xf numFmtId="0" fontId="23" fillId="14" borderId="31" xfId="6" applyFont="1" applyFill="1" applyBorder="1" applyAlignment="1">
      <alignment horizontal="center" vertical="center" wrapText="1"/>
    </xf>
    <xf numFmtId="0" fontId="23" fillId="14" borderId="25" xfId="6" applyFont="1" applyFill="1" applyBorder="1" applyAlignment="1">
      <alignment horizontal="center" vertical="center" wrapText="1"/>
    </xf>
    <xf numFmtId="0" fontId="19" fillId="0" borderId="17" xfId="0" applyFont="1" applyBorder="1" applyAlignment="1">
      <alignment horizontal="center"/>
    </xf>
    <xf numFmtId="0" fontId="19" fillId="0" borderId="18" xfId="0" applyFont="1" applyBorder="1" applyAlignment="1">
      <alignment horizontal="center"/>
    </xf>
    <xf numFmtId="0" fontId="53" fillId="23" borderId="20" xfId="6" applyFont="1" applyFill="1" applyBorder="1" applyAlignment="1">
      <alignment horizontal="center" vertical="center" wrapText="1"/>
    </xf>
    <xf numFmtId="0" fontId="53" fillId="23" borderId="21" xfId="6" applyFont="1" applyFill="1" applyBorder="1" applyAlignment="1">
      <alignment horizontal="center" vertical="center" wrapText="1"/>
    </xf>
    <xf numFmtId="0" fontId="53" fillId="23" borderId="23" xfId="6" applyFont="1" applyFill="1" applyBorder="1" applyAlignment="1">
      <alignment horizontal="center" vertical="center" wrapText="1"/>
    </xf>
    <xf numFmtId="0" fontId="53" fillId="23" borderId="29" xfId="6" applyFont="1" applyFill="1" applyBorder="1" applyAlignment="1">
      <alignment horizontal="center" vertical="center" wrapText="1"/>
    </xf>
    <xf numFmtId="10" fontId="23" fillId="23" borderId="20" xfId="2" applyNumberFormat="1" applyFont="1" applyFill="1" applyBorder="1" applyAlignment="1">
      <alignment horizontal="center" vertical="center" wrapText="1"/>
    </xf>
    <xf numFmtId="10" fontId="23" fillId="23" borderId="21" xfId="2" applyNumberFormat="1" applyFont="1" applyFill="1" applyBorder="1" applyAlignment="1">
      <alignment horizontal="center" vertical="center" wrapText="1"/>
    </xf>
    <xf numFmtId="173" fontId="53" fillId="3" borderId="24" xfId="1" applyNumberFormat="1" applyFont="1" applyFill="1" applyBorder="1" applyAlignment="1">
      <alignment vertical="center" wrapText="1"/>
    </xf>
    <xf numFmtId="173" fontId="53" fillId="3" borderId="25" xfId="1" applyNumberFormat="1" applyFont="1" applyFill="1" applyBorder="1" applyAlignment="1">
      <alignment vertical="center" wrapText="1"/>
    </xf>
    <xf numFmtId="0" fontId="52" fillId="24" borderId="17" xfId="0" applyFont="1" applyFill="1" applyBorder="1" applyAlignment="1">
      <alignment horizontal="left" vertical="center" wrapText="1"/>
    </xf>
    <xf numFmtId="0" fontId="52" fillId="24" borderId="18" xfId="0" applyFont="1" applyFill="1" applyBorder="1" applyAlignment="1">
      <alignment horizontal="left" vertical="center" wrapText="1"/>
    </xf>
    <xf numFmtId="0" fontId="52" fillId="24" borderId="19" xfId="0" applyFont="1" applyFill="1" applyBorder="1" applyAlignment="1">
      <alignment horizontal="left" vertical="center" wrapText="1"/>
    </xf>
    <xf numFmtId="0" fontId="19" fillId="3" borderId="17" xfId="0" applyFont="1" applyFill="1" applyBorder="1" applyAlignment="1"/>
    <xf numFmtId="0" fontId="19" fillId="3" borderId="18" xfId="0" applyFont="1" applyFill="1" applyBorder="1" applyAlignment="1"/>
    <xf numFmtId="0" fontId="19" fillId="3" borderId="19" xfId="0" applyFont="1" applyFill="1" applyBorder="1" applyAlignment="1"/>
  </cellXfs>
  <cellStyles count="10">
    <cellStyle name="Hipervínculo" xfId="3" builtinId="8"/>
    <cellStyle name="Moneda" xfId="1" builtinId="4"/>
    <cellStyle name="Moneda [0]" xfId="9" builtinId="7"/>
    <cellStyle name="Moneda 2" xfId="4" xr:uid="{00000000-0005-0000-0000-000002000000}"/>
    <cellStyle name="Moneda 3" xfId="7" xr:uid="{00000000-0005-0000-0000-000003000000}"/>
    <cellStyle name="Normal" xfId="0" builtinId="0"/>
    <cellStyle name="Normal 2" xfId="5" xr:uid="{00000000-0005-0000-0000-000005000000}"/>
    <cellStyle name="Normal_HERRAMIENTAS PARA TRANSPORTE" xfId="6" xr:uid="{00000000-0005-0000-0000-000006000000}"/>
    <cellStyle name="Porcentaje" xfId="2" builtinId="5"/>
    <cellStyle name="Porcentaje 2" xfId="8" xr:uid="{00000000-0005-0000-0000-000008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0</xdr:col>
      <xdr:colOff>695324</xdr:colOff>
      <xdr:row>1</xdr:row>
      <xdr:rowOff>28575</xdr:rowOff>
    </xdr:from>
    <xdr:to>
      <xdr:col>1</xdr:col>
      <xdr:colOff>1314449</xdr:colOff>
      <xdr:row>1</xdr:row>
      <xdr:rowOff>452600</xdr:rowOff>
    </xdr:to>
    <xdr:pic>
      <xdr:nvPicPr>
        <xdr:cNvPr id="3" name="Imagen 20" descr="LogoHorizontal">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42900" y="238125"/>
          <a:ext cx="952500"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xdr:colOff>
      <xdr:row>1</xdr:row>
      <xdr:rowOff>34172</xdr:rowOff>
    </xdr:from>
    <xdr:to>
      <xdr:col>2</xdr:col>
      <xdr:colOff>1190626</xdr:colOff>
      <xdr:row>2</xdr:row>
      <xdr:rowOff>1</xdr:rowOff>
    </xdr:to>
    <xdr:pic>
      <xdr:nvPicPr>
        <xdr:cNvPr id="4" name="Imagen 20" descr="LogoHorizontal">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42900" y="243205"/>
          <a:ext cx="2143125"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47624</xdr:colOff>
      <xdr:row>1</xdr:row>
      <xdr:rowOff>28575</xdr:rowOff>
    </xdr:from>
    <xdr:to>
      <xdr:col>1</xdr:col>
      <xdr:colOff>867828</xdr:colOff>
      <xdr:row>1</xdr:row>
      <xdr:rowOff>695325</xdr:rowOff>
    </xdr:to>
    <xdr:pic>
      <xdr:nvPicPr>
        <xdr:cNvPr id="3" name="Imagen 20" descr="LogoHorizontal">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6990" y="352425"/>
          <a:ext cx="258254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390525</xdr:colOff>
      <xdr:row>2</xdr:row>
      <xdr:rowOff>295275</xdr:rowOff>
    </xdr:from>
    <xdr:to>
      <xdr:col>0</xdr:col>
      <xdr:colOff>2647950</xdr:colOff>
      <xdr:row>2</xdr:row>
      <xdr:rowOff>1271012</xdr:rowOff>
    </xdr:to>
    <xdr:pic>
      <xdr:nvPicPr>
        <xdr:cNvPr id="2" name="Imagen 20" descr="LogoHorizontal">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666750" y="485775"/>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159807</xdr:colOff>
      <xdr:row>2</xdr:row>
      <xdr:rowOff>402166</xdr:rowOff>
    </xdr:from>
    <xdr:to>
      <xdr:col>0</xdr:col>
      <xdr:colOff>2417232</xdr:colOff>
      <xdr:row>2</xdr:row>
      <xdr:rowOff>1377903</xdr:rowOff>
    </xdr:to>
    <xdr:pic>
      <xdr:nvPicPr>
        <xdr:cNvPr id="2" name="Imagen 20" descr="LogoHorizontal">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59807" y="1068916"/>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371475</xdr:colOff>
      <xdr:row>2</xdr:row>
      <xdr:rowOff>190500</xdr:rowOff>
    </xdr:from>
    <xdr:to>
      <xdr:col>0</xdr:col>
      <xdr:colOff>2628900</xdr:colOff>
      <xdr:row>2</xdr:row>
      <xdr:rowOff>1166237</xdr:rowOff>
    </xdr:to>
    <xdr:pic>
      <xdr:nvPicPr>
        <xdr:cNvPr id="2" name="Imagen 20" descr="LogoHorizontal">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58208</xdr:colOff>
      <xdr:row>0</xdr:row>
      <xdr:rowOff>122061</xdr:rowOff>
    </xdr:from>
    <xdr:to>
      <xdr:col>1</xdr:col>
      <xdr:colOff>1860096</xdr:colOff>
      <xdr:row>3</xdr:row>
      <xdr:rowOff>69249</xdr:rowOff>
    </xdr:to>
    <xdr:pic>
      <xdr:nvPicPr>
        <xdr:cNvPr id="3" name="Imagen 2">
          <a:extLst>
            <a:ext uri="{FF2B5EF4-FFF2-40B4-BE49-F238E27FC236}">
              <a16:creationId xmlns:a16="http://schemas.microsoft.com/office/drawing/2014/main" id="{6DAA375C-4BD5-4F5C-AE71-DE660B4D8F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2533" y="122061"/>
          <a:ext cx="1608667" cy="518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xdr:colOff>
      <xdr:row>97</xdr:row>
      <xdr:rowOff>23812</xdr:rowOff>
    </xdr:from>
    <xdr:to>
      <xdr:col>3</xdr:col>
      <xdr:colOff>83343</xdr:colOff>
      <xdr:row>101</xdr:row>
      <xdr:rowOff>261938</xdr:rowOff>
    </xdr:to>
    <xdr:sp macro="" textlink="">
      <xdr:nvSpPr>
        <xdr:cNvPr id="5" name="Text Box 4">
          <a:extLst>
            <a:ext uri="{FF2B5EF4-FFF2-40B4-BE49-F238E27FC236}">
              <a16:creationId xmlns:a16="http://schemas.microsoft.com/office/drawing/2014/main" id="{77CF4AB6-44F6-469D-B5D1-BC6A448A1E5A}"/>
            </a:ext>
          </a:extLst>
        </xdr:cNvPr>
        <xdr:cNvSpPr txBox="1">
          <a:spLocks noChangeArrowheads="1"/>
        </xdr:cNvSpPr>
      </xdr:nvSpPr>
      <xdr:spPr bwMode="auto">
        <a:xfrm>
          <a:off x="314324" y="114419062"/>
          <a:ext cx="3645694" cy="685801"/>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ELCY FABIOLA  VILLANEDA LARGO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Coordinación Regional de Gestión Contractual Eje Cafetero 	</a:t>
          </a:r>
        </a:p>
      </xdr:txBody>
    </xdr:sp>
    <xdr:clientData/>
  </xdr:twoCellAnchor>
  <xdr:twoCellAnchor>
    <xdr:from>
      <xdr:col>2</xdr:col>
      <xdr:colOff>465402</xdr:colOff>
      <xdr:row>97</xdr:row>
      <xdr:rowOff>37000</xdr:rowOff>
    </xdr:from>
    <xdr:to>
      <xdr:col>3</xdr:col>
      <xdr:colOff>121635</xdr:colOff>
      <xdr:row>101</xdr:row>
      <xdr:rowOff>0</xdr:rowOff>
    </xdr:to>
    <xdr:sp macro="" textlink="">
      <xdr:nvSpPr>
        <xdr:cNvPr id="6" name="Text Box 4">
          <a:extLst>
            <a:ext uri="{FF2B5EF4-FFF2-40B4-BE49-F238E27FC236}">
              <a16:creationId xmlns:a16="http://schemas.microsoft.com/office/drawing/2014/main" id="{2A46DF1E-B9EC-4CDE-B04B-306CEBBE3606}"/>
            </a:ext>
            <a:ext uri="{147F2762-F138-4A5C-976F-8EAC2B608ADB}">
              <a16:predDERef xmlns:a16="http://schemas.microsoft.com/office/drawing/2014/main" pred="{00000000-0008-0000-0000-000003000000}"/>
            </a:ext>
          </a:extLst>
        </xdr:cNvPr>
        <xdr:cNvSpPr txBox="1">
          <a:spLocks noChangeArrowheads="1"/>
        </xdr:cNvSpPr>
      </xdr:nvSpPr>
      <xdr:spPr bwMode="auto">
        <a:xfrm flipH="1">
          <a:off x="3332427" y="114432250"/>
          <a:ext cx="665883" cy="5345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xdr:txBody>
    </xdr:sp>
    <xdr:clientData/>
  </xdr:twoCellAnchor>
  <xdr:twoCellAnchor>
    <xdr:from>
      <xdr:col>5</xdr:col>
      <xdr:colOff>0</xdr:colOff>
      <xdr:row>97</xdr:row>
      <xdr:rowOff>0</xdr:rowOff>
    </xdr:from>
    <xdr:to>
      <xdr:col>9</xdr:col>
      <xdr:colOff>912019</xdr:colOff>
      <xdr:row>101</xdr:row>
      <xdr:rowOff>350043</xdr:rowOff>
    </xdr:to>
    <xdr:sp macro="" textlink="">
      <xdr:nvSpPr>
        <xdr:cNvPr id="7" name="Text Box 4">
          <a:extLst>
            <a:ext uri="{FF2B5EF4-FFF2-40B4-BE49-F238E27FC236}">
              <a16:creationId xmlns:a16="http://schemas.microsoft.com/office/drawing/2014/main" id="{F6D79366-CB61-49AE-B90B-24B6B8A545C1}"/>
            </a:ext>
          </a:extLst>
        </xdr:cNvPr>
        <xdr:cNvSpPr txBox="1">
          <a:spLocks noChangeArrowheads="1"/>
        </xdr:cNvSpPr>
      </xdr:nvSpPr>
      <xdr:spPr bwMode="auto">
        <a:xfrm>
          <a:off x="5038725" y="114395250"/>
          <a:ext cx="3217069" cy="711993"/>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Revisó:</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rtl="0" eaLnBrk="1" fontAlgn="auto" latinLnBrk="0" hangingPunct="1"/>
          <a:r>
            <a:rPr lang="es-CO" sz="1000">
              <a:effectLst/>
            </a:rPr>
            <a:t>            </a:t>
          </a:r>
        </a:p>
        <a:p>
          <a:pPr rtl="0" eaLnBrk="1" fontAlgn="auto" latinLnBrk="0" hangingPunct="1"/>
          <a:r>
            <a:rPr lang="es-CO" sz="1000">
              <a:effectLst/>
            </a:rPr>
            <a:t>                                                </a:t>
          </a:r>
        </a:p>
        <a:p>
          <a:pPr algn="l"/>
          <a:endParaRPr lang="es-CO" sz="1100" b="1" i="0" baseline="0">
            <a:effectLst/>
            <a:latin typeface="+mn-lt"/>
            <a:ea typeface="+mn-ea"/>
            <a:cs typeface="+mn-cs"/>
          </a:endParaRPr>
        </a:p>
        <a:p>
          <a:pPr algn="l"/>
          <a:r>
            <a:rPr lang="es-CO" sz="1100" b="1" i="0" baseline="0">
              <a:effectLst/>
              <a:latin typeface="+mn-lt"/>
              <a:ea typeface="+mn-ea"/>
              <a:cs typeface="+mn-cs"/>
            </a:rPr>
            <a:t>JESUS MARIA CHAUX HERNANDEZ 	</a:t>
          </a:r>
        </a:p>
        <a:p>
          <a:r>
            <a:rPr lang="es-CO" sz="1100" b="1" i="0" baseline="0">
              <a:effectLst/>
              <a:latin typeface="+mn-lt"/>
              <a:ea typeface="+mn-ea"/>
              <a:cs typeface="+mn-cs"/>
            </a:rPr>
            <a:t>Coordinadora Regional  de Gestión Contractual </a:t>
          </a: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Eje Cafetero	</a:t>
          </a:r>
        </a:p>
      </xdr:txBody>
    </xdr:sp>
    <xdr:clientData/>
  </xdr:twoCellAnchor>
  <xdr:twoCellAnchor>
    <xdr:from>
      <xdr:col>12</xdr:col>
      <xdr:colOff>0</xdr:colOff>
      <xdr:row>96</xdr:row>
      <xdr:rowOff>155057</xdr:rowOff>
    </xdr:from>
    <xdr:to>
      <xdr:col>15</xdr:col>
      <xdr:colOff>795504</xdr:colOff>
      <xdr:row>101</xdr:row>
      <xdr:rowOff>164415</xdr:rowOff>
    </xdr:to>
    <xdr:sp macro="" textlink="">
      <xdr:nvSpPr>
        <xdr:cNvPr id="8" name="Text Box 4">
          <a:extLst>
            <a:ext uri="{FF2B5EF4-FFF2-40B4-BE49-F238E27FC236}">
              <a16:creationId xmlns:a16="http://schemas.microsoft.com/office/drawing/2014/main" id="{9AB003EE-9126-473B-8AF0-86F4BE1853C2}"/>
            </a:ext>
          </a:extLst>
        </xdr:cNvPr>
        <xdr:cNvSpPr txBox="1">
          <a:spLocks noChangeArrowheads="1"/>
        </xdr:cNvSpPr>
      </xdr:nvSpPr>
      <xdr:spPr bwMode="auto">
        <a:xfrm>
          <a:off x="9296400" y="114397907"/>
          <a:ext cx="3510129" cy="714208"/>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Aprobó:</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rtl="0" eaLnBrk="1" fontAlgn="auto" latinLnBrk="0" hangingPunct="1"/>
          <a:r>
            <a:rPr lang="es-CO" sz="1000">
              <a:effectLst/>
            </a:rPr>
            <a:t>                                                                </a:t>
          </a:r>
        </a:p>
        <a:p>
          <a:pPr algn="l"/>
          <a:endParaRPr lang="es-CO" sz="1100" b="1" i="0" baseline="0">
            <a:effectLst/>
            <a:latin typeface="+mn-lt"/>
            <a:ea typeface="+mn-ea"/>
            <a:cs typeface="+mn-cs"/>
          </a:endParaRPr>
        </a:p>
        <a:p>
          <a:pPr algn="l"/>
          <a:endParaRPr lang="es-CO" sz="1100" b="1" i="0" baseline="0">
            <a:effectLst/>
            <a:latin typeface="+mn-lt"/>
            <a:ea typeface="+mn-ea"/>
            <a:cs typeface="+mn-cs"/>
          </a:endParaRPr>
        </a:p>
        <a:p>
          <a:pPr algn="l"/>
          <a:r>
            <a:rPr lang="es-CO" sz="1100" b="1" i="0" baseline="0">
              <a:effectLst/>
              <a:latin typeface="+mn-lt"/>
              <a:ea typeface="+mn-ea"/>
              <a:cs typeface="+mn-cs"/>
            </a:rPr>
            <a:t>SANDRA MILENA MANRIQUE OLARTE 	</a:t>
          </a:r>
        </a:p>
        <a:p>
          <a:r>
            <a:rPr lang="es-CO" sz="1100" b="1" i="0" baseline="0">
              <a:effectLst/>
              <a:latin typeface="+mn-lt"/>
              <a:ea typeface="+mn-ea"/>
              <a:cs typeface="+mn-cs"/>
            </a:rPr>
            <a:t>Subdirectora Regional E</a:t>
          </a:r>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je Cafetero </a:t>
          </a:r>
        </a:p>
        <a:p>
          <a:r>
            <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xdr:txBody>
    </xdr:sp>
    <xdr:clientData/>
  </xdr:twoCellAnchor>
  <xdr:twoCellAnchor editAs="oneCell">
    <xdr:from>
      <xdr:col>22</xdr:col>
      <xdr:colOff>0</xdr:colOff>
      <xdr:row>7</xdr:row>
      <xdr:rowOff>0</xdr:rowOff>
    </xdr:from>
    <xdr:to>
      <xdr:col>37</xdr:col>
      <xdr:colOff>277140</xdr:colOff>
      <xdr:row>10</xdr:row>
      <xdr:rowOff>1075355</xdr:rowOff>
    </xdr:to>
    <xdr:pic>
      <xdr:nvPicPr>
        <xdr:cNvPr id="10" name="Imagen 9">
          <a:extLst>
            <a:ext uri="{FF2B5EF4-FFF2-40B4-BE49-F238E27FC236}">
              <a16:creationId xmlns:a16="http://schemas.microsoft.com/office/drawing/2014/main" id="{10D4EBF7-47C8-4EEA-939B-00B47A35EACF}"/>
            </a:ext>
          </a:extLst>
        </xdr:cNvPr>
        <xdr:cNvPicPr>
          <a:picLocks noChangeAspect="1"/>
        </xdr:cNvPicPr>
      </xdr:nvPicPr>
      <xdr:blipFill>
        <a:blip xmlns:r="http://schemas.openxmlformats.org/officeDocument/2006/relationships" r:embed="rId2"/>
        <a:stretch>
          <a:fillRect/>
        </a:stretch>
      </xdr:blipFill>
      <xdr:spPr>
        <a:xfrm>
          <a:off x="19097625" y="1547813"/>
          <a:ext cx="12778702" cy="47901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151750</xdr:colOff>
      <xdr:row>1</xdr:row>
      <xdr:rowOff>407212</xdr:rowOff>
    </xdr:from>
    <xdr:to>
      <xdr:col>0</xdr:col>
      <xdr:colOff>1015999</xdr:colOff>
      <xdr:row>1</xdr:row>
      <xdr:rowOff>1021026</xdr:rowOff>
    </xdr:to>
    <xdr:pic>
      <xdr:nvPicPr>
        <xdr:cNvPr id="3" name="Picture 1">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05750" y="745879"/>
          <a:ext cx="864249" cy="613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www.contratos.gov.co/consultas/detalleProceso.do?numConstancia=18-9-449535"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mercial2@horusseguridad.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ut.edu.co/" TargetMode="External"/><Relationship Id="rId2" Type="http://schemas.openxmlformats.org/officeDocument/2006/relationships/hyperlink" Target="http://www.ut.edu.co/" TargetMode="External"/><Relationship Id="rId1" Type="http://schemas.openxmlformats.org/officeDocument/2006/relationships/hyperlink" Target="http://www.ut.edu.co/"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sqref="A1:G1"/>
    </sheetView>
  </sheetViews>
  <sheetFormatPr defaultColWidth="11" defaultRowHeight="15"/>
  <cols>
    <col min="1" max="1" width="7.75" customWidth="1"/>
    <col min="2" max="2" width="21.125" customWidth="1"/>
    <col min="3" max="3" width="15.875" customWidth="1"/>
  </cols>
  <sheetData>
    <row r="1" spans="1:7" ht="22.5">
      <c r="A1" s="368" t="s">
        <v>0</v>
      </c>
      <c r="B1" s="369"/>
      <c r="C1" s="369"/>
      <c r="D1" s="369"/>
      <c r="E1" s="369"/>
      <c r="F1" s="369"/>
      <c r="G1" s="369"/>
    </row>
    <row r="2" spans="1:7" ht="18.75">
      <c r="A2" s="71"/>
      <c r="B2" s="71"/>
    </row>
    <row r="3" spans="1:7" ht="41.25" customHeight="1">
      <c r="A3" s="370" t="s">
        <v>1</v>
      </c>
      <c r="B3" s="370"/>
      <c r="C3" s="370"/>
      <c r="D3" s="370"/>
      <c r="E3" s="370"/>
      <c r="F3" s="370"/>
      <c r="G3" s="370"/>
    </row>
    <row r="4" spans="1:7">
      <c r="A4" s="43"/>
      <c r="B4" s="43"/>
      <c r="C4" s="43"/>
      <c r="D4" s="43"/>
      <c r="E4" s="43"/>
      <c r="F4" s="43"/>
      <c r="G4" s="43"/>
    </row>
    <row r="5" spans="1:7" ht="16.5">
      <c r="A5" s="72" t="s">
        <v>2</v>
      </c>
      <c r="B5" s="371" t="s">
        <v>3</v>
      </c>
      <c r="C5" s="371"/>
      <c r="D5" s="371"/>
      <c r="E5" s="371"/>
      <c r="F5" s="371"/>
      <c r="G5" s="372"/>
    </row>
    <row r="6" spans="1:7" ht="48" customHeight="1">
      <c r="A6" s="73">
        <v>1</v>
      </c>
      <c r="B6" s="74" t="s">
        <v>4</v>
      </c>
      <c r="C6" s="363" t="s">
        <v>5</v>
      </c>
      <c r="D6" s="363"/>
      <c r="E6" s="363"/>
      <c r="F6" s="363"/>
      <c r="G6" s="364"/>
    </row>
    <row r="7" spans="1:7" ht="16.5">
      <c r="A7" s="73">
        <v>2</v>
      </c>
      <c r="B7" s="74" t="s">
        <v>6</v>
      </c>
      <c r="C7" s="363" t="s">
        <v>7</v>
      </c>
      <c r="D7" s="363"/>
      <c r="E7" s="363"/>
      <c r="F7" s="363"/>
      <c r="G7" s="364"/>
    </row>
    <row r="8" spans="1:7" ht="33">
      <c r="A8" s="73">
        <v>3</v>
      </c>
      <c r="B8" s="74" t="s">
        <v>8</v>
      </c>
      <c r="C8" s="359" t="s">
        <v>9</v>
      </c>
      <c r="D8" s="359"/>
      <c r="E8" s="359"/>
      <c r="F8" s="359"/>
      <c r="G8" s="360"/>
    </row>
    <row r="9" spans="1:7">
      <c r="A9" s="351">
        <v>4</v>
      </c>
      <c r="B9" s="352" t="s">
        <v>10</v>
      </c>
      <c r="C9" s="354" t="s">
        <v>11</v>
      </c>
      <c r="D9" s="75"/>
      <c r="E9" s="76"/>
      <c r="F9" s="76"/>
      <c r="G9" s="77"/>
    </row>
    <row r="10" spans="1:7">
      <c r="A10" s="351"/>
      <c r="B10" s="352"/>
      <c r="C10" s="355"/>
      <c r="D10" s="358"/>
      <c r="E10" s="78"/>
      <c r="F10" s="78"/>
      <c r="G10" s="79"/>
    </row>
    <row r="11" spans="1:7">
      <c r="A11" s="351"/>
      <c r="B11" s="352"/>
      <c r="C11" s="355"/>
      <c r="D11" s="358"/>
      <c r="E11" s="78"/>
      <c r="F11" s="78"/>
      <c r="G11" s="79"/>
    </row>
    <row r="12" spans="1:7">
      <c r="A12" s="351"/>
      <c r="B12" s="352"/>
      <c r="C12" s="355"/>
      <c r="D12" s="80"/>
      <c r="E12" s="80"/>
      <c r="F12" s="80"/>
      <c r="G12" s="81"/>
    </row>
    <row r="13" spans="1:7">
      <c r="A13" s="351"/>
      <c r="B13" s="352"/>
      <c r="C13" s="356"/>
      <c r="D13" s="82"/>
      <c r="E13" s="82"/>
      <c r="F13" s="82"/>
      <c r="G13" s="83"/>
    </row>
    <row r="14" spans="1:7" ht="33">
      <c r="A14" s="351">
        <v>5</v>
      </c>
      <c r="B14" s="353" t="s">
        <v>12</v>
      </c>
      <c r="C14" s="84" t="s">
        <v>13</v>
      </c>
      <c r="D14" s="361"/>
      <c r="E14" s="361"/>
      <c r="F14" s="361"/>
      <c r="G14" s="362"/>
    </row>
    <row r="15" spans="1:7" ht="50.25" customHeight="1">
      <c r="A15" s="351"/>
      <c r="B15" s="353"/>
      <c r="C15" s="74" t="s">
        <v>14</v>
      </c>
      <c r="D15" s="363" t="s">
        <v>15</v>
      </c>
      <c r="E15" s="363"/>
      <c r="F15" s="363"/>
      <c r="G15" s="364"/>
    </row>
    <row r="16" spans="1:7" ht="16.5">
      <c r="A16" s="351"/>
      <c r="B16" s="353"/>
      <c r="C16" s="357" t="s">
        <v>16</v>
      </c>
      <c r="D16" s="365" t="s">
        <v>17</v>
      </c>
      <c r="E16" s="365"/>
      <c r="F16" s="365"/>
      <c r="G16" s="366"/>
    </row>
    <row r="17" spans="1:7" ht="16.5">
      <c r="A17" s="351"/>
      <c r="B17" s="353"/>
      <c r="C17" s="357"/>
      <c r="D17" s="357"/>
      <c r="E17" s="357"/>
      <c r="F17" s="357"/>
      <c r="G17" s="367"/>
    </row>
    <row r="18" spans="1:7" ht="16.5">
      <c r="A18" s="351"/>
      <c r="B18" s="353"/>
      <c r="C18" s="357"/>
      <c r="D18" s="347"/>
      <c r="E18" s="347"/>
      <c r="F18" s="347"/>
      <c r="G18" s="348"/>
    </row>
    <row r="19" spans="1:7" ht="49.5">
      <c r="A19" s="73">
        <v>6</v>
      </c>
      <c r="B19" s="74" t="s">
        <v>18</v>
      </c>
      <c r="C19" s="85" t="s">
        <v>19</v>
      </c>
      <c r="D19" s="85"/>
      <c r="E19" s="85" t="s">
        <v>20</v>
      </c>
      <c r="F19" s="85" t="s">
        <v>21</v>
      </c>
      <c r="G19" s="86" t="s">
        <v>22</v>
      </c>
    </row>
    <row r="20" spans="1:7" ht="49.5">
      <c r="A20" s="87">
        <v>7</v>
      </c>
      <c r="B20" s="88" t="s">
        <v>23</v>
      </c>
      <c r="C20" s="349" t="s">
        <v>24</v>
      </c>
      <c r="D20" s="349"/>
      <c r="E20" s="349"/>
      <c r="F20" s="349"/>
      <c r="G20" s="350"/>
    </row>
    <row r="21" spans="1:7" ht="17.25">
      <c r="A21" s="89" t="s">
        <v>25</v>
      </c>
      <c r="B21" s="78"/>
      <c r="C21" s="78"/>
      <c r="D21" s="78"/>
      <c r="E21" s="78"/>
      <c r="F21" s="78"/>
      <c r="G21" s="78"/>
    </row>
    <row r="22" spans="1:7">
      <c r="A22" s="346" t="s">
        <v>26</v>
      </c>
      <c r="B22" s="346"/>
      <c r="C22" s="346"/>
      <c r="D22" s="346"/>
      <c r="E22" s="346"/>
      <c r="F22" s="346"/>
      <c r="G22" s="346"/>
    </row>
    <row r="23" spans="1:7" ht="46.5" customHeight="1">
      <c r="A23" s="346"/>
      <c r="B23" s="346"/>
      <c r="C23" s="346"/>
      <c r="D23" s="346"/>
      <c r="E23" s="346"/>
      <c r="F23" s="346"/>
      <c r="G23" s="346"/>
    </row>
    <row r="24" spans="1:7" ht="17.25">
      <c r="A24" s="90" t="s">
        <v>27</v>
      </c>
      <c r="B24" s="78"/>
      <c r="C24" s="78"/>
      <c r="D24" s="78"/>
      <c r="E24" s="78"/>
      <c r="F24" s="78"/>
      <c r="G24" s="78"/>
    </row>
    <row r="25" spans="1:7">
      <c r="A25" s="78"/>
      <c r="B25" s="78"/>
      <c r="C25" s="78"/>
      <c r="D25" s="78"/>
      <c r="E25" s="78"/>
      <c r="F25" s="78"/>
      <c r="G25" s="78"/>
    </row>
    <row r="26" spans="1:7" ht="17.25">
      <c r="A26" s="89" t="s">
        <v>28</v>
      </c>
      <c r="B26" s="78"/>
      <c r="C26" s="78"/>
      <c r="D26" s="78"/>
      <c r="E26" s="78"/>
      <c r="F26" s="78"/>
      <c r="G26" s="78"/>
    </row>
    <row r="27" spans="1:7" ht="15.75">
      <c r="A27" s="91" t="s">
        <v>29</v>
      </c>
      <c r="B27" s="78"/>
      <c r="C27" s="78"/>
      <c r="D27" s="78"/>
      <c r="E27" s="78"/>
      <c r="F27" s="78"/>
      <c r="G27" s="78"/>
    </row>
    <row r="28" spans="1:7" ht="15.75">
      <c r="A28" s="91" t="s">
        <v>30</v>
      </c>
      <c r="B28" s="78"/>
      <c r="C28" s="78"/>
      <c r="D28" s="78"/>
      <c r="E28" s="78"/>
      <c r="F28" s="78"/>
      <c r="G28" s="78"/>
    </row>
  </sheetData>
  <mergeCells count="20">
    <mergeCell ref="A1:G1"/>
    <mergeCell ref="A3:G3"/>
    <mergeCell ref="B5:G5"/>
    <mergeCell ref="C6:G6"/>
    <mergeCell ref="C7:G7"/>
    <mergeCell ref="C8:G8"/>
    <mergeCell ref="D14:G14"/>
    <mergeCell ref="D15:G15"/>
    <mergeCell ref="D16:G16"/>
    <mergeCell ref="D17:G17"/>
    <mergeCell ref="A22:G23"/>
    <mergeCell ref="D18:G18"/>
    <mergeCell ref="C20:G20"/>
    <mergeCell ref="A9:A13"/>
    <mergeCell ref="A14:A18"/>
    <mergeCell ref="B9:B13"/>
    <mergeCell ref="B14:B18"/>
    <mergeCell ref="C9:C13"/>
    <mergeCell ref="C16:C18"/>
    <mergeCell ref="D10:D11"/>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3"/>
  <sheetViews>
    <sheetView workbookViewId="0"/>
  </sheetViews>
  <sheetFormatPr defaultColWidth="11" defaultRowHeight="15"/>
  <cols>
    <col min="1" max="1" width="11.125" customWidth="1"/>
    <col min="2" max="2" width="11.875" customWidth="1"/>
    <col min="3" max="3" width="20.625" customWidth="1"/>
    <col min="4" max="4" width="27.125" customWidth="1"/>
    <col min="5" max="6" width="17" customWidth="1"/>
    <col min="7" max="7" width="14.625" customWidth="1"/>
    <col min="8" max="8" width="11.625" customWidth="1"/>
    <col min="9" max="9" width="13.75" customWidth="1"/>
    <col min="10" max="10" width="16.375" customWidth="1"/>
    <col min="11" max="11" width="15.625" customWidth="1"/>
    <col min="12" max="13" width="10.875" customWidth="1"/>
    <col min="14" max="14" width="40.875" customWidth="1"/>
    <col min="15" max="16" width="26" customWidth="1"/>
    <col min="17" max="17" width="9.625" customWidth="1"/>
    <col min="18" max="18" width="10" customWidth="1"/>
    <col min="19" max="19" width="6.75" customWidth="1"/>
    <col min="20" max="20" width="9.875" customWidth="1"/>
    <col min="21" max="24" width="11.125" customWidth="1"/>
    <col min="25" max="25" width="14.375" customWidth="1"/>
    <col min="26" max="27" width="10.875" customWidth="1"/>
    <col min="28" max="28" width="20.25" customWidth="1"/>
    <col min="29" max="29" width="13.125" style="54" customWidth="1"/>
    <col min="30" max="30" width="34.75" customWidth="1"/>
  </cols>
  <sheetData>
    <row r="1" spans="1:35" s="52" customFormat="1" ht="45" customHeight="1">
      <c r="A1" s="52" t="s">
        <v>31</v>
      </c>
      <c r="B1" s="52" t="s">
        <v>32</v>
      </c>
      <c r="C1" s="52" t="s">
        <v>33</v>
      </c>
      <c r="D1" s="52" t="s">
        <v>34</v>
      </c>
      <c r="E1" s="52" t="s">
        <v>35</v>
      </c>
      <c r="F1" s="52" t="s">
        <v>36</v>
      </c>
      <c r="G1" s="52" t="s">
        <v>37</v>
      </c>
      <c r="H1" s="55" t="s">
        <v>38</v>
      </c>
      <c r="I1" s="52" t="s">
        <v>39</v>
      </c>
      <c r="J1" s="52" t="s">
        <v>40</v>
      </c>
      <c r="K1" s="52" t="s">
        <v>41</v>
      </c>
      <c r="L1" s="52" t="s">
        <v>42</v>
      </c>
      <c r="M1" s="52" t="s">
        <v>43</v>
      </c>
      <c r="N1" s="52" t="s">
        <v>7</v>
      </c>
      <c r="O1" s="52" t="s">
        <v>44</v>
      </c>
      <c r="P1" s="52" t="s">
        <v>6</v>
      </c>
      <c r="Q1" s="52" t="s">
        <v>45</v>
      </c>
      <c r="R1" s="52" t="s">
        <v>46</v>
      </c>
      <c r="S1" s="52" t="s">
        <v>47</v>
      </c>
      <c r="T1" s="52" t="s">
        <v>48</v>
      </c>
      <c r="U1" s="52" t="s">
        <v>49</v>
      </c>
      <c r="V1" s="52" t="s">
        <v>50</v>
      </c>
      <c r="W1" s="52" t="s">
        <v>51</v>
      </c>
      <c r="X1" s="52" t="s">
        <v>52</v>
      </c>
      <c r="Y1" s="52" t="s">
        <v>53</v>
      </c>
      <c r="Z1" s="52" t="s">
        <v>54</v>
      </c>
      <c r="AA1" s="52" t="s">
        <v>47</v>
      </c>
      <c r="AB1" s="52" t="s">
        <v>55</v>
      </c>
      <c r="AC1" s="66" t="s">
        <v>56</v>
      </c>
      <c r="AD1" s="52" t="s">
        <v>57</v>
      </c>
      <c r="AF1" s="52" t="s">
        <v>58</v>
      </c>
      <c r="AG1" s="52" t="s">
        <v>59</v>
      </c>
      <c r="AH1" s="52" t="s">
        <v>60</v>
      </c>
      <c r="AI1" s="52" t="s">
        <v>61</v>
      </c>
    </row>
    <row r="2" spans="1:35" s="53" customFormat="1" ht="300">
      <c r="A2" s="56">
        <v>200</v>
      </c>
      <c r="B2" s="57">
        <v>44764</v>
      </c>
      <c r="C2" s="58" t="e">
        <f>+AB2</f>
        <v>#REF!</v>
      </c>
      <c r="D2" s="56" t="s">
        <v>62</v>
      </c>
      <c r="E2" s="56" t="s">
        <v>63</v>
      </c>
      <c r="F2" s="56" t="s">
        <v>64</v>
      </c>
      <c r="G2" s="56"/>
      <c r="H2" s="56"/>
      <c r="I2" s="56" t="s">
        <v>65</v>
      </c>
      <c r="J2" s="56" t="s">
        <v>66</v>
      </c>
      <c r="K2" s="59" t="s">
        <v>67</v>
      </c>
      <c r="L2" s="59"/>
      <c r="M2" s="59"/>
      <c r="N2" s="56" t="s">
        <v>68</v>
      </c>
      <c r="O2" s="60" t="s">
        <v>69</v>
      </c>
      <c r="P2" s="56" t="s">
        <v>70</v>
      </c>
      <c r="Q2" s="56">
        <v>99.7</v>
      </c>
      <c r="R2" s="56">
        <v>105.36</v>
      </c>
      <c r="S2" s="56"/>
      <c r="T2" s="62" t="s">
        <v>71</v>
      </c>
      <c r="U2" s="60" t="s">
        <v>72</v>
      </c>
      <c r="V2" s="63" t="s">
        <v>73</v>
      </c>
      <c r="W2" s="64" t="s">
        <v>74</v>
      </c>
      <c r="X2" s="65" t="s">
        <v>75</v>
      </c>
      <c r="Y2" s="67" t="str">
        <f>+O3</f>
        <v>01 de diciembre de 2020</v>
      </c>
      <c r="Z2" s="67" t="s">
        <v>76</v>
      </c>
      <c r="AA2" s="56"/>
      <c r="AB2" s="68" t="e">
        <f>#REF!</f>
        <v>#REF!</v>
      </c>
      <c r="AC2" s="69" t="s">
        <v>77</v>
      </c>
      <c r="AD2" s="69" t="s">
        <v>78</v>
      </c>
      <c r="AE2" s="69" t="s">
        <v>79</v>
      </c>
      <c r="AF2" s="70"/>
    </row>
    <row r="3" spans="1:35" ht="15.75">
      <c r="O3" s="61" t="s">
        <v>80</v>
      </c>
    </row>
  </sheetData>
  <hyperlinks>
    <hyperlink ref="W2" r:id="rId1" xr:uid="{00000000-0004-0000-0100-000000000000}"/>
  </hyperlinks>
  <pageMargins left="0.7" right="0.7" top="0.75" bottom="0.75" header="0.3" footer="0.3"/>
  <pageSetup orientation="portrait"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H8"/>
  <sheetViews>
    <sheetView workbookViewId="0"/>
  </sheetViews>
  <sheetFormatPr defaultColWidth="11" defaultRowHeight="15"/>
  <cols>
    <col min="1" max="1" width="5.125" customWidth="1"/>
    <col min="2" max="2" width="14.25" customWidth="1"/>
    <col min="3" max="3" width="32.25" customWidth="1"/>
    <col min="4" max="4" width="22" customWidth="1"/>
    <col min="5" max="5" width="46" customWidth="1"/>
    <col min="7" max="7" width="14.125" style="49" customWidth="1"/>
    <col min="8" max="8" width="11.375" style="49"/>
  </cols>
  <sheetData>
    <row r="1" spans="2:5" s="48" customFormat="1" ht="15.75">
      <c r="B1" s="373" t="s">
        <v>0</v>
      </c>
      <c r="C1" s="374"/>
      <c r="D1" s="374"/>
      <c r="E1" s="375"/>
    </row>
    <row r="2" spans="2:5" s="48" customFormat="1" ht="36" customHeight="1"/>
    <row r="3" spans="2:5" s="48" customFormat="1" ht="14.25"/>
    <row r="4" spans="2:5" s="48" customFormat="1" ht="15.75">
      <c r="B4" s="376" t="s">
        <v>81</v>
      </c>
      <c r="C4" s="377"/>
      <c r="D4" s="377"/>
      <c r="E4" s="378"/>
    </row>
    <row r="5" spans="2:5" s="48" customFormat="1" ht="14.25" customHeight="1">
      <c r="B5" s="50" t="s">
        <v>82</v>
      </c>
      <c r="C5" s="50" t="s">
        <v>83</v>
      </c>
      <c r="D5" s="50" t="s">
        <v>84</v>
      </c>
      <c r="E5" s="50" t="s">
        <v>85</v>
      </c>
    </row>
    <row r="6" spans="2:5" s="48" customFormat="1" ht="32.25" customHeight="1">
      <c r="B6" s="50">
        <v>1</v>
      </c>
      <c r="C6" s="50" t="str">
        <f>+GENERAL!K2</f>
        <v>COSEQUIN LTDA</v>
      </c>
      <c r="D6" s="50">
        <v>4343584</v>
      </c>
      <c r="E6" s="50" t="s">
        <v>86</v>
      </c>
    </row>
    <row r="7" spans="2:5" s="48" customFormat="1" ht="32.25" customHeight="1">
      <c r="B7" s="50">
        <v>2</v>
      </c>
      <c r="C7" s="50" t="str">
        <f>+GENERAL!J2</f>
        <v xml:space="preserve">SEGURIDAD HORUS LTDA </v>
      </c>
      <c r="D7" s="50">
        <v>6311500</v>
      </c>
      <c r="E7" s="51" t="s">
        <v>87</v>
      </c>
    </row>
    <row r="8" spans="2:5" s="48" customFormat="1" ht="29.25" customHeight="1">
      <c r="B8" s="50">
        <v>3</v>
      </c>
      <c r="C8" s="50" t="str">
        <f>+GENERAL!I2</f>
        <v>COLVISEG</v>
      </c>
      <c r="D8" s="50">
        <v>5189191</v>
      </c>
      <c r="E8" s="50" t="s">
        <v>88</v>
      </c>
    </row>
  </sheetData>
  <mergeCells count="2">
    <mergeCell ref="B1:E1"/>
    <mergeCell ref="B4:E4"/>
  </mergeCells>
  <hyperlinks>
    <hyperlink ref="E7" r:id="rId1" xr:uid="{00000000-0004-0000-0200-000000000000}"/>
  </hyperlinks>
  <printOptions horizontalCentered="1"/>
  <pageMargins left="0.70866141732283505" right="0.70866141732283505" top="0.74803149606299202" bottom="0.74803149606299202" header="0.31496062992126" footer="0.31496062992126"/>
  <pageSetup paperSize="14" orientation="landscape" verticalDpi="30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3"/>
  <sheetViews>
    <sheetView workbookViewId="0">
      <selection sqref="A1:E1"/>
    </sheetView>
  </sheetViews>
  <sheetFormatPr defaultColWidth="11" defaultRowHeight="15"/>
  <cols>
    <col min="1" max="1" width="26.375" customWidth="1"/>
    <col min="2" max="2" width="45.75" customWidth="1"/>
    <col min="3" max="3" width="23.25" customWidth="1"/>
    <col min="4" max="4" width="19.75" customWidth="1"/>
    <col min="5" max="5" width="28.25" customWidth="1"/>
  </cols>
  <sheetData>
    <row r="1" spans="1:5" ht="25.5" customHeight="1">
      <c r="A1" s="382" t="s">
        <v>89</v>
      </c>
      <c r="B1" s="383"/>
      <c r="C1" s="383"/>
      <c r="D1" s="383"/>
      <c r="E1" s="384"/>
    </row>
    <row r="2" spans="1:5" ht="57" customHeight="1">
      <c r="A2" s="43"/>
      <c r="B2" s="43"/>
      <c r="C2" s="43"/>
      <c r="D2" s="43"/>
      <c r="E2" s="43"/>
    </row>
    <row r="3" spans="1:5" ht="32.25" customHeight="1">
      <c r="A3" s="385" t="s">
        <v>90</v>
      </c>
      <c r="B3" s="386"/>
      <c r="C3" s="386"/>
      <c r="D3" s="386"/>
      <c r="E3" s="387"/>
    </row>
    <row r="4" spans="1:5" ht="15.75">
      <c r="A4" s="44"/>
      <c r="B4" s="44"/>
      <c r="C4" s="44"/>
      <c r="D4" s="44"/>
      <c r="E4" s="44"/>
    </row>
    <row r="5" spans="1:5" ht="26.25" hidden="1" customHeight="1">
      <c r="A5" s="388" t="s">
        <v>91</v>
      </c>
      <c r="B5" s="389"/>
      <c r="C5" s="389"/>
      <c r="D5" s="389"/>
      <c r="E5" s="390"/>
    </row>
    <row r="6" spans="1:5" s="42" customFormat="1" ht="54.75" customHeight="1">
      <c r="A6" s="45" t="s">
        <v>92</v>
      </c>
      <c r="B6" s="45" t="s">
        <v>7</v>
      </c>
      <c r="C6" s="45" t="s">
        <v>93</v>
      </c>
      <c r="D6" s="45" t="s">
        <v>94</v>
      </c>
      <c r="E6" s="46" t="s">
        <v>95</v>
      </c>
    </row>
    <row r="7" spans="1:5" s="42" customFormat="1" ht="18" customHeight="1">
      <c r="A7" s="379" t="str">
        <f>+GENERAL!K2</f>
        <v>COSEQUIN LTDA</v>
      </c>
      <c r="B7" s="380"/>
      <c r="C7" s="380"/>
      <c r="D7" s="380"/>
      <c r="E7" s="381"/>
    </row>
    <row r="8" spans="1:5" s="42" customFormat="1" ht="54.75" customHeight="1">
      <c r="A8" s="379" t="s">
        <v>96</v>
      </c>
      <c r="B8" s="380"/>
      <c r="C8" s="380"/>
      <c r="D8" s="380"/>
      <c r="E8" s="381"/>
    </row>
    <row r="9" spans="1:5" s="42" customFormat="1" ht="18" customHeight="1">
      <c r="A9" s="379" t="str">
        <f>+GENERAL!J2</f>
        <v xml:space="preserve">SEGURIDAD HORUS LTDA </v>
      </c>
      <c r="B9" s="380"/>
      <c r="C9" s="380"/>
      <c r="D9" s="380"/>
      <c r="E9" s="381"/>
    </row>
    <row r="10" spans="1:5" s="42" customFormat="1" ht="54.75" customHeight="1">
      <c r="A10" s="379" t="s">
        <v>96</v>
      </c>
      <c r="B10" s="380"/>
      <c r="C10" s="380"/>
      <c r="D10" s="380"/>
      <c r="E10" s="381"/>
    </row>
    <row r="11" spans="1:5" s="42" customFormat="1" ht="18" customHeight="1">
      <c r="A11" s="379" t="str">
        <f>+'Anexo 1'!C8</f>
        <v>COLVISEG</v>
      </c>
      <c r="B11" s="380"/>
      <c r="C11" s="380"/>
      <c r="D11" s="380"/>
      <c r="E11" s="381"/>
    </row>
    <row r="12" spans="1:5" s="42" customFormat="1" ht="54.75" customHeight="1">
      <c r="A12" s="379" t="s">
        <v>96</v>
      </c>
      <c r="B12" s="380"/>
      <c r="C12" s="380"/>
      <c r="D12" s="380"/>
      <c r="E12" s="381"/>
    </row>
    <row r="13" spans="1:5">
      <c r="E13" s="47"/>
    </row>
  </sheetData>
  <mergeCells count="9">
    <mergeCell ref="A9:E9"/>
    <mergeCell ref="A10:E10"/>
    <mergeCell ref="A11:E11"/>
    <mergeCell ref="A12:E12"/>
    <mergeCell ref="A1:E1"/>
    <mergeCell ref="A3:E3"/>
    <mergeCell ref="A5:E5"/>
    <mergeCell ref="A7:E7"/>
    <mergeCell ref="A8:E8"/>
  </mergeCells>
  <hyperlinks>
    <hyperlink ref="A12" r:id="rId1" xr:uid="{00000000-0004-0000-0300-000000000000}"/>
    <hyperlink ref="A10" r:id="rId2" xr:uid="{00000000-0004-0000-0300-000001000000}"/>
    <hyperlink ref="A8" r:id="rId3" xr:uid="{00000000-0004-0000-0300-000002000000}"/>
  </hyperlinks>
  <printOptions horizontalCentered="1"/>
  <pageMargins left="0.70866141732283505" right="0.70866141732283505" top="0.74803149606299202" bottom="0.74803149606299202" header="0.31496062992126" footer="0.31496062992126"/>
  <pageSetup paperSize="14" orientation="landscape"/>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6"/>
  <sheetViews>
    <sheetView showGridLines="0" tabSelected="1" topLeftCell="A43" zoomScale="90" zoomScaleNormal="90" workbookViewId="0">
      <selection activeCell="K44" sqref="K44:K51"/>
    </sheetView>
  </sheetViews>
  <sheetFormatPr defaultColWidth="11.375" defaultRowHeight="13.5"/>
  <cols>
    <col min="1" max="1" width="43.625" style="148" customWidth="1"/>
    <col min="2" max="2" width="26.125" style="148" bestFit="1" customWidth="1"/>
    <col min="3" max="3" width="15.875" style="148" bestFit="1" customWidth="1"/>
    <col min="4" max="4" width="12.25" style="148" customWidth="1"/>
    <col min="5" max="5" width="17.25" style="148" customWidth="1"/>
    <col min="6" max="6" width="1.875" style="148" customWidth="1"/>
    <col min="7" max="7" width="17.375" style="148" customWidth="1"/>
    <col min="8" max="8" width="18.375" style="148" customWidth="1"/>
    <col min="9" max="9" width="13" style="148" customWidth="1"/>
    <col min="10" max="10" width="14.875" style="148" customWidth="1"/>
    <col min="11" max="11" width="14.125" style="149" customWidth="1"/>
    <col min="12" max="13" width="18.75" style="148" customWidth="1"/>
    <col min="14" max="14" width="18.375" style="148" customWidth="1"/>
    <col min="15" max="15" width="26.75" style="148" customWidth="1"/>
    <col min="16" max="16" width="14.25" style="148" bestFit="1" customWidth="1"/>
    <col min="17" max="16384" width="11.375" style="148"/>
  </cols>
  <sheetData>
    <row r="1" spans="1:11" ht="37.5" customHeight="1" thickBot="1">
      <c r="A1" s="410" t="s">
        <v>97</v>
      </c>
      <c r="B1" s="411"/>
      <c r="C1" s="411"/>
      <c r="D1" s="411"/>
      <c r="E1" s="412"/>
    </row>
    <row r="2" spans="1:11" ht="17.25" customHeight="1" thickBot="1"/>
    <row r="3" spans="1:11" ht="144" customHeight="1" thickBot="1">
      <c r="A3" s="150"/>
      <c r="B3" s="413" t="s">
        <v>98</v>
      </c>
      <c r="C3" s="414"/>
      <c r="D3" s="414"/>
      <c r="E3" s="415"/>
    </row>
    <row r="4" spans="1:11" ht="60" customHeight="1" thickBot="1">
      <c r="A4" s="416" t="s">
        <v>99</v>
      </c>
      <c r="B4" s="417"/>
      <c r="C4" s="417"/>
      <c r="D4" s="417"/>
      <c r="E4" s="418"/>
      <c r="F4" s="151"/>
    </row>
    <row r="5" spans="1:11" s="153" customFormat="1" ht="42" customHeight="1" thickBot="1">
      <c r="A5" s="419" t="s">
        <v>100</v>
      </c>
      <c r="B5" s="420"/>
      <c r="C5" s="421"/>
      <c r="D5" s="422">
        <v>1750905</v>
      </c>
      <c r="E5" s="423"/>
      <c r="F5" s="152"/>
      <c r="K5" s="154"/>
    </row>
    <row r="6" spans="1:11" ht="14.25" thickBot="1">
      <c r="A6" s="444" t="s">
        <v>101</v>
      </c>
      <c r="B6" s="445"/>
      <c r="C6" s="446"/>
      <c r="D6" s="442">
        <v>10.210000000000001</v>
      </c>
      <c r="E6" s="443"/>
      <c r="F6" s="155"/>
    </row>
    <row r="7" spans="1:11" ht="14.25" thickBot="1">
      <c r="A7" s="444" t="s">
        <v>102</v>
      </c>
      <c r="B7" s="445"/>
      <c r="C7" s="446"/>
      <c r="D7" s="391">
        <f>ROUND(D5*D6,2)</f>
        <v>17876740.050000001</v>
      </c>
      <c r="E7" s="392"/>
      <c r="F7" s="156"/>
    </row>
    <row r="8" spans="1:11" ht="14.25" thickBot="1">
      <c r="A8" s="444" t="s">
        <v>103</v>
      </c>
      <c r="B8" s="445"/>
      <c r="C8" s="446"/>
      <c r="D8" s="453">
        <v>1500</v>
      </c>
      <c r="E8" s="454"/>
      <c r="F8" s="156"/>
    </row>
    <row r="9" spans="1:11" ht="14.25" thickBot="1">
      <c r="A9" s="444" t="s">
        <v>104</v>
      </c>
      <c r="B9" s="445"/>
      <c r="C9" s="446"/>
      <c r="D9" s="391">
        <f>D7+D8</f>
        <v>17878240.050000001</v>
      </c>
      <c r="E9" s="392"/>
      <c r="F9" s="156"/>
    </row>
    <row r="10" spans="1:11" ht="14.25" thickBot="1">
      <c r="A10" s="157"/>
      <c r="B10" s="158"/>
      <c r="C10" s="158"/>
      <c r="D10" s="156"/>
      <c r="E10" s="159"/>
      <c r="F10" s="156"/>
    </row>
    <row r="11" spans="1:11" ht="14.25" thickBot="1">
      <c r="A11" s="447" t="s">
        <v>105</v>
      </c>
      <c r="B11" s="448"/>
      <c r="C11" s="448"/>
      <c r="D11" s="448"/>
      <c r="E11" s="449"/>
      <c r="F11" s="160"/>
    </row>
    <row r="12" spans="1:11" s="163" customFormat="1" ht="24.75" customHeight="1" thickBot="1">
      <c r="A12" s="161" t="s">
        <v>106</v>
      </c>
      <c r="B12" s="162" t="s">
        <v>107</v>
      </c>
      <c r="C12" s="162" t="s">
        <v>108</v>
      </c>
      <c r="D12" s="162" t="s">
        <v>109</v>
      </c>
      <c r="E12" s="162" t="s">
        <v>110</v>
      </c>
      <c r="K12" s="160"/>
    </row>
    <row r="13" spans="1:11">
      <c r="A13" s="198" t="s">
        <v>111</v>
      </c>
      <c r="B13" s="164">
        <f>D9</f>
        <v>17878240.050000001</v>
      </c>
      <c r="C13" s="165">
        <v>0.1</v>
      </c>
      <c r="D13" s="164">
        <f>ROUND(B13*C13,2)</f>
        <v>1787824.01</v>
      </c>
      <c r="E13" s="166">
        <f>ROUND(B13+D13,2)</f>
        <v>19666064.059999999</v>
      </c>
      <c r="F13" s="167"/>
    </row>
    <row r="14" spans="1:11">
      <c r="A14" s="203" t="s">
        <v>112</v>
      </c>
      <c r="B14" s="168">
        <f>D9</f>
        <v>17878240.050000001</v>
      </c>
      <c r="C14" s="169">
        <v>0.08</v>
      </c>
      <c r="D14" s="168">
        <f>ROUND(B14*C14,2)</f>
        <v>1430259.2</v>
      </c>
      <c r="E14" s="170">
        <f>ROUND(B14+D14,2)</f>
        <v>19308499.25</v>
      </c>
      <c r="F14" s="167"/>
    </row>
    <row r="15" spans="1:11" ht="24">
      <c r="A15" s="205" t="s">
        <v>113</v>
      </c>
      <c r="B15" s="168">
        <v>5759434</v>
      </c>
      <c r="C15" s="196">
        <v>0.1</v>
      </c>
      <c r="D15" s="168">
        <f t="shared" ref="D15:D20" si="0">ROUND(B15*C15,2)</f>
        <v>575943.4</v>
      </c>
      <c r="E15" s="170">
        <f t="shared" ref="E15:E20" si="1">ROUND(B15+D15,2)</f>
        <v>6335377.4000000004</v>
      </c>
      <c r="F15" s="167"/>
    </row>
    <row r="16" spans="1:11" ht="24">
      <c r="A16" s="206" t="s">
        <v>114</v>
      </c>
      <c r="B16" s="168">
        <v>5759434</v>
      </c>
      <c r="C16" s="196">
        <v>0.08</v>
      </c>
      <c r="D16" s="168">
        <f t="shared" si="0"/>
        <v>460754.72</v>
      </c>
      <c r="E16" s="170">
        <f t="shared" si="1"/>
        <v>6220188.7199999997</v>
      </c>
      <c r="F16" s="167"/>
    </row>
    <row r="17" spans="1:6" ht="24">
      <c r="A17" s="207" t="s">
        <v>115</v>
      </c>
      <c r="B17" s="168">
        <v>8649217</v>
      </c>
      <c r="C17" s="196">
        <v>0.1</v>
      </c>
      <c r="D17" s="168">
        <f t="shared" si="0"/>
        <v>864921.7</v>
      </c>
      <c r="E17" s="170">
        <f t="shared" si="1"/>
        <v>9514138.6999999993</v>
      </c>
      <c r="F17" s="167"/>
    </row>
    <row r="18" spans="1:6">
      <c r="A18" s="208" t="s">
        <v>116</v>
      </c>
      <c r="B18" s="168">
        <v>7853773</v>
      </c>
      <c r="C18" s="196">
        <v>0.1</v>
      </c>
      <c r="D18" s="168">
        <f t="shared" si="0"/>
        <v>785377.3</v>
      </c>
      <c r="E18" s="170">
        <f t="shared" si="1"/>
        <v>8639150.3000000007</v>
      </c>
      <c r="F18" s="167"/>
    </row>
    <row r="19" spans="1:6" ht="24">
      <c r="A19" s="209" t="s">
        <v>117</v>
      </c>
      <c r="B19" s="168">
        <v>5235849</v>
      </c>
      <c r="C19" s="196">
        <v>0.1</v>
      </c>
      <c r="D19" s="168">
        <f t="shared" si="0"/>
        <v>523584.9</v>
      </c>
      <c r="E19" s="170">
        <f t="shared" si="1"/>
        <v>5759433.9000000004</v>
      </c>
      <c r="F19" s="167"/>
    </row>
    <row r="20" spans="1:6" ht="24.75" thickBot="1">
      <c r="A20" s="210" t="s">
        <v>118</v>
      </c>
      <c r="B20" s="222">
        <v>5235849</v>
      </c>
      <c r="C20" s="223">
        <v>0.08</v>
      </c>
      <c r="D20" s="222">
        <f t="shared" si="0"/>
        <v>418867.92</v>
      </c>
      <c r="E20" s="224">
        <f t="shared" si="1"/>
        <v>5654716.9199999999</v>
      </c>
      <c r="F20" s="167"/>
    </row>
    <row r="21" spans="1:6" ht="14.25" thickBot="1"/>
    <row r="22" spans="1:6" ht="43.5" customHeight="1" thickBot="1">
      <c r="A22" s="450" t="s">
        <v>119</v>
      </c>
      <c r="B22" s="451"/>
      <c r="C22" s="451"/>
      <c r="D22" s="451"/>
      <c r="E22" s="452"/>
      <c r="F22" s="151"/>
    </row>
    <row r="23" spans="1:6" ht="14.25" thickBot="1">
      <c r="A23" s="396" t="s">
        <v>120</v>
      </c>
      <c r="B23" s="397"/>
      <c r="C23" s="398"/>
      <c r="D23" s="396">
        <v>20</v>
      </c>
      <c r="E23" s="398"/>
      <c r="F23" s="149"/>
    </row>
    <row r="24" spans="1:6" ht="14.25" thickBot="1">
      <c r="A24" s="396" t="s">
        <v>121</v>
      </c>
      <c r="B24" s="397"/>
      <c r="C24" s="398"/>
      <c r="D24" s="396">
        <v>22</v>
      </c>
      <c r="E24" s="398"/>
      <c r="F24" s="149"/>
    </row>
    <row r="25" spans="1:6" ht="14.25" thickBot="1">
      <c r="A25" s="396" t="s">
        <v>122</v>
      </c>
      <c r="B25" s="397"/>
      <c r="C25" s="398"/>
      <c r="D25" s="396">
        <v>24</v>
      </c>
      <c r="E25" s="398"/>
      <c r="F25" s="149"/>
    </row>
    <row r="26" spans="1:6" ht="14.25" thickBot="1">
      <c r="A26" s="396" t="s">
        <v>123</v>
      </c>
      <c r="B26" s="397"/>
      <c r="C26" s="398"/>
      <c r="D26" s="396">
        <v>26</v>
      </c>
      <c r="E26" s="398"/>
      <c r="F26" s="149"/>
    </row>
    <row r="27" spans="1:6" ht="14.25" thickBot="1">
      <c r="A27" s="396" t="s">
        <v>124</v>
      </c>
      <c r="B27" s="397"/>
      <c r="C27" s="398"/>
      <c r="D27" s="396">
        <v>2</v>
      </c>
      <c r="E27" s="398"/>
      <c r="F27" s="149"/>
    </row>
    <row r="28" spans="1:6" ht="14.25" thickBot="1">
      <c r="A28" s="396" t="s">
        <v>125</v>
      </c>
      <c r="B28" s="397"/>
      <c r="C28" s="398"/>
      <c r="D28" s="396">
        <v>8</v>
      </c>
      <c r="E28" s="398"/>
      <c r="F28" s="149"/>
    </row>
    <row r="29" spans="1:6" ht="14.25" thickBot="1">
      <c r="A29" s="396" t="s">
        <v>126</v>
      </c>
      <c r="B29" s="397"/>
      <c r="C29" s="398"/>
      <c r="D29" s="396">
        <v>10</v>
      </c>
      <c r="E29" s="398"/>
      <c r="F29" s="149"/>
    </row>
    <row r="30" spans="1:6" ht="4.5" customHeight="1">
      <c r="A30" s="149"/>
      <c r="B30" s="149"/>
      <c r="C30" s="149"/>
      <c r="D30" s="402"/>
      <c r="E30" s="402"/>
      <c r="F30" s="149"/>
    </row>
    <row r="31" spans="1:6" ht="14.25" thickBot="1"/>
    <row r="32" spans="1:6" ht="53.25" customHeight="1" thickBot="1">
      <c r="A32" s="399" t="s">
        <v>127</v>
      </c>
      <c r="B32" s="400"/>
      <c r="C32" s="400"/>
      <c r="D32" s="400"/>
      <c r="E32" s="401"/>
      <c r="F32" s="171"/>
    </row>
    <row r="33" spans="1:16" s="153" customFormat="1" ht="43.5" customHeight="1" thickBot="1">
      <c r="A33" s="407" t="s">
        <v>128</v>
      </c>
      <c r="B33" s="408"/>
      <c r="C33" s="407" t="s">
        <v>129</v>
      </c>
      <c r="D33" s="409"/>
      <c r="E33" s="408"/>
      <c r="F33" s="172"/>
      <c r="G33" s="424"/>
      <c r="H33" s="424"/>
      <c r="I33" s="424"/>
      <c r="J33" s="424"/>
      <c r="K33" s="424"/>
    </row>
    <row r="34" spans="1:16" ht="17.25" customHeight="1">
      <c r="A34" s="403" t="s">
        <v>130</v>
      </c>
      <c r="B34" s="404"/>
      <c r="C34" s="433">
        <v>0.47589999999999999</v>
      </c>
      <c r="D34" s="434"/>
      <c r="E34" s="404"/>
      <c r="F34" s="149"/>
      <c r="G34" s="428"/>
      <c r="H34" s="428"/>
      <c r="I34" s="428"/>
      <c r="J34" s="428"/>
      <c r="K34" s="428"/>
    </row>
    <row r="35" spans="1:16" ht="17.25" customHeight="1" thickBot="1">
      <c r="A35" s="405"/>
      <c r="B35" s="406"/>
      <c r="C35" s="405"/>
      <c r="D35" s="435"/>
      <c r="E35" s="406"/>
      <c r="F35" s="149"/>
      <c r="G35" s="428"/>
      <c r="H35" s="428"/>
      <c r="I35" s="428"/>
      <c r="J35" s="428"/>
      <c r="K35" s="428"/>
    </row>
    <row r="36" spans="1:16" ht="17.25" customHeight="1" thickBot="1">
      <c r="A36" s="396" t="s">
        <v>131</v>
      </c>
      <c r="B36" s="398"/>
      <c r="C36" s="427">
        <v>0.52410000000000001</v>
      </c>
      <c r="D36" s="397"/>
      <c r="E36" s="398"/>
      <c r="F36" s="149"/>
      <c r="G36" s="428"/>
      <c r="H36" s="428"/>
      <c r="I36" s="428"/>
      <c r="J36" s="428"/>
      <c r="K36" s="428"/>
    </row>
    <row r="37" spans="1:16" ht="17.25" customHeight="1" thickBot="1">
      <c r="G37" s="429"/>
      <c r="H37" s="429"/>
      <c r="I37" s="429"/>
      <c r="J37" s="429"/>
      <c r="K37" s="429"/>
    </row>
    <row r="38" spans="1:16" ht="48.75" customHeight="1" thickBot="1">
      <c r="A38" s="436" t="s">
        <v>132</v>
      </c>
      <c r="B38" s="437"/>
      <c r="C38" s="437"/>
      <c r="D38" s="437"/>
      <c r="E38" s="438"/>
      <c r="F38" s="171"/>
    </row>
    <row r="39" spans="1:16" ht="60" customHeight="1" thickBot="1">
      <c r="A39" s="393" t="s">
        <v>133</v>
      </c>
      <c r="B39" s="394"/>
      <c r="C39" s="394"/>
      <c r="D39" s="394"/>
      <c r="E39" s="395"/>
      <c r="F39" s="173"/>
    </row>
    <row r="40" spans="1:16" ht="13.5" customHeight="1">
      <c r="A40" s="174"/>
      <c r="B40" s="173"/>
      <c r="C40" s="173"/>
      <c r="D40" s="173"/>
      <c r="E40" s="173"/>
      <c r="F40" s="173"/>
    </row>
    <row r="41" spans="1:16" ht="11.25" customHeight="1" thickBot="1">
      <c r="A41" s="174"/>
      <c r="B41" s="173"/>
      <c r="C41" s="173"/>
      <c r="D41" s="173"/>
      <c r="E41" s="173"/>
      <c r="F41" s="173"/>
    </row>
    <row r="42" spans="1:16" ht="26.25" customHeight="1" thickBot="1">
      <c r="A42" s="430" t="s">
        <v>134</v>
      </c>
      <c r="B42" s="431"/>
      <c r="C42" s="431"/>
      <c r="D42" s="431"/>
      <c r="E42" s="431"/>
      <c r="F42" s="431"/>
      <c r="G42" s="431"/>
      <c r="H42" s="432"/>
      <c r="I42" s="175"/>
      <c r="J42" s="175"/>
      <c r="K42" s="430" t="s">
        <v>135</v>
      </c>
      <c r="L42" s="432"/>
    </row>
    <row r="43" spans="1:16" s="154" customFormat="1" ht="77.25" customHeight="1" thickBot="1">
      <c r="A43" s="176" t="s">
        <v>136</v>
      </c>
      <c r="B43" s="177" t="s">
        <v>137</v>
      </c>
      <c r="C43" s="178" t="s">
        <v>138</v>
      </c>
      <c r="D43" s="178" t="s">
        <v>139</v>
      </c>
      <c r="E43" s="179" t="s">
        <v>140</v>
      </c>
      <c r="F43" s="425"/>
      <c r="G43" s="179" t="s">
        <v>141</v>
      </c>
      <c r="H43" s="179" t="s">
        <v>142</v>
      </c>
      <c r="I43" s="179" t="s">
        <v>143</v>
      </c>
      <c r="J43" s="179" t="s">
        <v>144</v>
      </c>
      <c r="K43" s="179" t="s">
        <v>145</v>
      </c>
      <c r="L43" s="215" t="s">
        <v>146</v>
      </c>
    </row>
    <row r="44" spans="1:16">
      <c r="A44" s="198" t="s">
        <v>147</v>
      </c>
      <c r="B44" s="199" t="s">
        <v>148</v>
      </c>
      <c r="C44" s="200">
        <v>30</v>
      </c>
      <c r="D44" s="201">
        <f>+B13</f>
        <v>17878240.050000001</v>
      </c>
      <c r="E44" s="202">
        <v>0.1</v>
      </c>
      <c r="F44" s="426"/>
      <c r="G44" s="217">
        <f>ROUND(D44*E44,2)</f>
        <v>1787824.01</v>
      </c>
      <c r="H44" s="201">
        <f>ROUND(D44+G44,2)</f>
        <v>19666064.059999999</v>
      </c>
      <c r="I44" s="201">
        <f>ROUND(H44*10%*19%,2)</f>
        <v>373655.22</v>
      </c>
      <c r="J44" s="201">
        <f>ROUND(H44+I44,2)</f>
        <v>20039719.280000001</v>
      </c>
      <c r="K44" s="200">
        <v>39</v>
      </c>
      <c r="L44" s="180">
        <f t="shared" ref="L44:L51" si="2">ROUND(K44*J44,2)*1</f>
        <v>781549051.91999996</v>
      </c>
    </row>
    <row r="45" spans="1:16">
      <c r="A45" s="203" t="s">
        <v>149</v>
      </c>
      <c r="B45" s="194" t="s">
        <v>148</v>
      </c>
      <c r="C45" s="193">
        <v>30</v>
      </c>
      <c r="D45" s="195">
        <f>+B13</f>
        <v>17878240.050000001</v>
      </c>
      <c r="E45" s="204">
        <v>0.08</v>
      </c>
      <c r="F45" s="426"/>
      <c r="G45" s="218">
        <f>ROUND(D45*E45,2)</f>
        <v>1430259.2</v>
      </c>
      <c r="H45" s="195">
        <f>ROUND(D45+G45,2)</f>
        <v>19308499.25</v>
      </c>
      <c r="I45" s="195">
        <f t="shared" ref="I45:I47" si="3">ROUND(H45*10%*19%,2)</f>
        <v>366861.49</v>
      </c>
      <c r="J45" s="195">
        <f t="shared" ref="J45:J47" si="4">ROUND(H45+I45,2)</f>
        <v>19675360.739999998</v>
      </c>
      <c r="K45" s="193">
        <v>2</v>
      </c>
      <c r="L45" s="219">
        <f t="shared" si="2"/>
        <v>39350721.479999997</v>
      </c>
    </row>
    <row r="46" spans="1:16" ht="16.5" customHeight="1">
      <c r="A46" s="205" t="s">
        <v>150</v>
      </c>
      <c r="B46" s="197" t="s">
        <v>121</v>
      </c>
      <c r="C46" s="193">
        <v>22</v>
      </c>
      <c r="D46" s="195">
        <f>ROUND($D$9*$C$34/30*C46/13*12,0)</f>
        <v>5759434</v>
      </c>
      <c r="E46" s="204">
        <v>0.1</v>
      </c>
      <c r="F46" s="426"/>
      <c r="G46" s="218">
        <f>ROUND(D46*E46,2)</f>
        <v>575943.4</v>
      </c>
      <c r="H46" s="195">
        <f t="shared" ref="H46" si="5">ROUND(D46+G46,2)</f>
        <v>6335377.4000000004</v>
      </c>
      <c r="I46" s="195">
        <f t="shared" si="3"/>
        <v>120372.17</v>
      </c>
      <c r="J46" s="195">
        <f t="shared" si="4"/>
        <v>6455749.5700000003</v>
      </c>
      <c r="K46" s="193">
        <v>7</v>
      </c>
      <c r="L46" s="219">
        <f t="shared" si="2"/>
        <v>45190246.990000002</v>
      </c>
    </row>
    <row r="47" spans="1:16">
      <c r="A47" s="206" t="s">
        <v>151</v>
      </c>
      <c r="B47" s="197" t="s">
        <v>121</v>
      </c>
      <c r="C47" s="193">
        <v>22</v>
      </c>
      <c r="D47" s="195">
        <f>ROUND($D$9*$C$34/30*C47/13*12,0)</f>
        <v>5759434</v>
      </c>
      <c r="E47" s="204">
        <v>0.08</v>
      </c>
      <c r="F47" s="426"/>
      <c r="G47" s="218">
        <f>ROUND(D47*E47,2)</f>
        <v>460754.72</v>
      </c>
      <c r="H47" s="195">
        <f>ROUND(D47+G47,2)</f>
        <v>6220188.7199999997</v>
      </c>
      <c r="I47" s="195">
        <f t="shared" si="3"/>
        <v>118183.59</v>
      </c>
      <c r="J47" s="195">
        <f t="shared" si="4"/>
        <v>6338372.3099999996</v>
      </c>
      <c r="K47" s="193">
        <v>1</v>
      </c>
      <c r="L47" s="219">
        <f t="shared" si="2"/>
        <v>6338372.3099999996</v>
      </c>
      <c r="M47" s="181"/>
      <c r="N47" s="181"/>
      <c r="O47" s="182"/>
      <c r="P47" s="181"/>
    </row>
    <row r="48" spans="1:16">
      <c r="A48" s="207" t="s">
        <v>152</v>
      </c>
      <c r="B48" s="197" t="s">
        <v>148</v>
      </c>
      <c r="C48" s="193">
        <v>30</v>
      </c>
      <c r="D48" s="195">
        <f>ROUND($D$9*$C$36/30*C48/13*12,0)</f>
        <v>8649217</v>
      </c>
      <c r="E48" s="204">
        <v>0.1</v>
      </c>
      <c r="F48" s="151"/>
      <c r="G48" s="218">
        <f t="shared" ref="G48:G51" si="6">ROUND(D48*E48,2)</f>
        <v>864921.7</v>
      </c>
      <c r="H48" s="195">
        <f t="shared" ref="H48:H51" si="7">ROUND(D48+G48,2)</f>
        <v>9514138.6999999993</v>
      </c>
      <c r="I48" s="195">
        <f t="shared" ref="I48:I51" si="8">ROUND(H48*10%*19%,2)</f>
        <v>180768.64000000001</v>
      </c>
      <c r="J48" s="195">
        <f t="shared" ref="J48:J51" si="9">ROUND(H48+I48,2)</f>
        <v>9694907.3399999999</v>
      </c>
      <c r="K48" s="325">
        <v>2</v>
      </c>
      <c r="L48" s="219">
        <f t="shared" si="2"/>
        <v>19389814.68</v>
      </c>
      <c r="M48" s="181"/>
    </row>
    <row r="49" spans="1:15">
      <c r="A49" s="208" t="s">
        <v>150</v>
      </c>
      <c r="B49" s="197" t="s">
        <v>148</v>
      </c>
      <c r="C49" s="193">
        <v>30</v>
      </c>
      <c r="D49" s="195">
        <f>ROUND($D$9*$C$34/30*C49/13*12,0)</f>
        <v>7853773</v>
      </c>
      <c r="E49" s="204">
        <v>0.1</v>
      </c>
      <c r="F49" s="151"/>
      <c r="G49" s="218">
        <f t="shared" si="6"/>
        <v>785377.3</v>
      </c>
      <c r="H49" s="195">
        <f t="shared" si="7"/>
        <v>8639150.3000000007</v>
      </c>
      <c r="I49" s="195">
        <f t="shared" si="8"/>
        <v>164143.85999999999</v>
      </c>
      <c r="J49" s="195">
        <f t="shared" si="9"/>
        <v>8803294.1600000001</v>
      </c>
      <c r="K49" s="193">
        <v>4</v>
      </c>
      <c r="L49" s="219">
        <f t="shared" si="2"/>
        <v>35213176.640000001</v>
      </c>
      <c r="M49" s="181"/>
    </row>
    <row r="50" spans="1:15">
      <c r="A50" s="209" t="s">
        <v>150</v>
      </c>
      <c r="B50" s="197" t="s">
        <v>153</v>
      </c>
      <c r="C50" s="193">
        <v>20</v>
      </c>
      <c r="D50" s="195">
        <f>ROUND($D$9*$C$34/30*C50/13*12,0)</f>
        <v>5235849</v>
      </c>
      <c r="E50" s="204">
        <v>0.1</v>
      </c>
      <c r="F50" s="151"/>
      <c r="G50" s="218">
        <f t="shared" si="6"/>
        <v>523584.9</v>
      </c>
      <c r="H50" s="195">
        <f t="shared" si="7"/>
        <v>5759433.9000000004</v>
      </c>
      <c r="I50" s="195">
        <f t="shared" si="8"/>
        <v>109429.24</v>
      </c>
      <c r="J50" s="195">
        <f t="shared" si="9"/>
        <v>5868863.1399999997</v>
      </c>
      <c r="K50" s="193">
        <v>5</v>
      </c>
      <c r="L50" s="219">
        <f t="shared" si="2"/>
        <v>29344315.699999999</v>
      </c>
      <c r="M50" s="181"/>
    </row>
    <row r="51" spans="1:15" ht="14.25" thickBot="1">
      <c r="A51" s="210" t="s">
        <v>151</v>
      </c>
      <c r="B51" s="211" t="s">
        <v>153</v>
      </c>
      <c r="C51" s="212">
        <v>20</v>
      </c>
      <c r="D51" s="213">
        <f>ROUND($D$9*$C$34/30*C51/13*12,0)</f>
        <v>5235849</v>
      </c>
      <c r="E51" s="214">
        <v>0.08</v>
      </c>
      <c r="F51" s="151"/>
      <c r="G51" s="220">
        <f t="shared" si="6"/>
        <v>418867.92</v>
      </c>
      <c r="H51" s="213">
        <f t="shared" si="7"/>
        <v>5654716.9199999999</v>
      </c>
      <c r="I51" s="213">
        <f t="shared" si="8"/>
        <v>107439.62</v>
      </c>
      <c r="J51" s="213">
        <f t="shared" si="9"/>
        <v>5762156.54</v>
      </c>
      <c r="K51" s="212">
        <v>5</v>
      </c>
      <c r="L51" s="221">
        <f t="shared" si="2"/>
        <v>28810782.699999999</v>
      </c>
      <c r="M51" s="181"/>
    </row>
    <row r="52" spans="1:15" ht="14.25" thickBot="1">
      <c r="A52" s="183"/>
      <c r="B52" s="183"/>
      <c r="C52" s="149"/>
      <c r="D52" s="184"/>
      <c r="E52" s="185"/>
      <c r="F52" s="151"/>
      <c r="G52" s="184"/>
      <c r="H52" s="184"/>
      <c r="I52" s="184"/>
      <c r="J52" s="184"/>
      <c r="L52" s="216"/>
      <c r="M52" s="181"/>
    </row>
    <row r="53" spans="1:15" ht="14.25" thickBot="1">
      <c r="G53" s="184"/>
      <c r="H53" s="184"/>
      <c r="I53" s="184"/>
      <c r="J53" s="184"/>
      <c r="K53" s="186">
        <f>SUM(K44:K52)</f>
        <v>65</v>
      </c>
      <c r="L53" s="187">
        <f>ROUND(SUM(L44:L51),2)</f>
        <v>985186482.41999996</v>
      </c>
      <c r="M53" s="188"/>
    </row>
    <row r="54" spans="1:15" ht="14.25" thickBot="1">
      <c r="M54" s="167"/>
      <c r="O54" s="189"/>
    </row>
    <row r="55" spans="1:15" s="153" customFormat="1" ht="27" customHeight="1" thickBot="1">
      <c r="A55" s="439" t="s">
        <v>154</v>
      </c>
      <c r="B55" s="440"/>
      <c r="C55" s="440"/>
      <c r="D55" s="440"/>
      <c r="E55" s="441"/>
      <c r="K55" s="154"/>
      <c r="L55" s="192">
        <f>+L53</f>
        <v>985186482.41999996</v>
      </c>
      <c r="N55" s="190"/>
      <c r="O55" s="191"/>
    </row>
    <row r="56" spans="1:15">
      <c r="O56" s="189"/>
    </row>
  </sheetData>
  <mergeCells count="47">
    <mergeCell ref="A55:E55"/>
    <mergeCell ref="D6:E6"/>
    <mergeCell ref="A24:C24"/>
    <mergeCell ref="D24:E24"/>
    <mergeCell ref="A25:C25"/>
    <mergeCell ref="A7:C7"/>
    <mergeCell ref="D7:E7"/>
    <mergeCell ref="A11:E11"/>
    <mergeCell ref="A22:E22"/>
    <mergeCell ref="A23:C23"/>
    <mergeCell ref="D23:E23"/>
    <mergeCell ref="D25:E25"/>
    <mergeCell ref="A6:C6"/>
    <mergeCell ref="A8:C8"/>
    <mergeCell ref="D8:E8"/>
    <mergeCell ref="A9:C9"/>
    <mergeCell ref="G33:K33"/>
    <mergeCell ref="F43:F47"/>
    <mergeCell ref="A36:B36"/>
    <mergeCell ref="C36:E36"/>
    <mergeCell ref="G36:K36"/>
    <mergeCell ref="G37:K37"/>
    <mergeCell ref="A42:H42"/>
    <mergeCell ref="K42:L42"/>
    <mergeCell ref="C34:E35"/>
    <mergeCell ref="G34:K35"/>
    <mergeCell ref="A38:E38"/>
    <mergeCell ref="A1:E1"/>
    <mergeCell ref="B3:E3"/>
    <mergeCell ref="A4:E4"/>
    <mergeCell ref="A5:C5"/>
    <mergeCell ref="D5:E5"/>
    <mergeCell ref="D9:E9"/>
    <mergeCell ref="A39:E39"/>
    <mergeCell ref="A26:C26"/>
    <mergeCell ref="D26:E26"/>
    <mergeCell ref="A27:C27"/>
    <mergeCell ref="D27:E27"/>
    <mergeCell ref="A28:C28"/>
    <mergeCell ref="D28:E28"/>
    <mergeCell ref="A29:C29"/>
    <mergeCell ref="D29:E29"/>
    <mergeCell ref="A32:E32"/>
    <mergeCell ref="D30:E30"/>
    <mergeCell ref="A34:B35"/>
    <mergeCell ref="A33:B33"/>
    <mergeCell ref="C33:E33"/>
  </mergeCells>
  <phoneticPr fontId="41" type="noConversion"/>
  <printOptions horizontalCentered="1"/>
  <pageMargins left="0.70866141732283472" right="0.70866141732283472" top="0.74803149606299213" bottom="0.74803149606299213" header="0.31496062992125984" footer="0.31496062992125984"/>
  <pageSetup paperSize="256" scale="65"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90"/>
  <sheetViews>
    <sheetView showGridLines="0" topLeftCell="A63" zoomScale="90" zoomScaleNormal="90" workbookViewId="0">
      <selection activeCell="K77" sqref="K77:K84"/>
    </sheetView>
  </sheetViews>
  <sheetFormatPr defaultColWidth="11.375" defaultRowHeight="16.5"/>
  <cols>
    <col min="1" max="1" width="43.625" style="18" customWidth="1"/>
    <col min="2" max="2" width="26.625" style="18" customWidth="1"/>
    <col min="3" max="3" width="17.75" style="30" customWidth="1"/>
    <col min="4" max="4" width="16" style="18" customWidth="1"/>
    <col min="5" max="5" width="17.25" style="18" customWidth="1"/>
    <col min="6" max="6" width="1.875" style="18" customWidth="1"/>
    <col min="7" max="7" width="20.25" style="120" customWidth="1"/>
    <col min="8" max="8" width="15.875" style="18" customWidth="1"/>
    <col min="9" max="9" width="13" style="18" customWidth="1"/>
    <col min="10" max="10" width="14" style="18" customWidth="1"/>
    <col min="11" max="11" width="14.125" style="18" customWidth="1"/>
    <col min="12" max="12" width="17.375" style="18" customWidth="1"/>
    <col min="13" max="13" width="14.75" style="18" customWidth="1"/>
    <col min="14" max="14" width="15.875" style="18" customWidth="1"/>
    <col min="15" max="15" width="14.75" style="18" bestFit="1" customWidth="1"/>
    <col min="16" max="16384" width="11.375" style="18"/>
  </cols>
  <sheetData>
    <row r="1" spans="1:12" ht="37.5" customHeight="1" thickBot="1">
      <c r="A1" s="491" t="s">
        <v>155</v>
      </c>
      <c r="B1" s="492"/>
      <c r="C1" s="492"/>
      <c r="D1" s="492"/>
      <c r="E1" s="492"/>
      <c r="F1" s="493"/>
      <c r="L1" s="30"/>
    </row>
    <row r="2" spans="1:12" ht="15" customHeight="1" thickBot="1"/>
    <row r="3" spans="1:12" ht="144" customHeight="1" thickBot="1">
      <c r="A3" s="19"/>
      <c r="B3" s="413" t="s">
        <v>98</v>
      </c>
      <c r="C3" s="414"/>
      <c r="D3" s="414"/>
      <c r="E3" s="415"/>
    </row>
    <row r="4" spans="1:12" ht="60" customHeight="1" thickBot="1">
      <c r="A4" s="515" t="s">
        <v>99</v>
      </c>
      <c r="B4" s="516"/>
      <c r="C4" s="516"/>
      <c r="D4" s="516"/>
      <c r="E4" s="517"/>
      <c r="F4" s="20"/>
    </row>
    <row r="5" spans="1:12" s="15" customFormat="1" ht="42" customHeight="1" thickBot="1">
      <c r="A5" s="486" t="s">
        <v>100</v>
      </c>
      <c r="B5" s="487"/>
      <c r="C5" s="488"/>
      <c r="D5" s="489">
        <f>(1750905+(1750905*4.4%))</f>
        <v>1827944.82</v>
      </c>
      <c r="E5" s="490"/>
      <c r="F5" s="21"/>
      <c r="G5" s="122"/>
      <c r="H5" s="127"/>
    </row>
    <row r="6" spans="1:12" ht="17.25" thickBot="1">
      <c r="A6" s="460" t="s">
        <v>156</v>
      </c>
      <c r="B6" s="461"/>
      <c r="C6" s="462"/>
      <c r="D6" s="510">
        <v>10.210000000000001</v>
      </c>
      <c r="E6" s="511"/>
      <c r="F6" s="22"/>
      <c r="G6" s="128"/>
      <c r="H6" s="129"/>
    </row>
    <row r="7" spans="1:12" ht="17.25" thickBot="1">
      <c r="A7" s="460" t="s">
        <v>102</v>
      </c>
      <c r="B7" s="461"/>
      <c r="C7" s="462"/>
      <c r="D7" s="463">
        <f>ROUND(D5*D6,2)</f>
        <v>18663316.609999999</v>
      </c>
      <c r="E7" s="464"/>
      <c r="F7" s="23"/>
      <c r="G7" s="103"/>
      <c r="H7" s="103"/>
      <c r="J7" s="38"/>
      <c r="K7" s="120"/>
    </row>
    <row r="8" spans="1:12" ht="17.25" thickBot="1">
      <c r="A8" s="460" t="s">
        <v>103</v>
      </c>
      <c r="B8" s="461"/>
      <c r="C8" s="462"/>
      <c r="D8" s="507">
        <v>1500</v>
      </c>
      <c r="E8" s="508"/>
      <c r="F8" s="23"/>
      <c r="K8" s="30"/>
    </row>
    <row r="9" spans="1:12" ht="17.25" thickBot="1">
      <c r="A9" s="460" t="s">
        <v>104</v>
      </c>
      <c r="B9" s="461"/>
      <c r="C9" s="462"/>
      <c r="D9" s="463">
        <f>D7+D8</f>
        <v>18664816.609999999</v>
      </c>
      <c r="E9" s="464"/>
      <c r="F9" s="23"/>
      <c r="K9" s="30"/>
    </row>
    <row r="10" spans="1:12" ht="17.25" thickBot="1">
      <c r="A10" s="24"/>
      <c r="B10" s="25"/>
      <c r="C10" s="25"/>
      <c r="D10" s="132"/>
      <c r="E10" s="134"/>
      <c r="F10" s="23"/>
      <c r="K10" s="30"/>
    </row>
    <row r="11" spans="1:12" ht="17.25" thickBot="1">
      <c r="A11" s="486" t="s">
        <v>100</v>
      </c>
      <c r="B11" s="487"/>
      <c r="C11" s="488"/>
      <c r="D11" s="489">
        <f>(1750905+(1750905*4.4%))</f>
        <v>1827944.82</v>
      </c>
      <c r="E11" s="490"/>
      <c r="F11" s="23"/>
      <c r="K11" s="30"/>
    </row>
    <row r="12" spans="1:12" ht="17.25" thickBot="1">
      <c r="A12" s="460" t="s">
        <v>157</v>
      </c>
      <c r="B12" s="461"/>
      <c r="C12" s="462"/>
      <c r="D12" s="510">
        <v>10.38</v>
      </c>
      <c r="E12" s="511"/>
      <c r="F12" s="23"/>
      <c r="K12" s="30"/>
    </row>
    <row r="13" spans="1:12" ht="17.25" thickBot="1">
      <c r="A13" s="460" t="s">
        <v>102</v>
      </c>
      <c r="B13" s="461"/>
      <c r="C13" s="462"/>
      <c r="D13" s="463">
        <f>ROUND(D11*D12,2)</f>
        <v>18974067.23</v>
      </c>
      <c r="E13" s="464"/>
      <c r="F13" s="23"/>
      <c r="K13" s="30"/>
    </row>
    <row r="14" spans="1:12" ht="17.25" thickBot="1">
      <c r="A14" s="460" t="s">
        <v>103</v>
      </c>
      <c r="B14" s="461"/>
      <c r="C14" s="462"/>
      <c r="D14" s="507">
        <v>1500</v>
      </c>
      <c r="E14" s="508"/>
      <c r="F14" s="23"/>
      <c r="K14" s="30"/>
    </row>
    <row r="15" spans="1:12" ht="17.25" thickBot="1">
      <c r="A15" s="460" t="s">
        <v>104</v>
      </c>
      <c r="B15" s="461"/>
      <c r="C15" s="462"/>
      <c r="D15" s="463">
        <f>D13+D14</f>
        <v>18975567.23</v>
      </c>
      <c r="E15" s="464"/>
      <c r="F15" s="23"/>
      <c r="K15" s="30"/>
    </row>
    <row r="16" spans="1:12">
      <c r="A16" s="24"/>
      <c r="B16" s="25"/>
      <c r="C16" s="25"/>
      <c r="D16" s="132"/>
      <c r="E16" s="134"/>
      <c r="F16" s="23"/>
      <c r="K16" s="30"/>
    </row>
    <row r="17" spans="1:7" ht="17.25" thickBot="1">
      <c r="A17" s="24"/>
      <c r="B17" s="25"/>
      <c r="C17" s="110"/>
      <c r="D17" s="23"/>
      <c r="E17" s="26"/>
      <c r="F17" s="23"/>
    </row>
    <row r="18" spans="1:7" ht="19.5" thickBot="1">
      <c r="A18" s="465" t="s">
        <v>158</v>
      </c>
      <c r="B18" s="466"/>
      <c r="C18" s="466"/>
      <c r="D18" s="466"/>
      <c r="E18" s="467"/>
      <c r="F18" s="27"/>
    </row>
    <row r="19" spans="1:7" s="16" customFormat="1" ht="24.75" customHeight="1" thickBot="1">
      <c r="A19" s="140" t="s">
        <v>106</v>
      </c>
      <c r="B19" s="141" t="s">
        <v>107</v>
      </c>
      <c r="C19" s="141" t="s">
        <v>108</v>
      </c>
      <c r="D19" s="141" t="s">
        <v>109</v>
      </c>
      <c r="E19" s="141" t="s">
        <v>110</v>
      </c>
      <c r="G19" s="123"/>
    </row>
    <row r="20" spans="1:7">
      <c r="A20" s="198" t="s">
        <v>111</v>
      </c>
      <c r="B20" s="144">
        <f>$D$9</f>
        <v>18664816.609999999</v>
      </c>
      <c r="C20" s="145">
        <v>0.1</v>
      </c>
      <c r="D20" s="144">
        <f>ROUND(B20*C20,2)</f>
        <v>1866481.66</v>
      </c>
      <c r="E20" s="146">
        <f>ROUND(B20+D20,2)</f>
        <v>20531298.27</v>
      </c>
      <c r="F20" s="28"/>
    </row>
    <row r="21" spans="1:7">
      <c r="A21" s="203" t="s">
        <v>112</v>
      </c>
      <c r="B21" s="142">
        <f>$D$9</f>
        <v>18664816.609999999</v>
      </c>
      <c r="C21" s="143">
        <v>0.08</v>
      </c>
      <c r="D21" s="142">
        <f>ROUND(B21*C21,2)</f>
        <v>1493185.33</v>
      </c>
      <c r="E21" s="147">
        <f>ROUND(B21+D21,2)</f>
        <v>20158001.940000001</v>
      </c>
      <c r="F21" s="28"/>
    </row>
    <row r="22" spans="1:7" ht="24">
      <c r="A22" s="205" t="s">
        <v>113</v>
      </c>
      <c r="B22" s="142">
        <v>6112935.1900000004</v>
      </c>
      <c r="C22" s="143">
        <v>0.1</v>
      </c>
      <c r="D22" s="142">
        <f t="shared" ref="D22:D27" si="0">ROUND(B22*C22,2)</f>
        <v>611293.52</v>
      </c>
      <c r="E22" s="147">
        <f t="shared" ref="E22:E27" si="1">ROUND(B22+D22,2)</f>
        <v>6724228.71</v>
      </c>
      <c r="F22" s="28"/>
    </row>
    <row r="23" spans="1:7" ht="24">
      <c r="A23" s="206" t="s">
        <v>114</v>
      </c>
      <c r="B23" s="142">
        <v>6112935.1900000004</v>
      </c>
      <c r="C23" s="143">
        <v>0.08</v>
      </c>
      <c r="D23" s="142">
        <f t="shared" si="0"/>
        <v>489034.82</v>
      </c>
      <c r="E23" s="147">
        <f t="shared" si="1"/>
        <v>6601970.0099999998</v>
      </c>
      <c r="F23" s="28"/>
    </row>
    <row r="24" spans="1:7" ht="24">
      <c r="A24" s="207" t="s">
        <v>115</v>
      </c>
      <c r="B24" s="142">
        <v>9180087.4900000002</v>
      </c>
      <c r="C24" s="143">
        <v>0.1</v>
      </c>
      <c r="D24" s="142">
        <f t="shared" si="0"/>
        <v>918008.75</v>
      </c>
      <c r="E24" s="147">
        <f t="shared" si="1"/>
        <v>10098096.24</v>
      </c>
      <c r="F24" s="28"/>
    </row>
    <row r="25" spans="1:7">
      <c r="A25" s="208" t="s">
        <v>116</v>
      </c>
      <c r="B25" s="142">
        <v>9180087.4900000002</v>
      </c>
      <c r="C25" s="143">
        <v>0.1</v>
      </c>
      <c r="D25" s="142">
        <f t="shared" si="0"/>
        <v>918008.75</v>
      </c>
      <c r="E25" s="147">
        <f t="shared" si="1"/>
        <v>10098096.24</v>
      </c>
      <c r="F25" s="28"/>
    </row>
    <row r="26" spans="1:7" ht="24">
      <c r="A26" s="209" t="s">
        <v>117</v>
      </c>
      <c r="B26" s="142">
        <v>5557213.8099999996</v>
      </c>
      <c r="C26" s="143">
        <v>0.1</v>
      </c>
      <c r="D26" s="142">
        <f t="shared" si="0"/>
        <v>555721.38</v>
      </c>
      <c r="E26" s="147">
        <f t="shared" si="1"/>
        <v>6112935.1900000004</v>
      </c>
      <c r="F26" s="28"/>
    </row>
    <row r="27" spans="1:7" ht="24.75" thickBot="1">
      <c r="A27" s="210" t="s">
        <v>118</v>
      </c>
      <c r="B27" s="226">
        <v>5557213.8099999996</v>
      </c>
      <c r="C27" s="228">
        <v>0.08</v>
      </c>
      <c r="D27" s="226">
        <f t="shared" si="0"/>
        <v>444577.1</v>
      </c>
      <c r="E27" s="227">
        <f t="shared" si="1"/>
        <v>6001790.9100000001</v>
      </c>
      <c r="F27" s="28"/>
    </row>
    <row r="28" spans="1:7">
      <c r="A28" s="29"/>
      <c r="B28" s="138"/>
      <c r="C28" s="139"/>
      <c r="D28" s="138"/>
      <c r="E28" s="138"/>
      <c r="F28" s="28"/>
    </row>
    <row r="29" spans="1:7" ht="17.25" thickBot="1">
      <c r="A29" s="29"/>
      <c r="B29" s="28"/>
      <c r="C29" s="111"/>
      <c r="D29" s="28"/>
      <c r="E29" s="28"/>
      <c r="F29" s="28"/>
    </row>
    <row r="30" spans="1:7" ht="19.5" thickBot="1">
      <c r="A30" s="465" t="s">
        <v>159</v>
      </c>
      <c r="B30" s="466"/>
      <c r="C30" s="466"/>
      <c r="D30" s="466"/>
      <c r="E30" s="467"/>
      <c r="F30" s="27"/>
    </row>
    <row r="31" spans="1:7" s="16" customFormat="1" ht="24.75" customHeight="1" thickBot="1">
      <c r="A31" s="140" t="s">
        <v>106</v>
      </c>
      <c r="B31" s="141" t="s">
        <v>107</v>
      </c>
      <c r="C31" s="141" t="s">
        <v>108</v>
      </c>
      <c r="D31" s="141" t="s">
        <v>109</v>
      </c>
      <c r="E31" s="141" t="s">
        <v>110</v>
      </c>
      <c r="G31" s="123"/>
    </row>
    <row r="32" spans="1:7">
      <c r="A32" s="198" t="s">
        <v>111</v>
      </c>
      <c r="B32" s="144">
        <f>$D$15</f>
        <v>18975567.23</v>
      </c>
      <c r="C32" s="145">
        <v>0.1</v>
      </c>
      <c r="D32" s="144">
        <f>ROUND(B32*C32,2)</f>
        <v>1897556.72</v>
      </c>
      <c r="E32" s="146">
        <f>ROUND(B32+D32,2)</f>
        <v>20873123.949999999</v>
      </c>
      <c r="F32" s="28"/>
    </row>
    <row r="33" spans="1:6">
      <c r="A33" s="203" t="s">
        <v>112</v>
      </c>
      <c r="B33" s="142">
        <f>$D$15</f>
        <v>18975567.23</v>
      </c>
      <c r="C33" s="143">
        <v>0.08</v>
      </c>
      <c r="D33" s="142">
        <f>ROUND(B33*C33,2)</f>
        <v>1518045.38</v>
      </c>
      <c r="E33" s="147">
        <f>ROUND(B33+D33,2)</f>
        <v>20493612.609999999</v>
      </c>
      <c r="F33" s="28"/>
    </row>
    <row r="34" spans="1:6" ht="24">
      <c r="A34" s="205" t="s">
        <v>113</v>
      </c>
      <c r="B34" s="142">
        <v>6112935.1900000004</v>
      </c>
      <c r="C34" s="143">
        <v>0.1</v>
      </c>
      <c r="D34" s="142">
        <f t="shared" ref="D34:D39" si="2">ROUND(B34*C34,2)</f>
        <v>611293.52</v>
      </c>
      <c r="E34" s="147">
        <f t="shared" ref="E34:E39" si="3">ROUND(B34+D34,2)</f>
        <v>6724228.71</v>
      </c>
      <c r="F34" s="28"/>
    </row>
    <row r="35" spans="1:6" ht="24">
      <c r="A35" s="206" t="s">
        <v>114</v>
      </c>
      <c r="B35" s="142">
        <v>6112935.1900000004</v>
      </c>
      <c r="C35" s="143">
        <v>0.08</v>
      </c>
      <c r="D35" s="142">
        <f t="shared" si="2"/>
        <v>489034.82</v>
      </c>
      <c r="E35" s="147">
        <f t="shared" si="3"/>
        <v>6601970.0099999998</v>
      </c>
      <c r="F35" s="28"/>
    </row>
    <row r="36" spans="1:6" ht="24">
      <c r="A36" s="207" t="s">
        <v>115</v>
      </c>
      <c r="B36" s="142">
        <v>9180087.4900000002</v>
      </c>
      <c r="C36" s="143">
        <v>0.1</v>
      </c>
      <c r="D36" s="142">
        <f t="shared" si="2"/>
        <v>918008.75</v>
      </c>
      <c r="E36" s="147">
        <f t="shared" si="3"/>
        <v>10098096.24</v>
      </c>
      <c r="F36" s="28"/>
    </row>
    <row r="37" spans="1:6">
      <c r="A37" s="208" t="s">
        <v>116</v>
      </c>
      <c r="B37" s="142">
        <v>9180087.4900000002</v>
      </c>
      <c r="C37" s="143">
        <v>0.1</v>
      </c>
      <c r="D37" s="142">
        <f t="shared" si="2"/>
        <v>918008.75</v>
      </c>
      <c r="E37" s="147">
        <f t="shared" si="3"/>
        <v>10098096.24</v>
      </c>
      <c r="F37" s="28"/>
    </row>
    <row r="38" spans="1:6" ht="24">
      <c r="A38" s="209" t="s">
        <v>117</v>
      </c>
      <c r="B38" s="142">
        <v>5557213.8099999996</v>
      </c>
      <c r="C38" s="236">
        <v>0.1</v>
      </c>
      <c r="D38" s="142">
        <f t="shared" si="2"/>
        <v>555721.38</v>
      </c>
      <c r="E38" s="147">
        <f t="shared" si="3"/>
        <v>6112935.1900000004</v>
      </c>
      <c r="F38" s="28"/>
    </row>
    <row r="39" spans="1:6" ht="24.75" thickBot="1">
      <c r="A39" s="210" t="s">
        <v>118</v>
      </c>
      <c r="B39" s="226">
        <v>5557213.8099999996</v>
      </c>
      <c r="C39" s="237">
        <v>0.08</v>
      </c>
      <c r="D39" s="226">
        <f t="shared" si="2"/>
        <v>444577.1</v>
      </c>
      <c r="E39" s="227">
        <f t="shared" si="3"/>
        <v>6001790.9100000001</v>
      </c>
      <c r="F39" s="28"/>
    </row>
    <row r="40" spans="1:6">
      <c r="B40" s="138"/>
      <c r="C40" s="111"/>
      <c r="D40" s="28"/>
      <c r="E40" s="28"/>
      <c r="F40" s="28"/>
    </row>
    <row r="41" spans="1:6" ht="17.25" thickBot="1"/>
    <row r="42" spans="1:6" ht="43.5" customHeight="1">
      <c r="A42" s="518" t="s">
        <v>160</v>
      </c>
      <c r="B42" s="519"/>
      <c r="C42" s="519"/>
      <c r="D42" s="519"/>
      <c r="E42" s="520"/>
      <c r="F42" s="20"/>
    </row>
    <row r="43" spans="1:6">
      <c r="A43" s="472" t="s">
        <v>120</v>
      </c>
      <c r="B43" s="473"/>
      <c r="C43" s="474"/>
      <c r="D43" s="472">
        <v>20</v>
      </c>
      <c r="E43" s="474"/>
      <c r="F43" s="30"/>
    </row>
    <row r="44" spans="1:6">
      <c r="A44" s="472" t="s">
        <v>121</v>
      </c>
      <c r="B44" s="473"/>
      <c r="C44" s="474"/>
      <c r="D44" s="472">
        <v>22</v>
      </c>
      <c r="E44" s="474"/>
      <c r="F44" s="30"/>
    </row>
    <row r="45" spans="1:6">
      <c r="A45" s="472" t="s">
        <v>122</v>
      </c>
      <c r="B45" s="473"/>
      <c r="C45" s="474"/>
      <c r="D45" s="472">
        <v>24</v>
      </c>
      <c r="E45" s="474"/>
      <c r="F45" s="30"/>
    </row>
    <row r="46" spans="1:6">
      <c r="A46" s="472" t="s">
        <v>123</v>
      </c>
      <c r="B46" s="473"/>
      <c r="C46" s="474"/>
      <c r="D46" s="472">
        <v>26</v>
      </c>
      <c r="E46" s="474"/>
      <c r="F46" s="30"/>
    </row>
    <row r="47" spans="1:6">
      <c r="A47" s="472" t="s">
        <v>124</v>
      </c>
      <c r="B47" s="473"/>
      <c r="C47" s="474"/>
      <c r="D47" s="472">
        <v>2</v>
      </c>
      <c r="E47" s="474"/>
      <c r="F47" s="30"/>
    </row>
    <row r="48" spans="1:6">
      <c r="A48" s="472" t="s">
        <v>125</v>
      </c>
      <c r="B48" s="473"/>
      <c r="C48" s="474"/>
      <c r="D48" s="472">
        <v>8</v>
      </c>
      <c r="E48" s="474"/>
      <c r="F48" s="30"/>
    </row>
    <row r="49" spans="1:12">
      <c r="A49" s="472" t="s">
        <v>126</v>
      </c>
      <c r="B49" s="473"/>
      <c r="C49" s="474"/>
      <c r="D49" s="472">
        <v>10</v>
      </c>
      <c r="E49" s="474"/>
      <c r="F49" s="30"/>
    </row>
    <row r="50" spans="1:12">
      <c r="A50" s="30"/>
      <c r="B50" s="30"/>
      <c r="D50" s="30"/>
      <c r="E50" s="30"/>
      <c r="F50" s="30"/>
    </row>
    <row r="52" spans="1:12" ht="53.25" customHeight="1" thickBot="1">
      <c r="A52" s="500" t="s">
        <v>127</v>
      </c>
      <c r="B52" s="501"/>
      <c r="C52" s="501"/>
      <c r="D52" s="501"/>
      <c r="E52" s="502"/>
      <c r="F52" s="11"/>
    </row>
    <row r="53" spans="1:12" s="15" customFormat="1" ht="43.5" customHeight="1" thickBot="1">
      <c r="A53" s="503" t="s">
        <v>128</v>
      </c>
      <c r="B53" s="504"/>
      <c r="C53" s="503" t="s">
        <v>129</v>
      </c>
      <c r="D53" s="505"/>
      <c r="E53" s="504"/>
      <c r="F53" s="31"/>
      <c r="G53" s="506"/>
      <c r="H53" s="506"/>
      <c r="I53" s="506"/>
      <c r="J53" s="506"/>
      <c r="K53" s="506"/>
    </row>
    <row r="54" spans="1:12" ht="17.25" customHeight="1">
      <c r="A54" s="509" t="s">
        <v>130</v>
      </c>
      <c r="B54" s="480"/>
      <c r="C54" s="478">
        <v>0.47589999999999999</v>
      </c>
      <c r="D54" s="479"/>
      <c r="E54" s="480"/>
      <c r="F54" s="30"/>
      <c r="G54" s="476"/>
      <c r="H54" s="476"/>
      <c r="I54" s="476"/>
      <c r="J54" s="476"/>
      <c r="K54" s="476"/>
    </row>
    <row r="55" spans="1:12" ht="17.25" customHeight="1" thickBot="1">
      <c r="A55" s="481"/>
      <c r="B55" s="483"/>
      <c r="C55" s="481"/>
      <c r="D55" s="482"/>
      <c r="E55" s="483"/>
      <c r="F55" s="30"/>
      <c r="G55" s="476"/>
      <c r="H55" s="476"/>
      <c r="I55" s="476"/>
      <c r="J55" s="476"/>
      <c r="K55" s="476"/>
    </row>
    <row r="56" spans="1:12" ht="17.25" customHeight="1" thickBot="1">
      <c r="A56" s="472" t="s">
        <v>131</v>
      </c>
      <c r="B56" s="474"/>
      <c r="C56" s="475">
        <v>0.52410000000000001</v>
      </c>
      <c r="D56" s="473"/>
      <c r="E56" s="474"/>
      <c r="F56" s="30"/>
      <c r="G56" s="476"/>
      <c r="H56" s="476"/>
      <c r="I56" s="476"/>
      <c r="J56" s="476"/>
      <c r="K56" s="476"/>
    </row>
    <row r="57" spans="1:12" ht="17.25" customHeight="1" thickBot="1">
      <c r="G57" s="477"/>
      <c r="H57" s="477"/>
      <c r="I57" s="477"/>
      <c r="J57" s="477"/>
      <c r="K57" s="477"/>
    </row>
    <row r="58" spans="1:12" ht="48.75" customHeight="1" thickBot="1">
      <c r="A58" s="494" t="s">
        <v>132</v>
      </c>
      <c r="B58" s="495"/>
      <c r="C58" s="495"/>
      <c r="D58" s="495"/>
      <c r="E58" s="496"/>
      <c r="F58" s="11"/>
    </row>
    <row r="59" spans="1:12" ht="60" customHeight="1">
      <c r="A59" s="497" t="s">
        <v>133</v>
      </c>
      <c r="B59" s="498"/>
      <c r="C59" s="498"/>
      <c r="D59" s="498"/>
      <c r="E59" s="499"/>
      <c r="F59" s="10"/>
    </row>
    <row r="60" spans="1:12" ht="30.75" customHeight="1" thickBot="1">
      <c r="A60" s="32"/>
      <c r="B60" s="10"/>
      <c r="C60" s="95"/>
      <c r="D60" s="10"/>
      <c r="E60" s="10"/>
      <c r="F60" s="10"/>
    </row>
    <row r="61" spans="1:12" ht="24" customHeight="1" thickBot="1">
      <c r="A61" s="32"/>
      <c r="B61" s="457" t="s">
        <v>161</v>
      </c>
      <c r="C61" s="458"/>
      <c r="D61" s="458"/>
      <c r="E61" s="458"/>
      <c r="F61" s="458"/>
      <c r="G61" s="458"/>
      <c r="H61" s="459"/>
    </row>
    <row r="62" spans="1:12" ht="26.25" customHeight="1" thickBot="1">
      <c r="A62" s="468" t="s">
        <v>162</v>
      </c>
      <c r="B62" s="469"/>
      <c r="C62" s="469"/>
      <c r="D62" s="469"/>
      <c r="E62" s="469"/>
      <c r="F62" s="470"/>
      <c r="G62" s="469"/>
      <c r="H62" s="471"/>
      <c r="I62" s="96"/>
      <c r="J62" s="96"/>
      <c r="K62" s="484" t="s">
        <v>135</v>
      </c>
      <c r="L62" s="485"/>
    </row>
    <row r="63" spans="1:12" s="17" customFormat="1" ht="77.25" customHeight="1" thickBot="1">
      <c r="A63" s="229" t="s">
        <v>136</v>
      </c>
      <c r="B63" s="230" t="s">
        <v>137</v>
      </c>
      <c r="C63" s="231" t="s">
        <v>138</v>
      </c>
      <c r="D63" s="231" t="s">
        <v>139</v>
      </c>
      <c r="E63" s="232" t="s">
        <v>140</v>
      </c>
      <c r="F63" s="455"/>
      <c r="G63" s="233" t="s">
        <v>141</v>
      </c>
      <c r="H63" s="231" t="s">
        <v>142</v>
      </c>
      <c r="I63" s="231" t="s">
        <v>143</v>
      </c>
      <c r="J63" s="231" t="s">
        <v>144</v>
      </c>
      <c r="K63" s="231" t="s">
        <v>145</v>
      </c>
      <c r="L63" s="232" t="s">
        <v>163</v>
      </c>
    </row>
    <row r="64" spans="1:12">
      <c r="A64" s="198" t="s">
        <v>147</v>
      </c>
      <c r="B64" s="199" t="s">
        <v>148</v>
      </c>
      <c r="C64" s="200">
        <v>30</v>
      </c>
      <c r="D64" s="114">
        <f>B20</f>
        <v>18664816.609999999</v>
      </c>
      <c r="E64" s="202">
        <v>0.1</v>
      </c>
      <c r="F64" s="456"/>
      <c r="G64" s="124">
        <f>ROUND(D64*E64,2)</f>
        <v>1866481.66</v>
      </c>
      <c r="H64" s="114">
        <f>ROUND(D64+G64,2)</f>
        <v>20531298.27</v>
      </c>
      <c r="I64" s="114">
        <f>ROUND(H64*10%*19%,2)</f>
        <v>390094.67</v>
      </c>
      <c r="J64" s="114">
        <f>ROUND(H64+I64,2)</f>
        <v>20921392.940000001</v>
      </c>
      <c r="K64" s="200">
        <v>39</v>
      </c>
      <c r="L64" s="102">
        <f>ROUND(((K64*J64)*6),2)</f>
        <v>4895605947.96</v>
      </c>
    </row>
    <row r="65" spans="1:15">
      <c r="A65" s="203" t="s">
        <v>149</v>
      </c>
      <c r="B65" s="194" t="s">
        <v>148</v>
      </c>
      <c r="C65" s="193">
        <v>30</v>
      </c>
      <c r="D65" s="92">
        <f>B21</f>
        <v>18664816.609999999</v>
      </c>
      <c r="E65" s="204">
        <v>0.08</v>
      </c>
      <c r="F65" s="456"/>
      <c r="G65" s="125">
        <f>ROUND(D65*E65,2)</f>
        <v>1493185.33</v>
      </c>
      <c r="H65" s="92">
        <f t="shared" ref="H65:H67" si="4">ROUND(D65+G65,2)</f>
        <v>20158001.940000001</v>
      </c>
      <c r="I65" s="92">
        <f t="shared" ref="I65:I67" si="5">ROUND(H65*10%*19%,2)</f>
        <v>383002.04</v>
      </c>
      <c r="J65" s="92">
        <f t="shared" ref="J65:J67" si="6">ROUND(H65+I65,2)</f>
        <v>20541003.98</v>
      </c>
      <c r="K65" s="193">
        <v>2</v>
      </c>
      <c r="L65" s="112">
        <f>ROUND(((K65*J65)*6),2)</f>
        <v>246492047.75999999</v>
      </c>
    </row>
    <row r="66" spans="1:15" ht="23.25" customHeight="1">
      <c r="A66" s="205" t="s">
        <v>150</v>
      </c>
      <c r="B66" s="197" t="s">
        <v>121</v>
      </c>
      <c r="C66" s="193">
        <v>22</v>
      </c>
      <c r="D66" s="92">
        <f>ROUND($D$9*$C$54/30*C66/13*12,2)</f>
        <v>6012827.5999999996</v>
      </c>
      <c r="E66" s="204">
        <v>0.1</v>
      </c>
      <c r="F66" s="456"/>
      <c r="G66" s="125">
        <f>ROUND(D66*E66,2)</f>
        <v>601282.76</v>
      </c>
      <c r="H66" s="92">
        <f t="shared" si="4"/>
        <v>6614110.3600000003</v>
      </c>
      <c r="I66" s="92">
        <f t="shared" si="5"/>
        <v>125668.1</v>
      </c>
      <c r="J66" s="92">
        <f t="shared" si="6"/>
        <v>6739778.46</v>
      </c>
      <c r="K66" s="193">
        <v>7</v>
      </c>
      <c r="L66" s="112">
        <f>ROUND(((K66*J66)*6),2)</f>
        <v>283070695.31999999</v>
      </c>
    </row>
    <row r="67" spans="1:15">
      <c r="A67" s="206" t="s">
        <v>151</v>
      </c>
      <c r="B67" s="197" t="s">
        <v>121</v>
      </c>
      <c r="C67" s="193">
        <v>22</v>
      </c>
      <c r="D67" s="92">
        <f>ROUND($D$9*$C$54/30*C67/13*12,2)</f>
        <v>6012827.5999999996</v>
      </c>
      <c r="E67" s="204">
        <v>0.08</v>
      </c>
      <c r="F67" s="456"/>
      <c r="G67" s="125">
        <f>ROUND(D67*E67,2)</f>
        <v>481026.21</v>
      </c>
      <c r="H67" s="92">
        <f t="shared" si="4"/>
        <v>6493853.8099999996</v>
      </c>
      <c r="I67" s="92">
        <f t="shared" si="5"/>
        <v>123383.22</v>
      </c>
      <c r="J67" s="92">
        <f t="shared" si="6"/>
        <v>6617237.0300000003</v>
      </c>
      <c r="K67" s="193">
        <v>1</v>
      </c>
      <c r="L67" s="112">
        <f>ROUND(((K67*J67)*6),2)</f>
        <v>39703422.18</v>
      </c>
    </row>
    <row r="68" spans="1:15">
      <c r="A68" s="207" t="s">
        <v>152</v>
      </c>
      <c r="B68" s="197" t="s">
        <v>148</v>
      </c>
      <c r="C68" s="193">
        <v>30</v>
      </c>
      <c r="D68" s="92">
        <f>ROUND($D$9*$C$56/30*C68/13*12,2)</f>
        <v>9029751.1199999992</v>
      </c>
      <c r="E68" s="204">
        <v>0.1</v>
      </c>
      <c r="F68" s="95"/>
      <c r="G68" s="125">
        <f t="shared" ref="G68:G71" si="7">ROUND(D68*E68,2)</f>
        <v>902975.11</v>
      </c>
      <c r="H68" s="92">
        <f t="shared" ref="H68:H71" si="8">ROUND(D68+G68,2)</f>
        <v>9932726.2300000004</v>
      </c>
      <c r="I68" s="92">
        <f t="shared" ref="I68:I71" si="9">ROUND(H68*10%*19%,2)</f>
        <v>188721.8</v>
      </c>
      <c r="J68" s="92">
        <f t="shared" ref="J68:J71" si="10">ROUND(H68+I68,2)</f>
        <v>10121448.029999999</v>
      </c>
      <c r="K68" s="325">
        <v>2</v>
      </c>
      <c r="L68" s="112">
        <f t="shared" ref="L68:L71" si="11">ROUND(((K68*J68)*6),2)</f>
        <v>121457376.36</v>
      </c>
    </row>
    <row r="69" spans="1:15">
      <c r="A69" s="208" t="s">
        <v>150</v>
      </c>
      <c r="B69" s="197" t="s">
        <v>148</v>
      </c>
      <c r="C69" s="193">
        <v>30</v>
      </c>
      <c r="D69" s="92">
        <f>ROUND($D$9*$C$54/30*C69/13*12,2)</f>
        <v>8199310.3600000003</v>
      </c>
      <c r="E69" s="204">
        <v>0.1</v>
      </c>
      <c r="F69" s="95"/>
      <c r="G69" s="125">
        <f t="shared" si="7"/>
        <v>819931.04</v>
      </c>
      <c r="H69" s="92">
        <f t="shared" si="8"/>
        <v>9019241.4000000004</v>
      </c>
      <c r="I69" s="92">
        <f t="shared" si="9"/>
        <v>171365.59</v>
      </c>
      <c r="J69" s="92">
        <f t="shared" si="10"/>
        <v>9190606.9900000002</v>
      </c>
      <c r="K69" s="193">
        <v>4</v>
      </c>
      <c r="L69" s="112">
        <f t="shared" si="11"/>
        <v>220574567.75999999</v>
      </c>
    </row>
    <row r="70" spans="1:15">
      <c r="A70" s="209" t="s">
        <v>150</v>
      </c>
      <c r="B70" s="197" t="s">
        <v>153</v>
      </c>
      <c r="C70" s="193">
        <v>20</v>
      </c>
      <c r="D70" s="92">
        <f>ROUND($D$9*$C$54/30*C70/13*12,2)</f>
        <v>5466206.9100000001</v>
      </c>
      <c r="E70" s="204">
        <v>0.1</v>
      </c>
      <c r="F70" s="95"/>
      <c r="G70" s="125">
        <f t="shared" si="7"/>
        <v>546620.68999999994</v>
      </c>
      <c r="H70" s="92">
        <f t="shared" si="8"/>
        <v>6012827.5999999996</v>
      </c>
      <c r="I70" s="92">
        <f t="shared" si="9"/>
        <v>114243.72</v>
      </c>
      <c r="J70" s="92">
        <f t="shared" si="10"/>
        <v>6127071.3200000003</v>
      </c>
      <c r="K70" s="193">
        <v>5</v>
      </c>
      <c r="L70" s="112">
        <f t="shared" si="11"/>
        <v>183812139.59999999</v>
      </c>
    </row>
    <row r="71" spans="1:15" ht="17.25" thickBot="1">
      <c r="A71" s="210" t="s">
        <v>151</v>
      </c>
      <c r="B71" s="211" t="s">
        <v>153</v>
      </c>
      <c r="C71" s="212">
        <v>20</v>
      </c>
      <c r="D71" s="109">
        <f>ROUND($D$9*$C$54/30*C71/13*12,2)</f>
        <v>5466206.9100000001</v>
      </c>
      <c r="E71" s="214">
        <v>0.08</v>
      </c>
      <c r="F71" s="95"/>
      <c r="G71" s="126">
        <f t="shared" si="7"/>
        <v>437296.55</v>
      </c>
      <c r="H71" s="109">
        <f t="shared" si="8"/>
        <v>5903503.46</v>
      </c>
      <c r="I71" s="109">
        <f t="shared" si="9"/>
        <v>112166.57</v>
      </c>
      <c r="J71" s="109">
        <f t="shared" si="10"/>
        <v>6015670.0300000003</v>
      </c>
      <c r="K71" s="212">
        <v>5</v>
      </c>
      <c r="L71" s="113">
        <f t="shared" si="11"/>
        <v>180470100.90000001</v>
      </c>
    </row>
    <row r="72" spans="1:15" ht="17.25" thickBot="1">
      <c r="K72" s="234">
        <f>SUM(K64:K71)</f>
        <v>65</v>
      </c>
      <c r="L72" s="235">
        <f>ROUND(SUM(L64:L71),2)</f>
        <v>6171186297.8400002</v>
      </c>
      <c r="N72" s="28"/>
      <c r="O72" s="38"/>
    </row>
    <row r="73" spans="1:15" ht="17.25" thickBot="1">
      <c r="M73" s="28"/>
    </row>
    <row r="74" spans="1:15" ht="23.25" customHeight="1" thickBot="1">
      <c r="B74" s="457" t="s">
        <v>164</v>
      </c>
      <c r="C74" s="458"/>
      <c r="D74" s="458"/>
      <c r="E74" s="458"/>
      <c r="F74" s="458"/>
      <c r="G74" s="458"/>
      <c r="H74" s="459"/>
      <c r="M74" s="28"/>
    </row>
    <row r="75" spans="1:15" ht="26.25" customHeight="1" thickBot="1">
      <c r="A75" s="468" t="s">
        <v>162</v>
      </c>
      <c r="B75" s="469"/>
      <c r="C75" s="469"/>
      <c r="D75" s="469"/>
      <c r="E75" s="469"/>
      <c r="F75" s="470"/>
      <c r="G75" s="469"/>
      <c r="H75" s="471"/>
      <c r="I75" s="96"/>
      <c r="J75" s="96"/>
      <c r="K75" s="484" t="s">
        <v>135</v>
      </c>
      <c r="L75" s="485"/>
    </row>
    <row r="76" spans="1:15" s="17" customFormat="1" ht="77.25" customHeight="1" thickBot="1">
      <c r="A76" s="229" t="s">
        <v>136</v>
      </c>
      <c r="B76" s="230" t="s">
        <v>137</v>
      </c>
      <c r="C76" s="231" t="s">
        <v>138</v>
      </c>
      <c r="D76" s="231" t="s">
        <v>139</v>
      </c>
      <c r="E76" s="232" t="s">
        <v>140</v>
      </c>
      <c r="F76" s="455"/>
      <c r="G76" s="233" t="s">
        <v>141</v>
      </c>
      <c r="H76" s="231" t="s">
        <v>142</v>
      </c>
      <c r="I76" s="231" t="s">
        <v>143</v>
      </c>
      <c r="J76" s="231" t="s">
        <v>144</v>
      </c>
      <c r="K76" s="231" t="s">
        <v>145</v>
      </c>
      <c r="L76" s="232" t="s">
        <v>165</v>
      </c>
    </row>
    <row r="77" spans="1:15">
      <c r="A77" s="198" t="s">
        <v>147</v>
      </c>
      <c r="B77" s="199" t="s">
        <v>148</v>
      </c>
      <c r="C77" s="200">
        <v>30</v>
      </c>
      <c r="D77" s="114">
        <f>B32</f>
        <v>18975567.23</v>
      </c>
      <c r="E77" s="202">
        <v>0.1</v>
      </c>
      <c r="F77" s="456"/>
      <c r="G77" s="124">
        <f>ROUND(D77*E77,2)</f>
        <v>1897556.72</v>
      </c>
      <c r="H77" s="114">
        <f>ROUND(D77+G77,2)</f>
        <v>20873123.949999999</v>
      </c>
      <c r="I77" s="114">
        <f>ROUND(H77*10%*19%,2)</f>
        <v>396589.36</v>
      </c>
      <c r="J77" s="114">
        <f>ROUND(H77+I77,2)</f>
        <v>21269713.309999999</v>
      </c>
      <c r="K77" s="200">
        <v>39</v>
      </c>
      <c r="L77" s="102">
        <f>ROUND(((K77*J77)*6),2)</f>
        <v>4977112914.54</v>
      </c>
    </row>
    <row r="78" spans="1:15">
      <c r="A78" s="203" t="s">
        <v>149</v>
      </c>
      <c r="B78" s="194" t="s">
        <v>148</v>
      </c>
      <c r="C78" s="193">
        <v>30</v>
      </c>
      <c r="D78" s="92">
        <f>B33</f>
        <v>18975567.23</v>
      </c>
      <c r="E78" s="204">
        <v>0.08</v>
      </c>
      <c r="F78" s="456"/>
      <c r="G78" s="125">
        <f>ROUND(D78*E78,2)</f>
        <v>1518045.38</v>
      </c>
      <c r="H78" s="92">
        <f t="shared" ref="H78:H80" si="12">ROUND(D78+G78,2)</f>
        <v>20493612.609999999</v>
      </c>
      <c r="I78" s="92">
        <f t="shared" ref="I78:I80" si="13">ROUND(H78*10%*19%,2)</f>
        <v>389378.64</v>
      </c>
      <c r="J78" s="92">
        <f t="shared" ref="J78:J80" si="14">ROUND(H78+I78,2)</f>
        <v>20882991.25</v>
      </c>
      <c r="K78" s="193">
        <v>2</v>
      </c>
      <c r="L78" s="112">
        <f>ROUND(((K78*J78)*6),2)</f>
        <v>250595895</v>
      </c>
    </row>
    <row r="79" spans="1:15" ht="23.25" customHeight="1">
      <c r="A79" s="205" t="s">
        <v>150</v>
      </c>
      <c r="B79" s="197" t="s">
        <v>121</v>
      </c>
      <c r="C79" s="193">
        <v>22</v>
      </c>
      <c r="D79" s="92">
        <f>ROUND($D$15*$C$54/30*C79/13*12,2)</f>
        <v>6112935.1900000004</v>
      </c>
      <c r="E79" s="204">
        <v>0.1</v>
      </c>
      <c r="F79" s="456"/>
      <c r="G79" s="125">
        <f>ROUND(D79*E79,2)</f>
        <v>611293.52</v>
      </c>
      <c r="H79" s="92">
        <f t="shared" si="12"/>
        <v>6724228.71</v>
      </c>
      <c r="I79" s="92">
        <f t="shared" si="13"/>
        <v>127760.35</v>
      </c>
      <c r="J79" s="92">
        <f t="shared" si="14"/>
        <v>6851989.0599999996</v>
      </c>
      <c r="K79" s="193">
        <v>7</v>
      </c>
      <c r="L79" s="112">
        <f>ROUND(((K79*J79)*6),2)</f>
        <v>287783540.51999998</v>
      </c>
    </row>
    <row r="80" spans="1:15">
      <c r="A80" s="206" t="s">
        <v>151</v>
      </c>
      <c r="B80" s="197" t="s">
        <v>121</v>
      </c>
      <c r="C80" s="193">
        <v>22</v>
      </c>
      <c r="D80" s="92">
        <f>ROUND($D$15*$C$54/30*C80/13*12,2)</f>
        <v>6112935.1900000004</v>
      </c>
      <c r="E80" s="204">
        <v>0.08</v>
      </c>
      <c r="F80" s="456"/>
      <c r="G80" s="125">
        <f>ROUND(D80*E80,2)</f>
        <v>489034.82</v>
      </c>
      <c r="H80" s="92">
        <f t="shared" si="12"/>
        <v>6601970.0099999998</v>
      </c>
      <c r="I80" s="92">
        <f t="shared" si="13"/>
        <v>125437.43</v>
      </c>
      <c r="J80" s="92">
        <f t="shared" si="14"/>
        <v>6727407.4400000004</v>
      </c>
      <c r="K80" s="193">
        <v>1</v>
      </c>
      <c r="L80" s="112">
        <f>ROUND(((K80*J80)*6),2)</f>
        <v>40364444.640000001</v>
      </c>
    </row>
    <row r="81" spans="1:15">
      <c r="A81" s="207" t="s">
        <v>152</v>
      </c>
      <c r="B81" s="197" t="s">
        <v>148</v>
      </c>
      <c r="C81" s="193">
        <v>30</v>
      </c>
      <c r="D81" s="92">
        <f>ROUND($D$15*$C$56/30*C81/13*12,2)</f>
        <v>9180087.4900000002</v>
      </c>
      <c r="E81" s="204">
        <v>0.1</v>
      </c>
      <c r="F81" s="95"/>
      <c r="G81" s="125">
        <f t="shared" ref="G81:G84" si="15">ROUND(D81*E81,2)</f>
        <v>918008.75</v>
      </c>
      <c r="H81" s="92">
        <f t="shared" ref="H81:H84" si="16">ROUND(D81+G81,2)</f>
        <v>10098096.24</v>
      </c>
      <c r="I81" s="92">
        <f t="shared" ref="I81:I84" si="17">ROUND(H81*10%*19%,2)</f>
        <v>191863.83</v>
      </c>
      <c r="J81" s="92">
        <f t="shared" ref="J81:J84" si="18">ROUND(H81+I81,2)</f>
        <v>10289960.07</v>
      </c>
      <c r="K81" s="325">
        <v>2</v>
      </c>
      <c r="L81" s="112">
        <f t="shared" ref="L81:L84" si="19">ROUND(((K81*J81)*6),2)</f>
        <v>123479520.84</v>
      </c>
    </row>
    <row r="82" spans="1:15">
      <c r="A82" s="208" t="s">
        <v>150</v>
      </c>
      <c r="B82" s="197" t="s">
        <v>148</v>
      </c>
      <c r="C82" s="193">
        <v>30</v>
      </c>
      <c r="D82" s="92">
        <f>ROUND($D$15*$C$54/30*C82/13*12,2)</f>
        <v>8335820.7199999997</v>
      </c>
      <c r="E82" s="204">
        <v>0.1</v>
      </c>
      <c r="F82" s="95"/>
      <c r="G82" s="125">
        <f t="shared" si="15"/>
        <v>833582.07</v>
      </c>
      <c r="H82" s="92">
        <f t="shared" si="16"/>
        <v>9169402.7899999991</v>
      </c>
      <c r="I82" s="92">
        <f t="shared" si="17"/>
        <v>174218.65</v>
      </c>
      <c r="J82" s="92">
        <f t="shared" si="18"/>
        <v>9343621.4399999995</v>
      </c>
      <c r="K82" s="193">
        <v>4</v>
      </c>
      <c r="L82" s="112">
        <f t="shared" si="19"/>
        <v>224246914.56</v>
      </c>
    </row>
    <row r="83" spans="1:15">
      <c r="A83" s="209" t="s">
        <v>150</v>
      </c>
      <c r="B83" s="197" t="s">
        <v>153</v>
      </c>
      <c r="C83" s="193">
        <v>20</v>
      </c>
      <c r="D83" s="92">
        <f>ROUND($D$15*$C$54/30*C83/13*12,2)</f>
        <v>5557213.8099999996</v>
      </c>
      <c r="E83" s="204">
        <v>0.1</v>
      </c>
      <c r="F83" s="95"/>
      <c r="G83" s="125">
        <f t="shared" si="15"/>
        <v>555721.38</v>
      </c>
      <c r="H83" s="92">
        <f t="shared" si="16"/>
        <v>6112935.1900000004</v>
      </c>
      <c r="I83" s="92">
        <f t="shared" si="17"/>
        <v>116145.77</v>
      </c>
      <c r="J83" s="92">
        <f t="shared" si="18"/>
        <v>6229080.96</v>
      </c>
      <c r="K83" s="193">
        <v>5</v>
      </c>
      <c r="L83" s="112">
        <f t="shared" si="19"/>
        <v>186872428.80000001</v>
      </c>
    </row>
    <row r="84" spans="1:15" ht="17.25" thickBot="1">
      <c r="A84" s="210" t="s">
        <v>151</v>
      </c>
      <c r="B84" s="211" t="s">
        <v>153</v>
      </c>
      <c r="C84" s="212">
        <v>20</v>
      </c>
      <c r="D84" s="109">
        <f>ROUND($D$15*$C$54/30*C84/13*12,2)</f>
        <v>5557213.8099999996</v>
      </c>
      <c r="E84" s="214">
        <v>0.08</v>
      </c>
      <c r="G84" s="126">
        <f t="shared" si="15"/>
        <v>444577.1</v>
      </c>
      <c r="H84" s="109">
        <f t="shared" si="16"/>
        <v>6001790.9100000001</v>
      </c>
      <c r="I84" s="109">
        <f t="shared" si="17"/>
        <v>114034.03</v>
      </c>
      <c r="J84" s="109">
        <f t="shared" si="18"/>
        <v>6115824.9400000004</v>
      </c>
      <c r="K84" s="212">
        <v>5</v>
      </c>
      <c r="L84" s="113">
        <f t="shared" si="19"/>
        <v>183474748.19999999</v>
      </c>
      <c r="N84" s="28"/>
      <c r="O84" s="38"/>
    </row>
    <row r="85" spans="1:15" ht="17.25" thickBot="1">
      <c r="K85" s="234">
        <f>SUM(K76:K84)</f>
        <v>65</v>
      </c>
      <c r="L85" s="235">
        <f>ROUND(SUM(L77:L84),2)</f>
        <v>6273930407.1000004</v>
      </c>
    </row>
    <row r="86" spans="1:15" ht="17.25" thickBot="1">
      <c r="L86" s="30"/>
    </row>
    <row r="87" spans="1:15" ht="29.25" customHeight="1" thickBot="1">
      <c r="A87" s="512" t="s">
        <v>166</v>
      </c>
      <c r="B87" s="513"/>
      <c r="C87" s="513"/>
      <c r="D87" s="513"/>
      <c r="E87" s="514"/>
      <c r="L87" s="137">
        <f>+L72+L85</f>
        <v>12445116704.940001</v>
      </c>
    </row>
    <row r="88" spans="1:15">
      <c r="L88" s="30"/>
    </row>
    <row r="89" spans="1:15">
      <c r="L89" s="30"/>
    </row>
    <row r="90" spans="1:15">
      <c r="C90" s="18"/>
      <c r="G90" s="18"/>
      <c r="K90" s="30"/>
    </row>
  </sheetData>
  <mergeCells count="62">
    <mergeCell ref="A87:E87"/>
    <mergeCell ref="B3:E3"/>
    <mergeCell ref="A4:E4"/>
    <mergeCell ref="A5:C5"/>
    <mergeCell ref="D5:E5"/>
    <mergeCell ref="A6:C6"/>
    <mergeCell ref="D6:E6"/>
    <mergeCell ref="A7:C7"/>
    <mergeCell ref="D7:E7"/>
    <mergeCell ref="A18:E18"/>
    <mergeCell ref="A42:E42"/>
    <mergeCell ref="A43:C43"/>
    <mergeCell ref="D43:E43"/>
    <mergeCell ref="A8:C8"/>
    <mergeCell ref="D8:E8"/>
    <mergeCell ref="A9:C9"/>
    <mergeCell ref="D9:E9"/>
    <mergeCell ref="A12:C12"/>
    <mergeCell ref="D12:E12"/>
    <mergeCell ref="A13:C13"/>
    <mergeCell ref="D13:E13"/>
    <mergeCell ref="A14:C14"/>
    <mergeCell ref="D14:E14"/>
    <mergeCell ref="G54:K55"/>
    <mergeCell ref="A54:B55"/>
    <mergeCell ref="D44:E44"/>
    <mergeCell ref="A45:C45"/>
    <mergeCell ref="D45:E45"/>
    <mergeCell ref="A46:C46"/>
    <mergeCell ref="D46:E46"/>
    <mergeCell ref="K75:L75"/>
    <mergeCell ref="A11:C11"/>
    <mergeCell ref="D11:E11"/>
    <mergeCell ref="A1:F1"/>
    <mergeCell ref="A58:E58"/>
    <mergeCell ref="A59:E59"/>
    <mergeCell ref="A62:H62"/>
    <mergeCell ref="K62:L62"/>
    <mergeCell ref="A52:E52"/>
    <mergeCell ref="A53:B53"/>
    <mergeCell ref="C53:E53"/>
    <mergeCell ref="G53:K53"/>
    <mergeCell ref="A47:C47"/>
    <mergeCell ref="D47:E47"/>
    <mergeCell ref="A48:C48"/>
    <mergeCell ref="D48:E48"/>
    <mergeCell ref="F76:F80"/>
    <mergeCell ref="B61:H61"/>
    <mergeCell ref="B74:H74"/>
    <mergeCell ref="A15:C15"/>
    <mergeCell ref="D15:E15"/>
    <mergeCell ref="A30:E30"/>
    <mergeCell ref="A75:H75"/>
    <mergeCell ref="A49:C49"/>
    <mergeCell ref="D49:E49"/>
    <mergeCell ref="A44:C44"/>
    <mergeCell ref="F63:F67"/>
    <mergeCell ref="A56:B56"/>
    <mergeCell ref="C56:E56"/>
    <mergeCell ref="G56:K56"/>
    <mergeCell ref="G57:K57"/>
    <mergeCell ref="C54:E55"/>
  </mergeCells>
  <pageMargins left="0.70866141732283472" right="0.70866141732283472" top="0.74803149606299213" bottom="0.74803149606299213" header="0.31496062992125984" footer="0.31496062992125984"/>
  <pageSetup scale="50"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59"/>
  <sheetViews>
    <sheetView showGridLines="0" topLeftCell="A44" zoomScale="90" zoomScaleNormal="90" workbookViewId="0">
      <selection activeCell="K45" sqref="K45:K52"/>
    </sheetView>
  </sheetViews>
  <sheetFormatPr defaultColWidth="11.375" defaultRowHeight="16.5"/>
  <cols>
    <col min="1" max="1" width="39.125" style="18" customWidth="1"/>
    <col min="2" max="2" width="32.75" style="18" customWidth="1"/>
    <col min="3" max="3" width="17.75" style="18" customWidth="1"/>
    <col min="4" max="4" width="15.25" style="18" customWidth="1"/>
    <col min="5" max="5" width="17.25" style="18" customWidth="1"/>
    <col min="6" max="6" width="1.875" style="18" customWidth="1"/>
    <col min="7" max="7" width="26.75" style="18" customWidth="1"/>
    <col min="8" max="8" width="18.375" style="18" customWidth="1"/>
    <col min="9" max="9" width="13" style="18" customWidth="1"/>
    <col min="10" max="11" width="14.125" style="18" customWidth="1"/>
    <col min="12" max="12" width="18.75" style="18" customWidth="1"/>
    <col min="13" max="13" width="14.75" style="18" customWidth="1"/>
    <col min="14" max="14" width="16.25" style="18" bestFit="1" customWidth="1"/>
    <col min="15" max="16384" width="11.375" style="18"/>
  </cols>
  <sheetData>
    <row r="1" spans="1:11" ht="37.5" customHeight="1" thickBot="1">
      <c r="A1" s="521" t="s">
        <v>167</v>
      </c>
      <c r="B1" s="521"/>
      <c r="C1" s="521"/>
      <c r="D1" s="521"/>
      <c r="E1" s="522"/>
      <c r="K1" s="30"/>
    </row>
    <row r="2" spans="1:11" ht="15" customHeight="1" thickBot="1"/>
    <row r="3" spans="1:11" ht="138" customHeight="1" thickBot="1">
      <c r="A3" s="19"/>
      <c r="B3" s="413" t="s">
        <v>98</v>
      </c>
      <c r="C3" s="414"/>
      <c r="D3" s="414"/>
      <c r="E3" s="415"/>
    </row>
    <row r="4" spans="1:11" ht="60" customHeight="1" thickBot="1">
      <c r="A4" s="515" t="s">
        <v>99</v>
      </c>
      <c r="B4" s="516"/>
      <c r="C4" s="516"/>
      <c r="D4" s="516"/>
      <c r="E4" s="517"/>
      <c r="F4" s="20"/>
      <c r="G4" s="133"/>
      <c r="H4" s="119"/>
    </row>
    <row r="5" spans="1:11" s="15" customFormat="1" ht="42" customHeight="1" thickBot="1">
      <c r="A5" s="486" t="s">
        <v>100</v>
      </c>
      <c r="B5" s="487"/>
      <c r="C5" s="488"/>
      <c r="D5" s="489">
        <f>1827945+(1827945*3%)</f>
        <v>1882783.35</v>
      </c>
      <c r="E5" s="490"/>
      <c r="F5" s="21"/>
      <c r="G5" s="130"/>
      <c r="H5" s="127"/>
    </row>
    <row r="6" spans="1:11" ht="17.25" thickBot="1">
      <c r="A6" s="460" t="s">
        <v>101</v>
      </c>
      <c r="B6" s="461"/>
      <c r="C6" s="462"/>
      <c r="D6" s="510">
        <v>10.38</v>
      </c>
      <c r="E6" s="511"/>
      <c r="F6" s="22"/>
      <c r="G6" s="131"/>
      <c r="H6" s="129"/>
    </row>
    <row r="7" spans="1:11" ht="17.25" thickBot="1">
      <c r="A7" s="460" t="s">
        <v>102</v>
      </c>
      <c r="B7" s="461"/>
      <c r="C7" s="462"/>
      <c r="D7" s="463">
        <f>ROUND(D5*D6,2)</f>
        <v>19543291.170000002</v>
      </c>
      <c r="E7" s="464"/>
      <c r="F7" s="23"/>
      <c r="G7" s="132"/>
      <c r="H7" s="103"/>
      <c r="J7" s="120"/>
    </row>
    <row r="8" spans="1:11" ht="17.25" thickBot="1">
      <c r="A8" s="460" t="s">
        <v>103</v>
      </c>
      <c r="B8" s="461"/>
      <c r="C8" s="462"/>
      <c r="D8" s="507">
        <v>1500</v>
      </c>
      <c r="E8" s="508"/>
      <c r="F8" s="23"/>
      <c r="K8" s="30"/>
    </row>
    <row r="9" spans="1:11" ht="17.25" thickBot="1">
      <c r="A9" s="460" t="s">
        <v>104</v>
      </c>
      <c r="B9" s="461"/>
      <c r="C9" s="462"/>
      <c r="D9" s="463">
        <f>D7+D8</f>
        <v>19544791.170000002</v>
      </c>
      <c r="E9" s="464"/>
      <c r="F9" s="23"/>
      <c r="K9" s="30"/>
    </row>
    <row r="10" spans="1:11">
      <c r="A10" s="24"/>
      <c r="B10" s="25"/>
      <c r="C10" s="25"/>
      <c r="D10" s="23"/>
      <c r="E10" s="26"/>
      <c r="F10" s="23"/>
    </row>
    <row r="11" spans="1:11" ht="17.25" thickBot="1">
      <c r="A11" s="24"/>
      <c r="B11" s="25"/>
      <c r="C11" s="25"/>
      <c r="D11" s="23"/>
      <c r="E11" s="26"/>
      <c r="F11" s="23"/>
    </row>
    <row r="12" spans="1:11" ht="19.5" thickBot="1">
      <c r="A12" s="468" t="s">
        <v>105</v>
      </c>
      <c r="B12" s="469"/>
      <c r="C12" s="469"/>
      <c r="D12" s="469"/>
      <c r="E12" s="471"/>
      <c r="F12" s="27"/>
    </row>
    <row r="13" spans="1:11" s="16" customFormat="1" ht="24.75" customHeight="1" thickBot="1">
      <c r="A13" s="140" t="s">
        <v>106</v>
      </c>
      <c r="B13" s="141" t="s">
        <v>107</v>
      </c>
      <c r="C13" s="141" t="s">
        <v>108</v>
      </c>
      <c r="D13" s="141" t="s">
        <v>109</v>
      </c>
      <c r="E13" s="141" t="s">
        <v>110</v>
      </c>
    </row>
    <row r="14" spans="1:11">
      <c r="A14" s="198" t="s">
        <v>111</v>
      </c>
      <c r="B14" s="242">
        <f>$D$9</f>
        <v>19544791.170000002</v>
      </c>
      <c r="C14" s="225">
        <v>0.1</v>
      </c>
      <c r="D14" s="144">
        <f>ROUND(B14*C14,2)</f>
        <v>1954479.12</v>
      </c>
      <c r="E14" s="146">
        <f>ROUND(B14+D14,2)</f>
        <v>21499270.289999999</v>
      </c>
      <c r="F14" s="28"/>
    </row>
    <row r="15" spans="1:11">
      <c r="A15" s="203" t="s">
        <v>112</v>
      </c>
      <c r="B15" s="241">
        <f>$D$9</f>
        <v>19544791.170000002</v>
      </c>
      <c r="C15" s="196">
        <v>0.08</v>
      </c>
      <c r="D15" s="142">
        <f>ROUND(B15*C15,0)</f>
        <v>1563583</v>
      </c>
      <c r="E15" s="147">
        <f>ROUND(B15+D15,2)</f>
        <v>21108374.170000002</v>
      </c>
      <c r="F15" s="28"/>
    </row>
    <row r="16" spans="1:11" ht="24">
      <c r="A16" s="205" t="s">
        <v>113</v>
      </c>
      <c r="B16" s="241">
        <v>6934010.7999999998</v>
      </c>
      <c r="C16" s="196">
        <v>0.1</v>
      </c>
      <c r="D16" s="142">
        <f t="shared" ref="D16:D21" si="0">ROUND(B16*C16,0)</f>
        <v>693401</v>
      </c>
      <c r="E16" s="147">
        <f t="shared" ref="E16:E21" si="1">ROUND(B16+D16,2)</f>
        <v>7627411.7999999998</v>
      </c>
      <c r="F16" s="28"/>
    </row>
    <row r="17" spans="1:6" ht="24">
      <c r="A17" s="206" t="s">
        <v>114</v>
      </c>
      <c r="B17" s="241">
        <v>6296309.3700000001</v>
      </c>
      <c r="C17" s="196">
        <v>0.08</v>
      </c>
      <c r="D17" s="142">
        <f t="shared" si="0"/>
        <v>503705</v>
      </c>
      <c r="E17" s="147">
        <f t="shared" si="1"/>
        <v>6800014.3700000001</v>
      </c>
      <c r="F17" s="28"/>
    </row>
    <row r="18" spans="1:6" ht="24">
      <c r="A18" s="207" t="s">
        <v>115</v>
      </c>
      <c r="B18" s="241">
        <v>9455469.2799999993</v>
      </c>
      <c r="C18" s="196">
        <v>0.1</v>
      </c>
      <c r="D18" s="142">
        <f t="shared" si="0"/>
        <v>945547</v>
      </c>
      <c r="E18" s="147">
        <f t="shared" si="1"/>
        <v>10401016.279999999</v>
      </c>
      <c r="F18" s="28"/>
    </row>
    <row r="19" spans="1:6" ht="24">
      <c r="A19" s="208" t="s">
        <v>116</v>
      </c>
      <c r="B19" s="241">
        <v>9455469.2799999993</v>
      </c>
      <c r="C19" s="196">
        <v>0.1</v>
      </c>
      <c r="D19" s="142">
        <f t="shared" si="0"/>
        <v>945547</v>
      </c>
      <c r="E19" s="147">
        <f t="shared" si="1"/>
        <v>10401016.279999999</v>
      </c>
      <c r="F19" s="28"/>
    </row>
    <row r="20" spans="1:6" ht="24">
      <c r="A20" s="209" t="s">
        <v>117</v>
      </c>
      <c r="B20" s="241">
        <v>6303646.1900000004</v>
      </c>
      <c r="C20" s="196">
        <v>0.1</v>
      </c>
      <c r="D20" s="142">
        <f t="shared" si="0"/>
        <v>630365</v>
      </c>
      <c r="E20" s="147">
        <f t="shared" si="1"/>
        <v>6934011.1900000004</v>
      </c>
      <c r="F20" s="28"/>
    </row>
    <row r="21" spans="1:6" ht="24.75" thickBot="1">
      <c r="A21" s="210" t="s">
        <v>118</v>
      </c>
      <c r="B21" s="243">
        <v>5723917.6100000003</v>
      </c>
      <c r="C21" s="223">
        <v>0.08</v>
      </c>
      <c r="D21" s="226">
        <f t="shared" si="0"/>
        <v>457913</v>
      </c>
      <c r="E21" s="227">
        <f t="shared" si="1"/>
        <v>6181830.6100000003</v>
      </c>
    </row>
    <row r="22" spans="1:6" ht="17.25" thickBot="1"/>
    <row r="23" spans="1:6" ht="43.5" customHeight="1" thickBot="1">
      <c r="A23" s="518" t="s">
        <v>160</v>
      </c>
      <c r="B23" s="519"/>
      <c r="C23" s="519"/>
      <c r="D23" s="519"/>
      <c r="E23" s="520"/>
      <c r="F23" s="20"/>
    </row>
    <row r="24" spans="1:6" ht="17.25" thickBot="1">
      <c r="A24" s="472" t="s">
        <v>120</v>
      </c>
      <c r="B24" s="473"/>
      <c r="C24" s="474"/>
      <c r="D24" s="472">
        <v>20</v>
      </c>
      <c r="E24" s="474"/>
      <c r="F24" s="30"/>
    </row>
    <row r="25" spans="1:6" ht="17.25" thickBot="1">
      <c r="A25" s="472" t="s">
        <v>121</v>
      </c>
      <c r="B25" s="473"/>
      <c r="C25" s="474"/>
      <c r="D25" s="472">
        <v>22</v>
      </c>
      <c r="E25" s="474"/>
      <c r="F25" s="30"/>
    </row>
    <row r="26" spans="1:6" ht="17.25" thickBot="1">
      <c r="A26" s="472" t="s">
        <v>122</v>
      </c>
      <c r="B26" s="473"/>
      <c r="C26" s="474"/>
      <c r="D26" s="472">
        <v>24</v>
      </c>
      <c r="E26" s="474"/>
      <c r="F26" s="30"/>
    </row>
    <row r="27" spans="1:6" ht="17.25" thickBot="1">
      <c r="A27" s="472" t="s">
        <v>123</v>
      </c>
      <c r="B27" s="473"/>
      <c r="C27" s="474"/>
      <c r="D27" s="472">
        <v>26</v>
      </c>
      <c r="E27" s="474"/>
      <c r="F27" s="30"/>
    </row>
    <row r="28" spans="1:6" ht="17.25" thickBot="1">
      <c r="A28" s="472" t="s">
        <v>124</v>
      </c>
      <c r="B28" s="473"/>
      <c r="C28" s="474"/>
      <c r="D28" s="472">
        <v>2</v>
      </c>
      <c r="E28" s="474"/>
      <c r="F28" s="30"/>
    </row>
    <row r="29" spans="1:6" ht="17.25" thickBot="1">
      <c r="A29" s="472" t="s">
        <v>125</v>
      </c>
      <c r="B29" s="473"/>
      <c r="C29" s="474"/>
      <c r="D29" s="472">
        <v>8</v>
      </c>
      <c r="E29" s="474"/>
      <c r="F29" s="30"/>
    </row>
    <row r="30" spans="1:6" ht="17.25" thickBot="1">
      <c r="A30" s="472" t="s">
        <v>126</v>
      </c>
      <c r="B30" s="473"/>
      <c r="C30" s="474"/>
      <c r="D30" s="472">
        <v>10</v>
      </c>
      <c r="E30" s="474"/>
      <c r="F30" s="30"/>
    </row>
    <row r="31" spans="1:6">
      <c r="A31" s="30"/>
      <c r="B31" s="30"/>
      <c r="C31" s="30"/>
      <c r="D31" s="30"/>
      <c r="E31" s="30"/>
      <c r="F31" s="30"/>
    </row>
    <row r="33" spans="1:12" ht="53.25" customHeight="1" thickBot="1">
      <c r="A33" s="500" t="s">
        <v>127</v>
      </c>
      <c r="B33" s="501"/>
      <c r="C33" s="501"/>
      <c r="D33" s="501"/>
      <c r="E33" s="502"/>
      <c r="F33" s="11"/>
    </row>
    <row r="34" spans="1:12" s="15" customFormat="1" ht="43.5" customHeight="1" thickBot="1">
      <c r="A34" s="503" t="s">
        <v>128</v>
      </c>
      <c r="B34" s="504"/>
      <c r="C34" s="503" t="s">
        <v>129</v>
      </c>
      <c r="D34" s="505"/>
      <c r="E34" s="504"/>
      <c r="F34" s="31"/>
      <c r="G34" s="506"/>
      <c r="H34" s="506"/>
      <c r="I34" s="506"/>
      <c r="J34" s="506"/>
      <c r="K34" s="506"/>
    </row>
    <row r="35" spans="1:12" ht="17.25" customHeight="1">
      <c r="A35" s="509" t="s">
        <v>130</v>
      </c>
      <c r="B35" s="480"/>
      <c r="C35" s="478">
        <v>0.47589999999999999</v>
      </c>
      <c r="D35" s="479"/>
      <c r="E35" s="480"/>
      <c r="F35" s="30"/>
      <c r="G35" s="476"/>
      <c r="H35" s="476"/>
      <c r="I35" s="476"/>
      <c r="J35" s="476"/>
      <c r="K35" s="476"/>
    </row>
    <row r="36" spans="1:12" ht="17.25" customHeight="1" thickBot="1">
      <c r="A36" s="481"/>
      <c r="B36" s="483"/>
      <c r="C36" s="481"/>
      <c r="D36" s="482"/>
      <c r="E36" s="483"/>
      <c r="F36" s="30"/>
      <c r="G36" s="476"/>
      <c r="H36" s="476"/>
      <c r="I36" s="476"/>
      <c r="J36" s="476"/>
      <c r="K36" s="476"/>
    </row>
    <row r="37" spans="1:12" ht="17.25" customHeight="1" thickBot="1">
      <c r="A37" s="472" t="s">
        <v>131</v>
      </c>
      <c r="B37" s="474"/>
      <c r="C37" s="475">
        <v>0.52410000000000001</v>
      </c>
      <c r="D37" s="473"/>
      <c r="E37" s="474"/>
      <c r="F37" s="30"/>
      <c r="G37" s="476"/>
      <c r="H37" s="476"/>
      <c r="I37" s="476"/>
      <c r="J37" s="476"/>
      <c r="K37" s="476"/>
    </row>
    <row r="38" spans="1:12" ht="17.25" customHeight="1" thickBot="1">
      <c r="G38" s="477"/>
      <c r="H38" s="477"/>
      <c r="I38" s="477"/>
      <c r="J38" s="477"/>
      <c r="K38" s="477"/>
    </row>
    <row r="39" spans="1:12" ht="48.75" customHeight="1" thickBot="1">
      <c r="A39" s="494" t="s">
        <v>132</v>
      </c>
      <c r="B39" s="495"/>
      <c r="C39" s="495"/>
      <c r="D39" s="495"/>
      <c r="E39" s="496"/>
      <c r="F39" s="11"/>
    </row>
    <row r="40" spans="1:12" ht="60" customHeight="1" thickBot="1">
      <c r="A40" s="497" t="s">
        <v>133</v>
      </c>
      <c r="B40" s="498"/>
      <c r="C40" s="498"/>
      <c r="D40" s="498"/>
      <c r="E40" s="499"/>
      <c r="F40" s="10"/>
    </row>
    <row r="41" spans="1:12" ht="30.75" customHeight="1">
      <c r="A41" s="32"/>
      <c r="B41" s="10"/>
      <c r="C41" s="10"/>
      <c r="D41" s="10"/>
      <c r="E41" s="10"/>
      <c r="F41" s="10"/>
    </row>
    <row r="42" spans="1:12" ht="31.5" customHeight="1" thickBot="1">
      <c r="A42" s="32"/>
      <c r="B42" s="10"/>
      <c r="C42" s="10"/>
      <c r="D42" s="10"/>
      <c r="E42" s="10"/>
      <c r="F42" s="10"/>
    </row>
    <row r="43" spans="1:12" ht="26.25" customHeight="1" thickBot="1">
      <c r="A43" s="523" t="s">
        <v>162</v>
      </c>
      <c r="B43" s="470"/>
      <c r="C43" s="470"/>
      <c r="D43" s="470"/>
      <c r="E43" s="470"/>
      <c r="F43" s="470"/>
      <c r="G43" s="470"/>
      <c r="H43" s="524"/>
      <c r="I43" s="33"/>
      <c r="J43" s="33"/>
      <c r="K43" s="525" t="s">
        <v>135</v>
      </c>
      <c r="L43" s="526"/>
    </row>
    <row r="44" spans="1:12" s="17" customFormat="1" ht="77.25" customHeight="1" thickBot="1">
      <c r="A44" s="34" t="s">
        <v>136</v>
      </c>
      <c r="B44" s="35" t="s">
        <v>137</v>
      </c>
      <c r="C44" s="36" t="s">
        <v>138</v>
      </c>
      <c r="D44" s="94" t="s">
        <v>139</v>
      </c>
      <c r="E44" s="37" t="s">
        <v>140</v>
      </c>
      <c r="F44" s="455"/>
      <c r="G44" s="37" t="s">
        <v>141</v>
      </c>
      <c r="H44" s="37" t="s">
        <v>142</v>
      </c>
      <c r="I44" s="37" t="s">
        <v>143</v>
      </c>
      <c r="J44" s="37" t="s">
        <v>144</v>
      </c>
      <c r="K44" s="37" t="s">
        <v>145</v>
      </c>
      <c r="L44" s="37" t="s">
        <v>168</v>
      </c>
    </row>
    <row r="45" spans="1:12">
      <c r="A45" s="198" t="s">
        <v>147</v>
      </c>
      <c r="B45" s="199" t="s">
        <v>148</v>
      </c>
      <c r="C45" s="200">
        <v>30</v>
      </c>
      <c r="D45" s="114">
        <f>+B14</f>
        <v>19544791.170000002</v>
      </c>
      <c r="E45" s="202">
        <v>0.1</v>
      </c>
      <c r="F45" s="456"/>
      <c r="G45" s="246">
        <f>ROUND(D45*E45,2)</f>
        <v>1954479.12</v>
      </c>
      <c r="H45" s="114">
        <f>ROUND(D45+G45,2)</f>
        <v>21499270.289999999</v>
      </c>
      <c r="I45" s="114">
        <f>ROUND(H45*10%*19%,2)</f>
        <v>408486.14</v>
      </c>
      <c r="J45" s="114">
        <f>ROUND(H45+I45,2)</f>
        <v>21907756.43</v>
      </c>
      <c r="K45" s="200">
        <v>39</v>
      </c>
      <c r="L45" s="102">
        <f>ROUND(K45*J45,2)*11</f>
        <v>9398427508.4699993</v>
      </c>
    </row>
    <row r="46" spans="1:12">
      <c r="A46" s="203" t="s">
        <v>149</v>
      </c>
      <c r="B46" s="194" t="s">
        <v>148</v>
      </c>
      <c r="C46" s="193">
        <v>30</v>
      </c>
      <c r="D46" s="92">
        <f>+B15</f>
        <v>19544791.170000002</v>
      </c>
      <c r="E46" s="204">
        <v>0.08</v>
      </c>
      <c r="F46" s="456"/>
      <c r="G46" s="247">
        <f t="shared" ref="G46:G48" si="2">ROUND(D46*E46,2)</f>
        <v>1563583.29</v>
      </c>
      <c r="H46" s="92">
        <f>ROUND(D46+G46,2)</f>
        <v>21108374.460000001</v>
      </c>
      <c r="I46" s="92">
        <f t="shared" ref="I46:I48" si="3">ROUND(H46*10%*19%,2)</f>
        <v>401059.11</v>
      </c>
      <c r="J46" s="92">
        <f t="shared" ref="J46:J48" si="4">ROUND(H46+I46,2)</f>
        <v>21509433.57</v>
      </c>
      <c r="K46" s="193">
        <v>2</v>
      </c>
      <c r="L46" s="112">
        <f t="shared" ref="L46:L48" si="5">ROUND(K46*J46,2)*11</f>
        <v>473207538.54000002</v>
      </c>
    </row>
    <row r="47" spans="1:12" ht="23.25" customHeight="1">
      <c r="A47" s="205" t="s">
        <v>150</v>
      </c>
      <c r="B47" s="197" t="s">
        <v>121</v>
      </c>
      <c r="C47" s="193">
        <v>22</v>
      </c>
      <c r="D47" s="92">
        <f>ROUND($D$9*$C$37/30*C47/13*12,2)</f>
        <v>6934010.7999999998</v>
      </c>
      <c r="E47" s="204">
        <v>0.1</v>
      </c>
      <c r="F47" s="456"/>
      <c r="G47" s="247">
        <f t="shared" si="2"/>
        <v>693401.08</v>
      </c>
      <c r="H47" s="92">
        <f>ROUND(D47+G47,2)</f>
        <v>7627411.8799999999</v>
      </c>
      <c r="I47" s="92">
        <f t="shared" si="3"/>
        <v>144920.82999999999</v>
      </c>
      <c r="J47" s="92">
        <f t="shared" si="4"/>
        <v>7772332.71</v>
      </c>
      <c r="K47" s="193">
        <v>7</v>
      </c>
      <c r="L47" s="112">
        <f t="shared" si="5"/>
        <v>598469618.66999996</v>
      </c>
    </row>
    <row r="48" spans="1:12" ht="20.25" customHeight="1">
      <c r="A48" s="206" t="s">
        <v>151</v>
      </c>
      <c r="B48" s="197" t="s">
        <v>121</v>
      </c>
      <c r="C48" s="193">
        <v>22</v>
      </c>
      <c r="D48" s="92">
        <f>ROUND($D$9*$C$35/30*C48/13*12,2)</f>
        <v>6296309.3700000001</v>
      </c>
      <c r="E48" s="204">
        <v>0.08</v>
      </c>
      <c r="F48" s="456"/>
      <c r="G48" s="247">
        <f t="shared" si="2"/>
        <v>503704.75</v>
      </c>
      <c r="H48" s="92">
        <f>ROUND(D48+G48,2)</f>
        <v>6800014.1200000001</v>
      </c>
      <c r="I48" s="92">
        <f t="shared" si="3"/>
        <v>129200.27</v>
      </c>
      <c r="J48" s="92">
        <f t="shared" si="4"/>
        <v>6929214.3899999997</v>
      </c>
      <c r="K48" s="193">
        <v>1</v>
      </c>
      <c r="L48" s="112">
        <f t="shared" si="5"/>
        <v>76221358.289999992</v>
      </c>
    </row>
    <row r="49" spans="1:14" ht="20.25" customHeight="1">
      <c r="A49" s="207" t="s">
        <v>152</v>
      </c>
      <c r="B49" s="197" t="s">
        <v>148</v>
      </c>
      <c r="C49" s="193">
        <v>30</v>
      </c>
      <c r="D49" s="92">
        <f>ROUND($D$9*$C$37/30*C49/13*12,2)</f>
        <v>9455469.2799999993</v>
      </c>
      <c r="E49" s="204">
        <v>0.1</v>
      </c>
      <c r="F49" s="95"/>
      <c r="G49" s="247">
        <f t="shared" ref="G49:G52" si="6">ROUND(D49*E49,2)</f>
        <v>945546.93</v>
      </c>
      <c r="H49" s="92">
        <f t="shared" ref="H49:H52" si="7">ROUND(D49+G49,2)</f>
        <v>10401016.210000001</v>
      </c>
      <c r="I49" s="92">
        <f t="shared" ref="I49:I52" si="8">ROUND(H49*10%*19%,2)</f>
        <v>197619.31</v>
      </c>
      <c r="J49" s="92">
        <f t="shared" ref="J49:J52" si="9">ROUND(H49+I49,2)</f>
        <v>10598635.52</v>
      </c>
      <c r="K49" s="325">
        <v>2</v>
      </c>
      <c r="L49" s="112">
        <f t="shared" ref="L49:L52" si="10">ROUND(K49*J49,2)*11</f>
        <v>233169981.44</v>
      </c>
    </row>
    <row r="50" spans="1:14" ht="20.25" customHeight="1">
      <c r="A50" s="208" t="s">
        <v>150</v>
      </c>
      <c r="B50" s="197" t="s">
        <v>148</v>
      </c>
      <c r="C50" s="193">
        <v>30</v>
      </c>
      <c r="D50" s="92">
        <f>ROUND($D$9*$C$37/30*C50/13*12,2)</f>
        <v>9455469.2799999993</v>
      </c>
      <c r="E50" s="204">
        <v>0.1</v>
      </c>
      <c r="F50" s="95"/>
      <c r="G50" s="247">
        <f t="shared" si="6"/>
        <v>945546.93</v>
      </c>
      <c r="H50" s="92">
        <f t="shared" si="7"/>
        <v>10401016.210000001</v>
      </c>
      <c r="I50" s="92">
        <f t="shared" si="8"/>
        <v>197619.31</v>
      </c>
      <c r="J50" s="92">
        <f t="shared" si="9"/>
        <v>10598635.52</v>
      </c>
      <c r="K50" s="193">
        <v>4</v>
      </c>
      <c r="L50" s="112">
        <f t="shared" si="10"/>
        <v>466339962.88</v>
      </c>
    </row>
    <row r="51" spans="1:14" ht="20.25" customHeight="1">
      <c r="A51" s="209" t="s">
        <v>150</v>
      </c>
      <c r="B51" s="197" t="s">
        <v>153</v>
      </c>
      <c r="C51" s="193">
        <v>20</v>
      </c>
      <c r="D51" s="92">
        <f>ROUND($D$9*$C$37/30*C51/13*12,2)</f>
        <v>6303646.1900000004</v>
      </c>
      <c r="E51" s="204">
        <v>0.1</v>
      </c>
      <c r="F51" s="95"/>
      <c r="G51" s="247">
        <f t="shared" si="6"/>
        <v>630364.62</v>
      </c>
      <c r="H51" s="92">
        <f t="shared" si="7"/>
        <v>6934010.8099999996</v>
      </c>
      <c r="I51" s="92">
        <f t="shared" si="8"/>
        <v>131746.21</v>
      </c>
      <c r="J51" s="92">
        <f t="shared" si="9"/>
        <v>7065757.0199999996</v>
      </c>
      <c r="K51" s="193">
        <v>5</v>
      </c>
      <c r="L51" s="112">
        <f t="shared" si="10"/>
        <v>388616636.10000002</v>
      </c>
    </row>
    <row r="52" spans="1:14" ht="20.25" customHeight="1" thickBot="1">
      <c r="A52" s="210" t="s">
        <v>151</v>
      </c>
      <c r="B52" s="211" t="s">
        <v>153</v>
      </c>
      <c r="C52" s="212">
        <v>20</v>
      </c>
      <c r="D52" s="109">
        <f>ROUND($D$9*$C$35/30*C52/13*12,2)</f>
        <v>5723917.6100000003</v>
      </c>
      <c r="E52" s="214">
        <v>0.08</v>
      </c>
      <c r="F52" s="95"/>
      <c r="G52" s="248">
        <f t="shared" si="6"/>
        <v>457913.41</v>
      </c>
      <c r="H52" s="109">
        <f t="shared" si="7"/>
        <v>6181831.0199999996</v>
      </c>
      <c r="I52" s="109">
        <f t="shared" si="8"/>
        <v>117454.79</v>
      </c>
      <c r="J52" s="109">
        <f t="shared" si="9"/>
        <v>6299285.8099999996</v>
      </c>
      <c r="K52" s="212">
        <v>5</v>
      </c>
      <c r="L52" s="113">
        <f t="shared" si="10"/>
        <v>346460719.55000001</v>
      </c>
    </row>
    <row r="53" spans="1:14" ht="20.25" customHeight="1" thickBot="1">
      <c r="A53" s="116"/>
      <c r="B53" s="238"/>
      <c r="C53" s="239"/>
      <c r="D53" s="240"/>
      <c r="E53" s="115"/>
      <c r="F53" s="95"/>
      <c r="G53" s="103"/>
      <c r="H53" s="103"/>
      <c r="I53" s="103"/>
      <c r="J53" s="103"/>
      <c r="K53" s="244"/>
      <c r="L53" s="245"/>
    </row>
    <row r="54" spans="1:14" ht="17.25" thickBot="1">
      <c r="A54" s="527" t="s">
        <v>169</v>
      </c>
      <c r="B54" s="528"/>
      <c r="C54" s="528"/>
      <c r="D54" s="528"/>
      <c r="E54" s="529"/>
      <c r="K54" s="93">
        <f>SUM(K45:K53)</f>
        <v>65</v>
      </c>
      <c r="L54" s="136">
        <f>ROUND(SUM(L45:L52),2)</f>
        <v>11980913323.940001</v>
      </c>
      <c r="M54" s="28"/>
      <c r="N54" s="38"/>
    </row>
    <row r="55" spans="1:14">
      <c r="M55" s="28"/>
      <c r="N55" s="38"/>
    </row>
    <row r="56" spans="1:14">
      <c r="L56" s="38"/>
      <c r="M56" s="28"/>
      <c r="N56" s="38"/>
    </row>
    <row r="57" spans="1:14">
      <c r="K57" s="30"/>
    </row>
    <row r="58" spans="1:14">
      <c r="K58" s="30"/>
    </row>
    <row r="59" spans="1:14">
      <c r="K59" s="30"/>
    </row>
  </sheetData>
  <mergeCells count="46">
    <mergeCell ref="A54:E54"/>
    <mergeCell ref="B3:E3"/>
    <mergeCell ref="A4:E4"/>
    <mergeCell ref="A5:C5"/>
    <mergeCell ref="D5:E5"/>
    <mergeCell ref="A6:C6"/>
    <mergeCell ref="D6:E6"/>
    <mergeCell ref="A7:C7"/>
    <mergeCell ref="D7:E7"/>
    <mergeCell ref="A12:E12"/>
    <mergeCell ref="A23:E23"/>
    <mergeCell ref="A24:C24"/>
    <mergeCell ref="D24:E24"/>
    <mergeCell ref="A8:C8"/>
    <mergeCell ref="D8:E8"/>
    <mergeCell ref="A9:C9"/>
    <mergeCell ref="D9:E9"/>
    <mergeCell ref="C35:E36"/>
    <mergeCell ref="G35:K36"/>
    <mergeCell ref="A35:B36"/>
    <mergeCell ref="D25:E25"/>
    <mergeCell ref="A26:C26"/>
    <mergeCell ref="D26:E26"/>
    <mergeCell ref="A27:C27"/>
    <mergeCell ref="D27:E27"/>
    <mergeCell ref="F44:F48"/>
    <mergeCell ref="A37:B37"/>
    <mergeCell ref="C37:E37"/>
    <mergeCell ref="G37:K37"/>
    <mergeCell ref="G38:K38"/>
    <mergeCell ref="A1:E1"/>
    <mergeCell ref="A39:E39"/>
    <mergeCell ref="A40:E40"/>
    <mergeCell ref="A43:H43"/>
    <mergeCell ref="K43:L43"/>
    <mergeCell ref="A33:E33"/>
    <mergeCell ref="A34:B34"/>
    <mergeCell ref="C34:E34"/>
    <mergeCell ref="G34:K34"/>
    <mergeCell ref="A28:C28"/>
    <mergeCell ref="D28:E28"/>
    <mergeCell ref="A29:C29"/>
    <mergeCell ref="D29:E29"/>
    <mergeCell ref="A30:C30"/>
    <mergeCell ref="D30:E30"/>
    <mergeCell ref="A25:C25"/>
  </mergeCells>
  <pageMargins left="0.70866141732283472" right="0.70866141732283472" top="0.74803149606299213" bottom="0.74803149606299213" header="0.31496062992125984" footer="0.31496062992125984"/>
  <pageSetup paperSize="14" scale="50" orientation="landscape" horizontalDpi="4294967294"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102"/>
  <sheetViews>
    <sheetView showGridLines="0" topLeftCell="A13" zoomScaleNormal="100" workbookViewId="0">
      <selection activeCell="F14" sqref="F14"/>
    </sheetView>
  </sheetViews>
  <sheetFormatPr defaultColWidth="12.375" defaultRowHeight="11.25"/>
  <cols>
    <col min="1" max="1" width="31.625" style="42" customWidth="1"/>
    <col min="2" max="2" width="38.25" style="324" customWidth="1"/>
    <col min="3" max="3" width="15.125" style="42" customWidth="1"/>
    <col min="4" max="4" width="13.375" style="249" customWidth="1"/>
    <col min="5" max="5" width="4" style="249" customWidth="1"/>
    <col min="6" max="6" width="12.125" style="306" customWidth="1"/>
    <col min="7" max="7" width="8.75" style="306" bestFit="1" customWidth="1"/>
    <col min="8" max="8" width="14.625" style="306" customWidth="1"/>
    <col min="9" max="9" width="2.125" style="249" customWidth="1"/>
    <col min="10" max="10" width="10.75" style="249" bestFit="1" customWidth="1"/>
    <col min="11" max="11" width="12" style="249" bestFit="1" customWidth="1"/>
    <col min="12" max="12" width="3.625" style="249" customWidth="1"/>
    <col min="13" max="13" width="14" style="306" customWidth="1"/>
    <col min="14" max="14" width="12.625" style="306" customWidth="1"/>
    <col min="15" max="15" width="14.125" style="306" bestFit="1" customWidth="1"/>
    <col min="16" max="16" width="14.125" style="280" bestFit="1" customWidth="1"/>
    <col min="17" max="17" width="16.75" style="249" bestFit="1" customWidth="1"/>
    <col min="18" max="18" width="17" style="280" bestFit="1" customWidth="1"/>
    <col min="19" max="19" width="20.375" style="280" bestFit="1" customWidth="1"/>
    <col min="20" max="20" width="12.875" style="249" bestFit="1" customWidth="1"/>
    <col min="21" max="16384" width="12.375" style="249"/>
  </cols>
  <sheetData>
    <row r="1" spans="1:19" ht="12" thickBot="1">
      <c r="A1" s="563" t="s">
        <v>89</v>
      </c>
      <c r="B1" s="564"/>
      <c r="C1" s="564"/>
      <c r="D1" s="564"/>
      <c r="E1" s="564"/>
      <c r="F1" s="564"/>
      <c r="G1" s="564"/>
      <c r="H1" s="564"/>
      <c r="I1" s="564"/>
      <c r="J1" s="564"/>
      <c r="K1" s="564"/>
      <c r="L1" s="564"/>
      <c r="M1" s="564"/>
      <c r="N1" s="564"/>
      <c r="O1" s="564"/>
      <c r="P1" s="564"/>
      <c r="Q1" s="564"/>
      <c r="R1" s="564"/>
      <c r="S1" s="564"/>
    </row>
    <row r="2" spans="1:19" ht="12" thickBot="1">
      <c r="A2" s="565"/>
      <c r="B2" s="566"/>
      <c r="C2" s="569" t="s">
        <v>170</v>
      </c>
      <c r="D2" s="570"/>
      <c r="E2" s="570"/>
      <c r="F2" s="570"/>
      <c r="G2" s="570"/>
      <c r="H2" s="570"/>
      <c r="I2" s="570"/>
      <c r="J2" s="570"/>
      <c r="K2" s="570"/>
      <c r="L2" s="570"/>
      <c r="M2" s="570"/>
      <c r="N2" s="570"/>
      <c r="O2" s="570"/>
      <c r="P2" s="570"/>
      <c r="Q2" s="570"/>
      <c r="R2" s="570"/>
      <c r="S2" s="570"/>
    </row>
    <row r="3" spans="1:19" ht="26.25" customHeight="1" thickBot="1">
      <c r="A3" s="567"/>
      <c r="B3" s="568"/>
      <c r="C3" s="571" t="s">
        <v>171</v>
      </c>
      <c r="D3" s="572"/>
      <c r="E3" s="572"/>
      <c r="F3" s="572"/>
      <c r="G3" s="572"/>
      <c r="H3" s="572"/>
      <c r="I3" s="572"/>
      <c r="J3" s="572"/>
      <c r="K3" s="572"/>
      <c r="L3" s="572"/>
      <c r="M3" s="572"/>
      <c r="N3" s="572"/>
      <c r="O3" s="572"/>
      <c r="P3" s="572"/>
      <c r="Q3" s="572"/>
      <c r="R3" s="572"/>
      <c r="S3" s="573"/>
    </row>
    <row r="4" spans="1:19" ht="23.25" thickBot="1">
      <c r="A4" s="574" t="s">
        <v>172</v>
      </c>
      <c r="B4" s="577" t="s">
        <v>173</v>
      </c>
      <c r="C4" s="578" t="s">
        <v>174</v>
      </c>
      <c r="D4" s="579" t="s">
        <v>175</v>
      </c>
      <c r="E4" s="251"/>
      <c r="F4" s="563" t="s">
        <v>176</v>
      </c>
      <c r="G4" s="564"/>
      <c r="H4" s="564"/>
      <c r="I4" s="252"/>
      <c r="J4" s="253" t="s">
        <v>177</v>
      </c>
      <c r="K4" s="253" t="s">
        <v>178</v>
      </c>
      <c r="M4" s="580" t="s">
        <v>179</v>
      </c>
      <c r="N4" s="581"/>
      <c r="O4" s="581"/>
      <c r="P4" s="582"/>
      <c r="Q4" s="583"/>
      <c r="R4" s="584"/>
      <c r="S4" s="584"/>
    </row>
    <row r="5" spans="1:19">
      <c r="A5" s="575"/>
      <c r="B5" s="578"/>
      <c r="C5" s="578"/>
      <c r="D5" s="579"/>
      <c r="F5" s="585" t="s">
        <v>180</v>
      </c>
      <c r="G5" s="585" t="s">
        <v>181</v>
      </c>
      <c r="H5" s="587" t="s">
        <v>182</v>
      </c>
      <c r="I5" s="254"/>
      <c r="J5" s="589">
        <v>1.4367000000000001</v>
      </c>
      <c r="K5" s="589">
        <v>1.6042000000000001</v>
      </c>
      <c r="L5" s="255"/>
      <c r="M5" s="586" t="s">
        <v>180</v>
      </c>
      <c r="N5" s="586" t="s">
        <v>181</v>
      </c>
      <c r="O5" s="586" t="s">
        <v>182</v>
      </c>
      <c r="P5" s="585" t="s">
        <v>183</v>
      </c>
      <c r="Q5" s="585" t="s">
        <v>184</v>
      </c>
      <c r="R5" s="585" t="s">
        <v>185</v>
      </c>
      <c r="S5" s="585" t="s">
        <v>186</v>
      </c>
    </row>
    <row r="6" spans="1:19" ht="27.75" customHeight="1" thickBot="1">
      <c r="A6" s="576"/>
      <c r="B6" s="578"/>
      <c r="C6" s="578"/>
      <c r="D6" s="579"/>
      <c r="F6" s="586"/>
      <c r="G6" s="586"/>
      <c r="H6" s="588"/>
      <c r="J6" s="590"/>
      <c r="K6" s="590"/>
      <c r="M6" s="586"/>
      <c r="N6" s="586"/>
      <c r="O6" s="586"/>
      <c r="P6" s="586"/>
      <c r="Q6" s="586"/>
      <c r="R6" s="586"/>
      <c r="S6" s="586"/>
    </row>
    <row r="7" spans="1:19" ht="12" thickBot="1">
      <c r="A7" s="256"/>
      <c r="B7" s="593" t="s">
        <v>187</v>
      </c>
      <c r="C7" s="594"/>
      <c r="D7" s="594"/>
      <c r="E7" s="594"/>
      <c r="F7" s="594"/>
      <c r="G7" s="594"/>
      <c r="H7" s="594"/>
      <c r="I7" s="594"/>
      <c r="J7" s="594"/>
      <c r="K7" s="594"/>
      <c r="L7" s="594"/>
      <c r="M7" s="594"/>
      <c r="N7" s="594"/>
      <c r="O7" s="594"/>
      <c r="P7" s="594"/>
      <c r="Q7" s="594"/>
      <c r="R7" s="594"/>
      <c r="S7" s="595"/>
    </row>
    <row r="8" spans="1:19" ht="45.75" thickBot="1">
      <c r="A8" s="257">
        <v>1</v>
      </c>
      <c r="B8" s="258" t="s">
        <v>188</v>
      </c>
      <c r="C8" s="250" t="s">
        <v>189</v>
      </c>
      <c r="D8" s="250">
        <v>21</v>
      </c>
      <c r="F8" s="259">
        <v>1</v>
      </c>
      <c r="G8" s="259">
        <f>ROUND(F8*19%,0)</f>
        <v>0</v>
      </c>
      <c r="H8" s="259">
        <f>ROUND(F8+G8,0)</f>
        <v>1</v>
      </c>
      <c r="J8" s="591">
        <f>+($K$5/$J$5)*F8</f>
        <v>1.1165866221201364</v>
      </c>
      <c r="K8" s="592"/>
      <c r="M8" s="260">
        <f>+ROUND(J8,0)</f>
        <v>1</v>
      </c>
      <c r="N8" s="259">
        <f>ROUND(M8*19%,0)</f>
        <v>0</v>
      </c>
      <c r="O8" s="261">
        <f>ROUND(N8+M8,0)</f>
        <v>1</v>
      </c>
      <c r="P8" s="262">
        <f>O8*D8</f>
        <v>21</v>
      </c>
      <c r="Q8" s="263">
        <f t="shared" ref="Q8:Q23" si="0">P8*24</f>
        <v>504</v>
      </c>
      <c r="R8" s="264">
        <v>3172907</v>
      </c>
      <c r="S8" s="263">
        <f>(Q8+R8)/2</f>
        <v>1586705.5</v>
      </c>
    </row>
    <row r="9" spans="1:19" ht="135.75" thickBot="1">
      <c r="A9" s="257">
        <v>2</v>
      </c>
      <c r="B9" s="265" t="s">
        <v>190</v>
      </c>
      <c r="C9" s="250" t="s">
        <v>189</v>
      </c>
      <c r="D9" s="250">
        <v>203</v>
      </c>
      <c r="F9" s="259">
        <v>1</v>
      </c>
      <c r="G9" s="259">
        <f t="shared" ref="G9:G23" si="1">ROUND(F9*19%,0)</f>
        <v>0</v>
      </c>
      <c r="H9" s="266">
        <f t="shared" ref="H9:H23" si="2">ROUND(F9+G9,0)</f>
        <v>1</v>
      </c>
      <c r="J9" s="532">
        <f>+($K$5/$J$5)*F9</f>
        <v>1.1165866221201364</v>
      </c>
      <c r="K9" s="533"/>
      <c r="M9" s="267">
        <f>+ROUND(J9,0)</f>
        <v>1</v>
      </c>
      <c r="N9" s="266">
        <f t="shared" ref="N9:N23" si="3">ROUND(M9*19%,0)</f>
        <v>0</v>
      </c>
      <c r="O9" s="268">
        <f t="shared" ref="O9:O16" si="4">ROUND(N9+M9,0)</f>
        <v>1</v>
      </c>
      <c r="P9" s="269">
        <f t="shared" ref="P9:P17" si="5">O9*D9</f>
        <v>203</v>
      </c>
      <c r="Q9" s="263">
        <f t="shared" si="0"/>
        <v>4872</v>
      </c>
      <c r="R9" s="264">
        <v>15237966</v>
      </c>
      <c r="S9" s="263">
        <f t="shared" ref="S9:S23" si="6">(Q9+R9)/2</f>
        <v>7621419</v>
      </c>
    </row>
    <row r="10" spans="1:19" ht="113.25" thickBot="1">
      <c r="A10" s="257">
        <v>3</v>
      </c>
      <c r="B10" s="265" t="s">
        <v>191</v>
      </c>
      <c r="C10" s="250" t="s">
        <v>189</v>
      </c>
      <c r="D10" s="250">
        <v>6</v>
      </c>
      <c r="F10" s="259">
        <v>1</v>
      </c>
      <c r="G10" s="259">
        <f t="shared" si="1"/>
        <v>0</v>
      </c>
      <c r="H10" s="266">
        <f t="shared" si="2"/>
        <v>1</v>
      </c>
      <c r="J10" s="532">
        <f t="shared" ref="J10:J23" si="7">+($K$5/$J$5)*F10</f>
        <v>1.1165866221201364</v>
      </c>
      <c r="K10" s="533"/>
      <c r="M10" s="267">
        <f t="shared" ref="M10:M16" si="8">+ROUND(J10,0)</f>
        <v>1</v>
      </c>
      <c r="N10" s="266">
        <f t="shared" si="3"/>
        <v>0</v>
      </c>
      <c r="O10" s="268">
        <f t="shared" si="4"/>
        <v>1</v>
      </c>
      <c r="P10" s="269">
        <f t="shared" si="5"/>
        <v>6</v>
      </c>
      <c r="Q10" s="263">
        <f t="shared" si="0"/>
        <v>144</v>
      </c>
      <c r="R10" s="264">
        <v>450413</v>
      </c>
      <c r="S10" s="263">
        <f t="shared" si="6"/>
        <v>225278.5</v>
      </c>
    </row>
    <row r="11" spans="1:19" ht="147" thickBot="1">
      <c r="A11" s="257">
        <v>4</v>
      </c>
      <c r="B11" s="265" t="s">
        <v>192</v>
      </c>
      <c r="C11" s="250" t="s">
        <v>189</v>
      </c>
      <c r="D11" s="250">
        <v>20</v>
      </c>
      <c r="F11" s="259">
        <v>1</v>
      </c>
      <c r="G11" s="259">
        <f t="shared" si="1"/>
        <v>0</v>
      </c>
      <c r="H11" s="266">
        <f t="shared" si="2"/>
        <v>1</v>
      </c>
      <c r="J11" s="532">
        <f t="shared" si="7"/>
        <v>1.1165866221201364</v>
      </c>
      <c r="K11" s="533"/>
      <c r="M11" s="267">
        <f t="shared" si="8"/>
        <v>1</v>
      </c>
      <c r="N11" s="266">
        <f t="shared" si="3"/>
        <v>0</v>
      </c>
      <c r="O11" s="268">
        <f t="shared" si="4"/>
        <v>1</v>
      </c>
      <c r="P11" s="269">
        <f t="shared" si="5"/>
        <v>20</v>
      </c>
      <c r="Q11" s="263">
        <f t="shared" si="0"/>
        <v>480</v>
      </c>
      <c r="R11" s="264">
        <v>12630624</v>
      </c>
      <c r="S11" s="263">
        <f t="shared" si="6"/>
        <v>6315552</v>
      </c>
    </row>
    <row r="12" spans="1:19" ht="34.5" thickBot="1">
      <c r="A12" s="257">
        <v>5</v>
      </c>
      <c r="B12" s="258" t="s">
        <v>193</v>
      </c>
      <c r="C12" s="250" t="s">
        <v>189</v>
      </c>
      <c r="D12" s="250">
        <v>3</v>
      </c>
      <c r="F12" s="259">
        <v>1</v>
      </c>
      <c r="G12" s="259">
        <f t="shared" si="1"/>
        <v>0</v>
      </c>
      <c r="H12" s="266">
        <f t="shared" si="2"/>
        <v>1</v>
      </c>
      <c r="J12" s="532">
        <f t="shared" si="7"/>
        <v>1.1165866221201364</v>
      </c>
      <c r="K12" s="533"/>
      <c r="M12" s="267">
        <f t="shared" si="8"/>
        <v>1</v>
      </c>
      <c r="N12" s="266">
        <f t="shared" si="3"/>
        <v>0</v>
      </c>
      <c r="O12" s="268">
        <f t="shared" si="4"/>
        <v>1</v>
      </c>
      <c r="P12" s="269">
        <f t="shared" si="5"/>
        <v>3</v>
      </c>
      <c r="Q12" s="263">
        <f t="shared" si="0"/>
        <v>72</v>
      </c>
      <c r="R12" s="264">
        <v>225206</v>
      </c>
      <c r="S12" s="263">
        <f t="shared" si="6"/>
        <v>112639</v>
      </c>
    </row>
    <row r="13" spans="1:19" ht="225.75" thickBot="1">
      <c r="A13" s="257">
        <v>6</v>
      </c>
      <c r="B13" s="258" t="s">
        <v>194</v>
      </c>
      <c r="C13" s="250" t="s">
        <v>189</v>
      </c>
      <c r="D13" s="250">
        <v>6</v>
      </c>
      <c r="F13" s="259">
        <v>1</v>
      </c>
      <c r="G13" s="259">
        <f t="shared" si="1"/>
        <v>0</v>
      </c>
      <c r="H13" s="266">
        <f t="shared" si="2"/>
        <v>1</v>
      </c>
      <c r="J13" s="532">
        <f t="shared" si="7"/>
        <v>1.1165866221201364</v>
      </c>
      <c r="K13" s="533"/>
      <c r="M13" s="267">
        <f t="shared" si="8"/>
        <v>1</v>
      </c>
      <c r="N13" s="266">
        <f t="shared" si="3"/>
        <v>0</v>
      </c>
      <c r="O13" s="268">
        <f t="shared" si="4"/>
        <v>1</v>
      </c>
      <c r="P13" s="269">
        <f t="shared" si="5"/>
        <v>6</v>
      </c>
      <c r="Q13" s="263">
        <f t="shared" si="0"/>
        <v>144</v>
      </c>
      <c r="R13" s="264">
        <v>557653</v>
      </c>
      <c r="S13" s="263">
        <f t="shared" si="6"/>
        <v>278898.5</v>
      </c>
    </row>
    <row r="14" spans="1:19" ht="113.25" thickBot="1">
      <c r="A14" s="257">
        <v>7</v>
      </c>
      <c r="B14" s="258" t="s">
        <v>195</v>
      </c>
      <c r="C14" s="250" t="s">
        <v>189</v>
      </c>
      <c r="D14" s="250">
        <v>10</v>
      </c>
      <c r="F14" s="270">
        <v>1</v>
      </c>
      <c r="G14" s="259">
        <f t="shared" si="1"/>
        <v>0</v>
      </c>
      <c r="H14" s="266">
        <f t="shared" si="2"/>
        <v>1</v>
      </c>
      <c r="J14" s="532">
        <f t="shared" si="7"/>
        <v>1.1165866221201364</v>
      </c>
      <c r="K14" s="533"/>
      <c r="M14" s="267">
        <f t="shared" si="8"/>
        <v>1</v>
      </c>
      <c r="N14" s="266">
        <f t="shared" si="3"/>
        <v>0</v>
      </c>
      <c r="O14" s="268">
        <f t="shared" si="4"/>
        <v>1</v>
      </c>
      <c r="P14" s="269">
        <f t="shared" si="5"/>
        <v>10</v>
      </c>
      <c r="Q14" s="263">
        <f t="shared" si="0"/>
        <v>240</v>
      </c>
      <c r="R14" s="264">
        <v>5199571</v>
      </c>
      <c r="S14" s="263">
        <f t="shared" si="6"/>
        <v>2599905.5</v>
      </c>
    </row>
    <row r="15" spans="1:19" ht="169.5" thickBot="1">
      <c r="A15" s="257">
        <v>8</v>
      </c>
      <c r="B15" s="265" t="s">
        <v>196</v>
      </c>
      <c r="C15" s="250" t="s">
        <v>189</v>
      </c>
      <c r="D15" s="250">
        <v>3</v>
      </c>
      <c r="F15" s="259">
        <v>1</v>
      </c>
      <c r="G15" s="259">
        <f t="shared" si="1"/>
        <v>0</v>
      </c>
      <c r="H15" s="266">
        <f t="shared" si="2"/>
        <v>1</v>
      </c>
      <c r="J15" s="532">
        <f t="shared" si="7"/>
        <v>1.1165866221201364</v>
      </c>
      <c r="K15" s="533"/>
      <c r="M15" s="267">
        <f t="shared" si="8"/>
        <v>1</v>
      </c>
      <c r="N15" s="266">
        <f t="shared" si="3"/>
        <v>0</v>
      </c>
      <c r="O15" s="268">
        <f t="shared" si="4"/>
        <v>1</v>
      </c>
      <c r="P15" s="269">
        <f t="shared" si="5"/>
        <v>3</v>
      </c>
      <c r="Q15" s="263">
        <f>P15*24</f>
        <v>72</v>
      </c>
      <c r="R15" s="264">
        <v>1715859</v>
      </c>
      <c r="S15" s="263">
        <f t="shared" si="6"/>
        <v>857965.5</v>
      </c>
    </row>
    <row r="16" spans="1:19" ht="90.75" thickBot="1">
      <c r="A16" s="257">
        <v>9</v>
      </c>
      <c r="B16" s="265" t="s">
        <v>197</v>
      </c>
      <c r="C16" s="250" t="s">
        <v>189</v>
      </c>
      <c r="D16" s="250">
        <v>16</v>
      </c>
      <c r="F16" s="259">
        <v>1</v>
      </c>
      <c r="G16" s="259">
        <f t="shared" si="1"/>
        <v>0</v>
      </c>
      <c r="H16" s="266">
        <f t="shared" si="2"/>
        <v>1</v>
      </c>
      <c r="J16" s="532">
        <f t="shared" si="7"/>
        <v>1.1165866221201364</v>
      </c>
      <c r="K16" s="533"/>
      <c r="M16" s="267">
        <f t="shared" si="8"/>
        <v>1</v>
      </c>
      <c r="N16" s="266">
        <f t="shared" si="3"/>
        <v>0</v>
      </c>
      <c r="O16" s="268">
        <f t="shared" si="4"/>
        <v>1</v>
      </c>
      <c r="P16" s="269">
        <f t="shared" si="5"/>
        <v>16</v>
      </c>
      <c r="Q16" s="263">
        <f t="shared" si="0"/>
        <v>384</v>
      </c>
      <c r="R16" s="264">
        <v>4575621</v>
      </c>
      <c r="S16" s="263">
        <f t="shared" si="6"/>
        <v>2288002.5</v>
      </c>
    </row>
    <row r="17" spans="1:19" ht="147" thickBot="1">
      <c r="A17" s="257">
        <v>10</v>
      </c>
      <c r="B17" s="265" t="s">
        <v>198</v>
      </c>
      <c r="C17" s="250" t="s">
        <v>189</v>
      </c>
      <c r="D17" s="250">
        <v>16</v>
      </c>
      <c r="F17" s="259">
        <v>1</v>
      </c>
      <c r="G17" s="259">
        <f t="shared" si="1"/>
        <v>0</v>
      </c>
      <c r="H17" s="266">
        <f t="shared" si="2"/>
        <v>1</v>
      </c>
      <c r="J17" s="532">
        <f t="shared" si="7"/>
        <v>1.1165866221201364</v>
      </c>
      <c r="K17" s="533"/>
      <c r="M17" s="267">
        <f>+ROUND(J17,0)</f>
        <v>1</v>
      </c>
      <c r="N17" s="266">
        <f t="shared" si="3"/>
        <v>0</v>
      </c>
      <c r="O17" s="268">
        <f>ROUND(N17+M17,0)</f>
        <v>1</v>
      </c>
      <c r="P17" s="269">
        <f t="shared" si="5"/>
        <v>16</v>
      </c>
      <c r="Q17" s="263">
        <f>P17*24</f>
        <v>384</v>
      </c>
      <c r="R17" s="264">
        <v>7626037</v>
      </c>
      <c r="S17" s="263">
        <f t="shared" si="6"/>
        <v>3813210.5</v>
      </c>
    </row>
    <row r="18" spans="1:19" ht="90.75" thickBot="1">
      <c r="A18" s="257">
        <v>11</v>
      </c>
      <c r="B18" s="265" t="s">
        <v>199</v>
      </c>
      <c r="C18" s="250" t="s">
        <v>189</v>
      </c>
      <c r="D18" s="250">
        <v>16</v>
      </c>
      <c r="F18" s="259">
        <v>1</v>
      </c>
      <c r="G18" s="259">
        <f t="shared" si="1"/>
        <v>0</v>
      </c>
      <c r="H18" s="266">
        <f t="shared" si="2"/>
        <v>1</v>
      </c>
      <c r="J18" s="532">
        <f t="shared" si="7"/>
        <v>1.1165866221201364</v>
      </c>
      <c r="K18" s="533"/>
      <c r="M18" s="267">
        <f>+ROUND(J18,0)</f>
        <v>1</v>
      </c>
      <c r="N18" s="266">
        <f t="shared" si="3"/>
        <v>0</v>
      </c>
      <c r="O18" s="268">
        <f>ROUND(N18+M18,0)</f>
        <v>1</v>
      </c>
      <c r="P18" s="269">
        <f>O18*D18</f>
        <v>16</v>
      </c>
      <c r="Q18" s="263">
        <f t="shared" si="0"/>
        <v>384</v>
      </c>
      <c r="R18" s="264">
        <v>4575621</v>
      </c>
      <c r="S18" s="263">
        <f t="shared" si="6"/>
        <v>2288002.5</v>
      </c>
    </row>
    <row r="19" spans="1:19" ht="23.25" thickBot="1">
      <c r="A19" s="257">
        <v>12</v>
      </c>
      <c r="B19" s="265" t="s">
        <v>200</v>
      </c>
      <c r="C19" s="250" t="s">
        <v>201</v>
      </c>
      <c r="D19" s="250">
        <v>84</v>
      </c>
      <c r="F19" s="259">
        <v>1</v>
      </c>
      <c r="G19" s="259">
        <f t="shared" si="1"/>
        <v>0</v>
      </c>
      <c r="H19" s="266">
        <f t="shared" si="2"/>
        <v>1</v>
      </c>
      <c r="J19" s="532">
        <f t="shared" si="7"/>
        <v>1.1165866221201364</v>
      </c>
      <c r="K19" s="533"/>
      <c r="M19" s="267">
        <f>+ROUND(J19,0)</f>
        <v>1</v>
      </c>
      <c r="N19" s="266">
        <f t="shared" si="3"/>
        <v>0</v>
      </c>
      <c r="O19" s="268">
        <f>ROUND(N19+M19,0)</f>
        <v>1</v>
      </c>
      <c r="P19" s="269">
        <f>O19*D19</f>
        <v>84</v>
      </c>
      <c r="Q19" s="263">
        <f t="shared" si="0"/>
        <v>2016</v>
      </c>
      <c r="R19" s="264">
        <v>28359325</v>
      </c>
      <c r="S19" s="263">
        <f t="shared" si="6"/>
        <v>14180670.5</v>
      </c>
    </row>
    <row r="20" spans="1:19" ht="180.75" thickBot="1">
      <c r="A20" s="257">
        <v>13</v>
      </c>
      <c r="B20" s="265" t="s">
        <v>202</v>
      </c>
      <c r="C20" s="250" t="s">
        <v>201</v>
      </c>
      <c r="D20" s="250">
        <v>3</v>
      </c>
      <c r="F20" s="271"/>
      <c r="G20" s="259">
        <f t="shared" si="1"/>
        <v>0</v>
      </c>
      <c r="H20" s="266">
        <f t="shared" si="2"/>
        <v>0</v>
      </c>
      <c r="J20" s="532">
        <f t="shared" si="7"/>
        <v>0</v>
      </c>
      <c r="K20" s="533"/>
      <c r="M20" s="267">
        <f>+ROUND(J20,0)</f>
        <v>0</v>
      </c>
      <c r="N20" s="272">
        <f t="shared" si="3"/>
        <v>0</v>
      </c>
      <c r="O20" s="273">
        <v>1290297.02</v>
      </c>
      <c r="P20" s="269">
        <f>O20*D20</f>
        <v>3870891.06</v>
      </c>
      <c r="Q20" s="263">
        <f>P20*24</f>
        <v>92901385.439999998</v>
      </c>
      <c r="R20" s="264">
        <v>47186104</v>
      </c>
      <c r="S20" s="263">
        <f>(Q20+R20)/2</f>
        <v>70043744.719999999</v>
      </c>
    </row>
    <row r="21" spans="1:19" ht="90.75" thickBot="1">
      <c r="A21" s="257">
        <v>14</v>
      </c>
      <c r="B21" s="265" t="s">
        <v>203</v>
      </c>
      <c r="C21" s="250" t="s">
        <v>201</v>
      </c>
      <c r="D21" s="250">
        <v>4</v>
      </c>
      <c r="F21" s="259">
        <v>1</v>
      </c>
      <c r="G21" s="259">
        <f t="shared" si="1"/>
        <v>0</v>
      </c>
      <c r="H21" s="266">
        <f t="shared" si="2"/>
        <v>1</v>
      </c>
      <c r="J21" s="532">
        <f t="shared" si="7"/>
        <v>1.1165866221201364</v>
      </c>
      <c r="K21" s="533"/>
      <c r="M21" s="267">
        <f t="shared" ref="M21:M23" si="9">+ROUND(J21,0)</f>
        <v>1</v>
      </c>
      <c r="N21" s="266">
        <f t="shared" si="3"/>
        <v>0</v>
      </c>
      <c r="O21" s="268">
        <f t="shared" ref="O21:O23" si="10">ROUND(N21+M21,0)</f>
        <v>1</v>
      </c>
      <c r="P21" s="269">
        <f t="shared" ref="P21:P23" si="11">O21*D21</f>
        <v>4</v>
      </c>
      <c r="Q21" s="263">
        <f t="shared" si="0"/>
        <v>96</v>
      </c>
      <c r="R21" s="264">
        <v>3193403</v>
      </c>
      <c r="S21" s="263">
        <f t="shared" si="6"/>
        <v>1596749.5</v>
      </c>
    </row>
    <row r="22" spans="1:19" ht="237" thickBot="1">
      <c r="A22" s="257">
        <v>15</v>
      </c>
      <c r="B22" s="265" t="s">
        <v>204</v>
      </c>
      <c r="C22" s="250" t="s">
        <v>205</v>
      </c>
      <c r="D22" s="250">
        <v>2</v>
      </c>
      <c r="F22" s="271"/>
      <c r="G22" s="259">
        <f t="shared" si="1"/>
        <v>0</v>
      </c>
      <c r="H22" s="266">
        <f t="shared" si="2"/>
        <v>0</v>
      </c>
      <c r="J22" s="532">
        <f t="shared" si="7"/>
        <v>0</v>
      </c>
      <c r="K22" s="533"/>
      <c r="M22" s="267">
        <f t="shared" si="9"/>
        <v>0</v>
      </c>
      <c r="N22" s="266">
        <f t="shared" si="3"/>
        <v>0</v>
      </c>
      <c r="O22" s="273">
        <v>47641.73</v>
      </c>
      <c r="P22" s="269">
        <f t="shared" si="11"/>
        <v>95283.46</v>
      </c>
      <c r="Q22" s="263">
        <f t="shared" si="0"/>
        <v>2286803.04</v>
      </c>
      <c r="R22" s="264">
        <v>1263063</v>
      </c>
      <c r="S22" s="263">
        <f>(Q22+R22)/2</f>
        <v>1774933.02</v>
      </c>
    </row>
    <row r="23" spans="1:19" ht="102" thickBot="1">
      <c r="A23" s="257">
        <v>16</v>
      </c>
      <c r="B23" s="265" t="s">
        <v>206</v>
      </c>
      <c r="C23" s="250" t="s">
        <v>201</v>
      </c>
      <c r="D23" s="250">
        <v>16</v>
      </c>
      <c r="F23" s="259">
        <v>1</v>
      </c>
      <c r="G23" s="259">
        <f t="shared" si="1"/>
        <v>0</v>
      </c>
      <c r="H23" s="266">
        <f t="shared" si="2"/>
        <v>1</v>
      </c>
      <c r="J23" s="532">
        <f t="shared" si="7"/>
        <v>1.1165866221201364</v>
      </c>
      <c r="K23" s="533"/>
      <c r="M23" s="267">
        <f t="shared" si="9"/>
        <v>1</v>
      </c>
      <c r="N23" s="266">
        <f t="shared" si="3"/>
        <v>0</v>
      </c>
      <c r="O23" s="268">
        <f t="shared" si="10"/>
        <v>1</v>
      </c>
      <c r="P23" s="269">
        <f t="shared" si="11"/>
        <v>16</v>
      </c>
      <c r="Q23" s="274">
        <f t="shared" si="0"/>
        <v>384</v>
      </c>
      <c r="R23" s="275">
        <v>4766273</v>
      </c>
      <c r="S23" s="274">
        <f t="shared" si="6"/>
        <v>2383328.5</v>
      </c>
    </row>
    <row r="24" spans="1:19" ht="12" thickBot="1">
      <c r="A24" s="256"/>
      <c r="B24" s="557" t="s">
        <v>207</v>
      </c>
      <c r="C24" s="558"/>
      <c r="D24" s="558"/>
      <c r="E24" s="558"/>
      <c r="F24" s="558"/>
      <c r="G24" s="558"/>
      <c r="H24" s="558"/>
      <c r="I24" s="558"/>
      <c r="J24" s="558"/>
      <c r="K24" s="558"/>
      <c r="L24" s="558"/>
      <c r="M24" s="558"/>
      <c r="N24" s="558"/>
      <c r="O24" s="558"/>
      <c r="P24" s="559"/>
      <c r="Q24" s="276">
        <f>SUM(Q8:Q23)</f>
        <v>95198364.480000004</v>
      </c>
      <c r="R24" s="277">
        <f>SUM(R8:R23)</f>
        <v>140735646</v>
      </c>
      <c r="S24" s="278">
        <f>SUM(S8:S23)</f>
        <v>117967005.23999999</v>
      </c>
    </row>
    <row r="25" spans="1:19" ht="12" thickBot="1">
      <c r="A25" s="279"/>
      <c r="B25" s="560" t="s">
        <v>208</v>
      </c>
      <c r="C25" s="561"/>
      <c r="D25" s="561"/>
      <c r="E25" s="561"/>
      <c r="F25" s="561"/>
      <c r="G25" s="561"/>
      <c r="H25" s="561"/>
      <c r="I25" s="561"/>
      <c r="J25" s="561"/>
      <c r="K25" s="561"/>
      <c r="L25" s="561"/>
      <c r="M25" s="561"/>
      <c r="N25" s="561"/>
      <c r="O25" s="561"/>
      <c r="P25" s="562"/>
    </row>
    <row r="26" spans="1:19" ht="45.75" thickBot="1">
      <c r="A26" s="257">
        <v>1</v>
      </c>
      <c r="B26" s="258" t="s">
        <v>188</v>
      </c>
      <c r="C26" s="250" t="s">
        <v>205</v>
      </c>
      <c r="D26" s="250">
        <v>11</v>
      </c>
      <c r="F26" s="259">
        <v>1</v>
      </c>
      <c r="G26" s="259">
        <f>ROUND(F26*19%,0)</f>
        <v>0</v>
      </c>
      <c r="H26" s="266">
        <f>ROUND(F26+G26,0)</f>
        <v>1</v>
      </c>
      <c r="J26" s="532">
        <f>+($K$5/$J$5)*F26</f>
        <v>1.1165866221201364</v>
      </c>
      <c r="K26" s="533"/>
      <c r="L26" s="281"/>
      <c r="M26" s="267">
        <f>+ROUND(J26,0)</f>
        <v>1</v>
      </c>
      <c r="N26" s="266">
        <f>ROUND(M26*19%,0)</f>
        <v>0</v>
      </c>
      <c r="O26" s="268">
        <f>ROUND(N26+M26,0)</f>
        <v>1</v>
      </c>
      <c r="P26" s="269">
        <f>O26*D26</f>
        <v>11</v>
      </c>
      <c r="Q26" s="263">
        <f>P26*24</f>
        <v>264</v>
      </c>
      <c r="R26" s="264">
        <v>5855367</v>
      </c>
      <c r="S26" s="263">
        <f t="shared" ref="S26:S38" si="12">(Q26+R26)/2</f>
        <v>2927815.5</v>
      </c>
    </row>
    <row r="27" spans="1:19" ht="135.75" thickBot="1">
      <c r="A27" s="257">
        <v>2</v>
      </c>
      <c r="B27" s="265" t="s">
        <v>190</v>
      </c>
      <c r="C27" s="250" t="s">
        <v>205</v>
      </c>
      <c r="D27" s="250">
        <v>78</v>
      </c>
      <c r="F27" s="259">
        <v>1</v>
      </c>
      <c r="G27" s="259">
        <f t="shared" ref="G27:G37" si="13">ROUND(F27*19%,0)</f>
        <v>0</v>
      </c>
      <c r="H27" s="266">
        <f t="shared" ref="H27:H38" si="14">ROUND(F27+G27,0)</f>
        <v>1</v>
      </c>
      <c r="J27" s="532">
        <f t="shared" ref="J27:J38" si="15">+($K$5/$J$5)*F27</f>
        <v>1.1165866221201364</v>
      </c>
      <c r="K27" s="533"/>
      <c r="M27" s="267">
        <f t="shared" ref="M27:M38" si="16">+ROUND(J27,0)</f>
        <v>1</v>
      </c>
      <c r="N27" s="266">
        <f t="shared" ref="N27:N38" si="17">ROUND(M27*19%,0)</f>
        <v>0</v>
      </c>
      <c r="O27" s="268">
        <f t="shared" ref="O27:O38" si="18">ROUND(N27+M27,0)</f>
        <v>1</v>
      </c>
      <c r="P27" s="269">
        <f t="shared" ref="P27:P38" si="19">O27*D27</f>
        <v>78</v>
      </c>
      <c r="Q27" s="263">
        <f t="shared" ref="Q27:Q51" si="20">P27*24</f>
        <v>1872</v>
      </c>
      <c r="R27" s="264">
        <v>6946843</v>
      </c>
      <c r="S27" s="263">
        <f t="shared" si="12"/>
        <v>3474357.5</v>
      </c>
    </row>
    <row r="28" spans="1:19" ht="147" thickBot="1">
      <c r="A28" s="257">
        <v>3</v>
      </c>
      <c r="B28" s="265" t="s">
        <v>192</v>
      </c>
      <c r="C28" s="250" t="s">
        <v>205</v>
      </c>
      <c r="D28" s="250">
        <v>11</v>
      </c>
      <c r="F28" s="259">
        <v>1</v>
      </c>
      <c r="G28" s="259">
        <f t="shared" si="13"/>
        <v>0</v>
      </c>
      <c r="H28" s="266">
        <f t="shared" si="14"/>
        <v>1</v>
      </c>
      <c r="J28" s="532">
        <f t="shared" si="15"/>
        <v>1.1165866221201364</v>
      </c>
      <c r="K28" s="533"/>
      <c r="M28" s="267">
        <f t="shared" si="16"/>
        <v>1</v>
      </c>
      <c r="N28" s="266">
        <f t="shared" si="17"/>
        <v>0</v>
      </c>
      <c r="O28" s="268">
        <f t="shared" si="18"/>
        <v>1</v>
      </c>
      <c r="P28" s="269">
        <f t="shared" si="19"/>
        <v>11</v>
      </c>
      <c r="Q28" s="263">
        <f>P28*24</f>
        <v>264</v>
      </c>
      <c r="R28" s="264">
        <v>1208250</v>
      </c>
      <c r="S28" s="263">
        <f t="shared" si="12"/>
        <v>604257</v>
      </c>
    </row>
    <row r="29" spans="1:19" ht="225.75" thickBot="1">
      <c r="A29" s="257">
        <v>4</v>
      </c>
      <c r="B29" s="258" t="s">
        <v>194</v>
      </c>
      <c r="C29" s="250" t="s">
        <v>205</v>
      </c>
      <c r="D29" s="250">
        <v>13</v>
      </c>
      <c r="F29" s="259">
        <v>1</v>
      </c>
      <c r="G29" s="259">
        <f t="shared" si="13"/>
        <v>0</v>
      </c>
      <c r="H29" s="266">
        <f t="shared" si="14"/>
        <v>1</v>
      </c>
      <c r="J29" s="532">
        <f t="shared" si="15"/>
        <v>1.1165866221201364</v>
      </c>
      <c r="K29" s="533"/>
      <c r="M29" s="267">
        <f t="shared" si="16"/>
        <v>1</v>
      </c>
      <c r="N29" s="266">
        <f t="shared" si="17"/>
        <v>0</v>
      </c>
      <c r="O29" s="268">
        <f t="shared" si="18"/>
        <v>1</v>
      </c>
      <c r="P29" s="269">
        <f t="shared" si="19"/>
        <v>13</v>
      </c>
      <c r="Q29" s="263">
        <f t="shared" si="20"/>
        <v>312</v>
      </c>
      <c r="R29" s="264">
        <v>2599786</v>
      </c>
      <c r="S29" s="263">
        <f t="shared" si="12"/>
        <v>1300049</v>
      </c>
    </row>
    <row r="30" spans="1:19" ht="113.25" thickBot="1">
      <c r="A30" s="257">
        <v>5</v>
      </c>
      <c r="B30" s="258" t="s">
        <v>195</v>
      </c>
      <c r="C30" s="250" t="s">
        <v>205</v>
      </c>
      <c r="D30" s="250">
        <v>5</v>
      </c>
      <c r="F30" s="259">
        <v>1</v>
      </c>
      <c r="G30" s="259">
        <f t="shared" si="13"/>
        <v>0</v>
      </c>
      <c r="H30" s="266">
        <f t="shared" si="14"/>
        <v>1</v>
      </c>
      <c r="J30" s="532">
        <f t="shared" si="15"/>
        <v>1.1165866221201364</v>
      </c>
      <c r="K30" s="533"/>
      <c r="M30" s="267">
        <f t="shared" si="16"/>
        <v>1</v>
      </c>
      <c r="N30" s="266">
        <f t="shared" si="17"/>
        <v>0</v>
      </c>
      <c r="O30" s="268">
        <f t="shared" si="18"/>
        <v>1</v>
      </c>
      <c r="P30" s="269">
        <f t="shared" si="19"/>
        <v>5</v>
      </c>
      <c r="Q30" s="263">
        <f t="shared" si="20"/>
        <v>120</v>
      </c>
      <c r="R30" s="264">
        <v>1143905</v>
      </c>
      <c r="S30" s="263">
        <f t="shared" si="12"/>
        <v>572012.5</v>
      </c>
    </row>
    <row r="31" spans="1:19" ht="169.5" thickBot="1">
      <c r="A31" s="257">
        <v>6</v>
      </c>
      <c r="B31" s="265" t="s">
        <v>196</v>
      </c>
      <c r="C31" s="250" t="s">
        <v>205</v>
      </c>
      <c r="D31" s="250">
        <v>2</v>
      </c>
      <c r="F31" s="259">
        <v>1</v>
      </c>
      <c r="G31" s="259">
        <f t="shared" si="13"/>
        <v>0</v>
      </c>
      <c r="H31" s="266">
        <f t="shared" si="14"/>
        <v>1</v>
      </c>
      <c r="J31" s="532">
        <f t="shared" si="15"/>
        <v>1.1165866221201364</v>
      </c>
      <c r="K31" s="533"/>
      <c r="M31" s="267">
        <f t="shared" si="16"/>
        <v>1</v>
      </c>
      <c r="N31" s="266">
        <f t="shared" si="17"/>
        <v>0</v>
      </c>
      <c r="O31" s="268">
        <f t="shared" si="18"/>
        <v>1</v>
      </c>
      <c r="P31" s="269">
        <f t="shared" si="19"/>
        <v>2</v>
      </c>
      <c r="Q31" s="263">
        <f>P31*24</f>
        <v>48</v>
      </c>
      <c r="R31" s="264">
        <v>3145741</v>
      </c>
      <c r="S31" s="263">
        <f t="shared" si="12"/>
        <v>1572894.5</v>
      </c>
    </row>
    <row r="32" spans="1:19" ht="90.75" thickBot="1">
      <c r="A32" s="257">
        <v>7</v>
      </c>
      <c r="B32" s="265" t="s">
        <v>197</v>
      </c>
      <c r="C32" s="250" t="s">
        <v>205</v>
      </c>
      <c r="D32" s="250">
        <v>11</v>
      </c>
      <c r="F32" s="270">
        <v>1</v>
      </c>
      <c r="G32" s="259">
        <f>ROUND(F32*19%,0)</f>
        <v>0</v>
      </c>
      <c r="H32" s="266">
        <f t="shared" si="14"/>
        <v>1</v>
      </c>
      <c r="J32" s="532">
        <f t="shared" si="15"/>
        <v>1.1165866221201364</v>
      </c>
      <c r="K32" s="533"/>
      <c r="M32" s="267">
        <f t="shared" si="16"/>
        <v>1</v>
      </c>
      <c r="N32" s="266">
        <f t="shared" si="17"/>
        <v>0</v>
      </c>
      <c r="O32" s="268">
        <f t="shared" si="18"/>
        <v>1</v>
      </c>
      <c r="P32" s="269">
        <f t="shared" si="19"/>
        <v>11</v>
      </c>
      <c r="Q32" s="263">
        <f t="shared" si="20"/>
        <v>264</v>
      </c>
      <c r="R32" s="264">
        <v>5242901</v>
      </c>
      <c r="S32" s="263">
        <f t="shared" si="12"/>
        <v>2621582.5</v>
      </c>
    </row>
    <row r="33" spans="1:19" ht="147" thickBot="1">
      <c r="A33" s="257">
        <v>8</v>
      </c>
      <c r="B33" s="265" t="s">
        <v>198</v>
      </c>
      <c r="C33" s="250" t="s">
        <v>205</v>
      </c>
      <c r="D33" s="250">
        <v>11</v>
      </c>
      <c r="F33" s="259">
        <v>1</v>
      </c>
      <c r="G33" s="259">
        <f t="shared" si="13"/>
        <v>0</v>
      </c>
      <c r="H33" s="266">
        <f t="shared" si="14"/>
        <v>1</v>
      </c>
      <c r="J33" s="532">
        <f t="shared" si="15"/>
        <v>1.1165866221201364</v>
      </c>
      <c r="K33" s="533"/>
      <c r="M33" s="267">
        <f t="shared" si="16"/>
        <v>1</v>
      </c>
      <c r="N33" s="266">
        <f t="shared" si="17"/>
        <v>0</v>
      </c>
      <c r="O33" s="268">
        <f t="shared" si="18"/>
        <v>1</v>
      </c>
      <c r="P33" s="269">
        <f t="shared" si="19"/>
        <v>11</v>
      </c>
      <c r="Q33" s="263">
        <f t="shared" si="20"/>
        <v>264</v>
      </c>
      <c r="R33" s="264">
        <v>3145741</v>
      </c>
      <c r="S33" s="263">
        <f t="shared" si="12"/>
        <v>1573002.5</v>
      </c>
    </row>
    <row r="34" spans="1:19" ht="90.75" thickBot="1">
      <c r="A34" s="257">
        <v>9</v>
      </c>
      <c r="B34" s="265" t="s">
        <v>199</v>
      </c>
      <c r="C34" s="250" t="s">
        <v>205</v>
      </c>
      <c r="D34" s="250">
        <v>11</v>
      </c>
      <c r="F34" s="259">
        <v>1</v>
      </c>
      <c r="G34" s="259">
        <f t="shared" si="13"/>
        <v>0</v>
      </c>
      <c r="H34" s="266">
        <f t="shared" si="14"/>
        <v>1</v>
      </c>
      <c r="J34" s="532">
        <f t="shared" si="15"/>
        <v>1.1165866221201364</v>
      </c>
      <c r="K34" s="533"/>
      <c r="M34" s="267">
        <f t="shared" si="16"/>
        <v>1</v>
      </c>
      <c r="N34" s="266">
        <f t="shared" si="17"/>
        <v>0</v>
      </c>
      <c r="O34" s="268">
        <f t="shared" si="18"/>
        <v>1</v>
      </c>
      <c r="P34" s="269">
        <f t="shared" si="19"/>
        <v>11</v>
      </c>
      <c r="Q34" s="263">
        <f>P34*24</f>
        <v>264</v>
      </c>
      <c r="R34" s="264">
        <v>14854884</v>
      </c>
      <c r="S34" s="263">
        <f t="shared" si="12"/>
        <v>7427574</v>
      </c>
    </row>
    <row r="35" spans="1:19" ht="23.25" thickBot="1">
      <c r="A35" s="257">
        <v>10</v>
      </c>
      <c r="B35" s="265" t="s">
        <v>200</v>
      </c>
      <c r="C35" s="250" t="s">
        <v>205</v>
      </c>
      <c r="D35" s="250">
        <v>44</v>
      </c>
      <c r="F35" s="259">
        <v>1</v>
      </c>
      <c r="G35" s="259">
        <f t="shared" si="13"/>
        <v>0</v>
      </c>
      <c r="H35" s="266">
        <f t="shared" si="14"/>
        <v>1</v>
      </c>
      <c r="J35" s="532">
        <f t="shared" si="15"/>
        <v>1.1165866221201364</v>
      </c>
      <c r="K35" s="533"/>
      <c r="M35" s="267">
        <f t="shared" si="16"/>
        <v>1</v>
      </c>
      <c r="N35" s="266">
        <f t="shared" si="17"/>
        <v>0</v>
      </c>
      <c r="O35" s="268">
        <f t="shared" si="18"/>
        <v>1</v>
      </c>
      <c r="P35" s="269">
        <f t="shared" si="19"/>
        <v>44</v>
      </c>
      <c r="Q35" s="263">
        <f t="shared" si="20"/>
        <v>1056</v>
      </c>
      <c r="R35" s="264">
        <v>15728702</v>
      </c>
      <c r="S35" s="263">
        <f t="shared" si="12"/>
        <v>7864879</v>
      </c>
    </row>
    <row r="36" spans="1:19" ht="102" thickBot="1">
      <c r="A36" s="257">
        <v>11</v>
      </c>
      <c r="B36" s="282" t="s">
        <v>206</v>
      </c>
      <c r="C36" s="250" t="s">
        <v>205</v>
      </c>
      <c r="D36" s="250">
        <v>1</v>
      </c>
      <c r="F36" s="259">
        <v>1</v>
      </c>
      <c r="G36" s="259">
        <f t="shared" si="13"/>
        <v>0</v>
      </c>
      <c r="H36" s="266">
        <f t="shared" si="14"/>
        <v>1</v>
      </c>
      <c r="J36" s="532">
        <f t="shared" si="15"/>
        <v>1.1165866221201364</v>
      </c>
      <c r="K36" s="533"/>
      <c r="M36" s="267">
        <f t="shared" si="16"/>
        <v>1</v>
      </c>
      <c r="N36" s="266">
        <f t="shared" si="17"/>
        <v>0</v>
      </c>
      <c r="O36" s="268">
        <f t="shared" si="18"/>
        <v>1</v>
      </c>
      <c r="P36" s="269">
        <f t="shared" si="19"/>
        <v>1</v>
      </c>
      <c r="Q36" s="263">
        <f t="shared" si="20"/>
        <v>24</v>
      </c>
      <c r="R36" s="264">
        <v>631531</v>
      </c>
      <c r="S36" s="263">
        <f t="shared" si="12"/>
        <v>315777.5</v>
      </c>
    </row>
    <row r="37" spans="1:19" ht="23.25" thickBot="1">
      <c r="A37" s="257">
        <v>12</v>
      </c>
      <c r="B37" s="283" t="s">
        <v>209</v>
      </c>
      <c r="C37" s="250" t="s">
        <v>205</v>
      </c>
      <c r="D37" s="250">
        <v>1</v>
      </c>
      <c r="F37" s="259">
        <v>1</v>
      </c>
      <c r="G37" s="259">
        <f t="shared" si="13"/>
        <v>0</v>
      </c>
      <c r="H37" s="266">
        <f t="shared" si="14"/>
        <v>1</v>
      </c>
      <c r="J37" s="532">
        <f t="shared" si="15"/>
        <v>1.1165866221201364</v>
      </c>
      <c r="K37" s="533"/>
      <c r="M37" s="267">
        <f t="shared" si="16"/>
        <v>1</v>
      </c>
      <c r="N37" s="266">
        <f t="shared" si="17"/>
        <v>0</v>
      </c>
      <c r="O37" s="268">
        <f t="shared" si="18"/>
        <v>1</v>
      </c>
      <c r="P37" s="269">
        <f t="shared" si="19"/>
        <v>1</v>
      </c>
      <c r="Q37" s="263">
        <f>P37*24</f>
        <v>24</v>
      </c>
      <c r="R37" s="264" t="s">
        <v>210</v>
      </c>
      <c r="S37" s="263">
        <f>Q37</f>
        <v>24</v>
      </c>
    </row>
    <row r="38" spans="1:19" ht="158.25" thickBot="1">
      <c r="A38" s="257">
        <v>13</v>
      </c>
      <c r="B38" s="284" t="s">
        <v>211</v>
      </c>
      <c r="C38" s="285" t="s">
        <v>205</v>
      </c>
      <c r="D38" s="285">
        <v>12</v>
      </c>
      <c r="F38" s="286">
        <v>1</v>
      </c>
      <c r="G38" s="259">
        <f>ROUND(F38*19%,0)</f>
        <v>0</v>
      </c>
      <c r="H38" s="266">
        <f t="shared" si="14"/>
        <v>1</v>
      </c>
      <c r="J38" s="532">
        <f t="shared" si="15"/>
        <v>1.1165866221201364</v>
      </c>
      <c r="K38" s="533"/>
      <c r="M38" s="267">
        <f t="shared" si="16"/>
        <v>1</v>
      </c>
      <c r="N38" s="266">
        <f t="shared" si="17"/>
        <v>0</v>
      </c>
      <c r="O38" s="268">
        <f t="shared" si="18"/>
        <v>1</v>
      </c>
      <c r="P38" s="269">
        <f t="shared" si="19"/>
        <v>12</v>
      </c>
      <c r="Q38" s="274">
        <f>P38*24</f>
        <v>288</v>
      </c>
      <c r="R38" s="275">
        <v>3193415</v>
      </c>
      <c r="S38" s="274">
        <f t="shared" si="12"/>
        <v>1596851.5</v>
      </c>
    </row>
    <row r="39" spans="1:19" ht="12" thickBot="1">
      <c r="A39" s="279"/>
      <c r="B39" s="552" t="s">
        <v>212</v>
      </c>
      <c r="C39" s="553"/>
      <c r="D39" s="553"/>
      <c r="E39" s="553"/>
      <c r="F39" s="553"/>
      <c r="G39" s="553"/>
      <c r="H39" s="553"/>
      <c r="I39" s="553"/>
      <c r="J39" s="553"/>
      <c r="K39" s="553"/>
      <c r="L39" s="553"/>
      <c r="M39" s="553"/>
      <c r="N39" s="553"/>
      <c r="O39" s="553"/>
      <c r="P39" s="554"/>
      <c r="Q39" s="287">
        <f>SUM(Q26:Q38)</f>
        <v>5064</v>
      </c>
      <c r="R39" s="288">
        <f>SUM(R26:R38)</f>
        <v>63697066</v>
      </c>
      <c r="S39" s="289">
        <f>SUM(S26:S38)</f>
        <v>31851077</v>
      </c>
    </row>
    <row r="40" spans="1:19" ht="12" thickBot="1">
      <c r="A40" s="279"/>
      <c r="B40" s="555" t="s">
        <v>213</v>
      </c>
      <c r="C40" s="556"/>
      <c r="D40" s="556"/>
      <c r="E40" s="556"/>
      <c r="F40" s="556"/>
      <c r="G40" s="556"/>
      <c r="H40" s="556"/>
      <c r="I40" s="556"/>
      <c r="J40" s="556"/>
      <c r="K40" s="556"/>
      <c r="L40" s="556"/>
      <c r="M40" s="556"/>
      <c r="N40" s="556"/>
      <c r="O40" s="556"/>
      <c r="P40" s="556"/>
      <c r="S40" s="290"/>
    </row>
    <row r="41" spans="1:19" ht="45.75" thickBot="1">
      <c r="A41" s="257">
        <v>1</v>
      </c>
      <c r="B41" s="258" t="s">
        <v>188</v>
      </c>
      <c r="C41" s="250" t="s">
        <v>205</v>
      </c>
      <c r="D41" s="250">
        <v>9</v>
      </c>
      <c r="F41" s="259">
        <v>1</v>
      </c>
      <c r="G41" s="259">
        <f>ROUND(F41*19%,0)</f>
        <v>0</v>
      </c>
      <c r="H41" s="266">
        <f>ROUND(F41+G41,0)</f>
        <v>1</v>
      </c>
      <c r="J41" s="532">
        <f>+($K$5/$J$5)*F41</f>
        <v>1.1165866221201364</v>
      </c>
      <c r="K41" s="533"/>
      <c r="L41" s="281"/>
      <c r="M41" s="267">
        <f>+ROUND(J41,0)</f>
        <v>1</v>
      </c>
      <c r="N41" s="266">
        <f>ROUND(M41*19%,0)</f>
        <v>0</v>
      </c>
      <c r="O41" s="268">
        <f>ROUND(N41+M41,0)</f>
        <v>1</v>
      </c>
      <c r="P41" s="268">
        <f>O41*D41</f>
        <v>9</v>
      </c>
      <c r="Q41" s="269">
        <f>P41*24</f>
        <v>216</v>
      </c>
      <c r="R41" s="263">
        <v>1359818</v>
      </c>
      <c r="S41" s="264">
        <f t="shared" ref="S41:S51" si="21">(Q41+R41)/2</f>
        <v>680017</v>
      </c>
    </row>
    <row r="42" spans="1:19" ht="135.75" thickBot="1">
      <c r="A42" s="257">
        <v>2</v>
      </c>
      <c r="B42" s="265" t="s">
        <v>190</v>
      </c>
      <c r="C42" s="250" t="s">
        <v>205</v>
      </c>
      <c r="D42" s="250">
        <v>38</v>
      </c>
      <c r="F42" s="259">
        <v>1</v>
      </c>
      <c r="G42" s="259">
        <f t="shared" ref="G42:G46" si="22">ROUND(F42*19%,0)</f>
        <v>0</v>
      </c>
      <c r="H42" s="266">
        <f t="shared" ref="H42:H51" si="23">ROUND(F42+G42,0)</f>
        <v>1</v>
      </c>
      <c r="J42" s="532">
        <f t="shared" ref="J42:J51" si="24">+($K$5/$J$5)*F42</f>
        <v>1.1165866221201364</v>
      </c>
      <c r="K42" s="533"/>
      <c r="M42" s="267">
        <f t="shared" ref="M42:M51" si="25">+ROUND(J42,0)</f>
        <v>1</v>
      </c>
      <c r="N42" s="266">
        <f t="shared" ref="N42:N51" si="26">ROUND(M42*19%,0)</f>
        <v>0</v>
      </c>
      <c r="O42" s="268">
        <f t="shared" ref="O42:O51" si="27">ROUND(N42+M42,0)</f>
        <v>1</v>
      </c>
      <c r="P42" s="268">
        <f t="shared" ref="P42:P51" si="28">O42*D42</f>
        <v>38</v>
      </c>
      <c r="Q42" s="269">
        <f>P42*24</f>
        <v>912</v>
      </c>
      <c r="R42" s="263">
        <v>2852614</v>
      </c>
      <c r="S42" s="264">
        <f t="shared" si="21"/>
        <v>1426763</v>
      </c>
    </row>
    <row r="43" spans="1:19" ht="147" thickBot="1">
      <c r="A43" s="257">
        <v>3</v>
      </c>
      <c r="B43" s="265" t="s">
        <v>192</v>
      </c>
      <c r="C43" s="250" t="s">
        <v>205</v>
      </c>
      <c r="D43" s="250">
        <v>9</v>
      </c>
      <c r="F43" s="259">
        <v>1</v>
      </c>
      <c r="G43" s="259">
        <f t="shared" si="22"/>
        <v>0</v>
      </c>
      <c r="H43" s="266">
        <f t="shared" si="23"/>
        <v>1</v>
      </c>
      <c r="J43" s="532">
        <f t="shared" si="24"/>
        <v>1.1165866221201364</v>
      </c>
      <c r="K43" s="533"/>
      <c r="M43" s="267">
        <f t="shared" si="25"/>
        <v>1</v>
      </c>
      <c r="N43" s="266">
        <f t="shared" si="26"/>
        <v>0</v>
      </c>
      <c r="O43" s="268">
        <f t="shared" si="27"/>
        <v>1</v>
      </c>
      <c r="P43" s="268">
        <f t="shared" si="28"/>
        <v>9</v>
      </c>
      <c r="Q43" s="269">
        <f t="shared" si="20"/>
        <v>216</v>
      </c>
      <c r="R43" s="263">
        <v>5683780</v>
      </c>
      <c r="S43" s="264">
        <f t="shared" si="21"/>
        <v>2841998</v>
      </c>
    </row>
    <row r="44" spans="1:19" ht="225.75" thickBot="1">
      <c r="A44" s="257">
        <v>4</v>
      </c>
      <c r="B44" s="258" t="s">
        <v>194</v>
      </c>
      <c r="C44" s="250" t="s">
        <v>205</v>
      </c>
      <c r="D44" s="250">
        <v>9</v>
      </c>
      <c r="F44" s="259">
        <v>1</v>
      </c>
      <c r="G44" s="259">
        <f t="shared" si="22"/>
        <v>0</v>
      </c>
      <c r="H44" s="266">
        <f t="shared" si="23"/>
        <v>1</v>
      </c>
      <c r="J44" s="532">
        <f t="shared" si="24"/>
        <v>1.1165866221201364</v>
      </c>
      <c r="K44" s="533"/>
      <c r="M44" s="267">
        <f t="shared" si="25"/>
        <v>1</v>
      </c>
      <c r="N44" s="266">
        <f t="shared" si="26"/>
        <v>0</v>
      </c>
      <c r="O44" s="268">
        <f t="shared" si="27"/>
        <v>1</v>
      </c>
      <c r="P44" s="268">
        <f t="shared" si="28"/>
        <v>9</v>
      </c>
      <c r="Q44" s="269">
        <f t="shared" si="20"/>
        <v>216</v>
      </c>
      <c r="R44" s="263">
        <v>836481</v>
      </c>
      <c r="S44" s="264">
        <f t="shared" si="21"/>
        <v>418348.5</v>
      </c>
    </row>
    <row r="45" spans="1:19" ht="113.25" thickBot="1">
      <c r="A45" s="257">
        <v>5</v>
      </c>
      <c r="B45" s="258" t="s">
        <v>195</v>
      </c>
      <c r="C45" s="250" t="s">
        <v>205</v>
      </c>
      <c r="D45" s="250">
        <v>2</v>
      </c>
      <c r="F45" s="259">
        <v>1</v>
      </c>
      <c r="G45" s="259">
        <f t="shared" si="22"/>
        <v>0</v>
      </c>
      <c r="H45" s="266">
        <f t="shared" si="23"/>
        <v>1</v>
      </c>
      <c r="J45" s="532">
        <f t="shared" si="24"/>
        <v>1.1165866221201364</v>
      </c>
      <c r="K45" s="533"/>
      <c r="M45" s="267">
        <f t="shared" si="25"/>
        <v>1</v>
      </c>
      <c r="N45" s="266">
        <f t="shared" si="26"/>
        <v>0</v>
      </c>
      <c r="O45" s="268">
        <f t="shared" si="27"/>
        <v>1</v>
      </c>
      <c r="P45" s="268">
        <f t="shared" si="28"/>
        <v>2</v>
      </c>
      <c r="Q45" s="269">
        <f t="shared" si="20"/>
        <v>48</v>
      </c>
      <c r="R45" s="263">
        <v>1039914</v>
      </c>
      <c r="S45" s="264">
        <f t="shared" si="21"/>
        <v>519981</v>
      </c>
    </row>
    <row r="46" spans="1:19" ht="169.5" thickBot="1">
      <c r="A46" s="257">
        <v>6</v>
      </c>
      <c r="B46" s="265" t="s">
        <v>196</v>
      </c>
      <c r="C46" s="250" t="s">
        <v>205</v>
      </c>
      <c r="D46" s="250">
        <v>1</v>
      </c>
      <c r="F46" s="259">
        <v>1</v>
      </c>
      <c r="G46" s="259">
        <f t="shared" si="22"/>
        <v>0</v>
      </c>
      <c r="H46" s="266">
        <f t="shared" si="23"/>
        <v>1</v>
      </c>
      <c r="J46" s="532">
        <f t="shared" si="24"/>
        <v>1.1165866221201364</v>
      </c>
      <c r="K46" s="533"/>
      <c r="M46" s="267">
        <f t="shared" si="25"/>
        <v>1</v>
      </c>
      <c r="N46" s="266">
        <f t="shared" si="26"/>
        <v>0</v>
      </c>
      <c r="O46" s="268">
        <f t="shared" si="27"/>
        <v>1</v>
      </c>
      <c r="P46" s="268">
        <f t="shared" si="28"/>
        <v>1</v>
      </c>
      <c r="Q46" s="269">
        <f t="shared" si="20"/>
        <v>24</v>
      </c>
      <c r="R46" s="263">
        <v>571953</v>
      </c>
      <c r="S46" s="264">
        <f t="shared" si="21"/>
        <v>285988.5</v>
      </c>
    </row>
    <row r="47" spans="1:19" ht="90.75" thickBot="1">
      <c r="A47" s="257">
        <v>7</v>
      </c>
      <c r="B47" s="265" t="s">
        <v>197</v>
      </c>
      <c r="C47" s="250" t="s">
        <v>205</v>
      </c>
      <c r="D47" s="250">
        <v>9</v>
      </c>
      <c r="F47" s="270">
        <v>1</v>
      </c>
      <c r="G47" s="259">
        <f>ROUND(F47*19%,0)</f>
        <v>0</v>
      </c>
      <c r="H47" s="266">
        <f t="shared" si="23"/>
        <v>1</v>
      </c>
      <c r="J47" s="532">
        <f t="shared" si="24"/>
        <v>1.1165866221201364</v>
      </c>
      <c r="K47" s="533"/>
      <c r="M47" s="267">
        <f t="shared" si="25"/>
        <v>1</v>
      </c>
      <c r="N47" s="266">
        <f t="shared" si="26"/>
        <v>0</v>
      </c>
      <c r="O47" s="268">
        <f t="shared" si="27"/>
        <v>1</v>
      </c>
      <c r="P47" s="268">
        <f t="shared" si="28"/>
        <v>9</v>
      </c>
      <c r="Q47" s="269">
        <f t="shared" si="20"/>
        <v>216</v>
      </c>
      <c r="R47" s="263">
        <v>2573787</v>
      </c>
      <c r="S47" s="264">
        <f t="shared" si="21"/>
        <v>1287001.5</v>
      </c>
    </row>
    <row r="48" spans="1:19" ht="147" thickBot="1">
      <c r="A48" s="257">
        <v>8</v>
      </c>
      <c r="B48" s="265" t="s">
        <v>198</v>
      </c>
      <c r="C48" s="250" t="s">
        <v>205</v>
      </c>
      <c r="D48" s="250">
        <v>9</v>
      </c>
      <c r="F48" s="259">
        <v>1</v>
      </c>
      <c r="G48" s="259">
        <f t="shared" ref="G48:G51" si="29">ROUND(F48*19%,0)</f>
        <v>0</v>
      </c>
      <c r="H48" s="266">
        <f t="shared" si="23"/>
        <v>1</v>
      </c>
      <c r="J48" s="532">
        <f t="shared" si="24"/>
        <v>1.1165866221201364</v>
      </c>
      <c r="K48" s="533"/>
      <c r="M48" s="267">
        <f t="shared" si="25"/>
        <v>1</v>
      </c>
      <c r="N48" s="266">
        <f t="shared" si="26"/>
        <v>0</v>
      </c>
      <c r="O48" s="268">
        <f t="shared" si="27"/>
        <v>1</v>
      </c>
      <c r="P48" s="268">
        <f t="shared" si="28"/>
        <v>9</v>
      </c>
      <c r="Q48" s="269">
        <f t="shared" si="20"/>
        <v>216</v>
      </c>
      <c r="R48" s="263">
        <v>4289646</v>
      </c>
      <c r="S48" s="264">
        <f t="shared" si="21"/>
        <v>2144931</v>
      </c>
    </row>
    <row r="49" spans="1:19" ht="90.75" thickBot="1">
      <c r="A49" s="257">
        <v>9</v>
      </c>
      <c r="B49" s="265" t="s">
        <v>199</v>
      </c>
      <c r="C49" s="250" t="s">
        <v>205</v>
      </c>
      <c r="D49" s="250">
        <v>9</v>
      </c>
      <c r="F49" s="259">
        <v>1</v>
      </c>
      <c r="G49" s="259">
        <f t="shared" si="29"/>
        <v>0</v>
      </c>
      <c r="H49" s="266">
        <f t="shared" si="23"/>
        <v>1</v>
      </c>
      <c r="J49" s="532">
        <f t="shared" si="24"/>
        <v>1.1165866221201364</v>
      </c>
      <c r="K49" s="533"/>
      <c r="M49" s="267">
        <f t="shared" si="25"/>
        <v>1</v>
      </c>
      <c r="N49" s="266">
        <f t="shared" si="26"/>
        <v>0</v>
      </c>
      <c r="O49" s="268">
        <f t="shared" si="27"/>
        <v>1</v>
      </c>
      <c r="P49" s="268">
        <f t="shared" si="28"/>
        <v>9</v>
      </c>
      <c r="Q49" s="269">
        <f t="shared" si="20"/>
        <v>216</v>
      </c>
      <c r="R49" s="263">
        <v>2573787</v>
      </c>
      <c r="S49" s="264">
        <f t="shared" si="21"/>
        <v>1287001.5</v>
      </c>
    </row>
    <row r="50" spans="1:19" ht="23.25" thickBot="1">
      <c r="A50" s="257">
        <v>10</v>
      </c>
      <c r="B50" s="265" t="s">
        <v>200</v>
      </c>
      <c r="C50" s="250" t="s">
        <v>205</v>
      </c>
      <c r="D50" s="250">
        <v>36</v>
      </c>
      <c r="F50" s="259">
        <v>1</v>
      </c>
      <c r="G50" s="259">
        <f t="shared" si="29"/>
        <v>0</v>
      </c>
      <c r="H50" s="266">
        <f t="shared" si="23"/>
        <v>1</v>
      </c>
      <c r="J50" s="532">
        <f t="shared" si="24"/>
        <v>1.1165866221201364</v>
      </c>
      <c r="K50" s="533"/>
      <c r="M50" s="267">
        <f t="shared" si="25"/>
        <v>1</v>
      </c>
      <c r="N50" s="266">
        <f t="shared" si="26"/>
        <v>0</v>
      </c>
      <c r="O50" s="268">
        <f t="shared" si="27"/>
        <v>1</v>
      </c>
      <c r="P50" s="268">
        <f t="shared" si="28"/>
        <v>36</v>
      </c>
      <c r="Q50" s="269">
        <f t="shared" si="20"/>
        <v>864</v>
      </c>
      <c r="R50" s="263">
        <v>12153996</v>
      </c>
      <c r="S50" s="264">
        <f t="shared" si="21"/>
        <v>6077430</v>
      </c>
    </row>
    <row r="51" spans="1:19" ht="102" thickBot="1">
      <c r="A51" s="257">
        <v>11</v>
      </c>
      <c r="B51" s="282" t="s">
        <v>206</v>
      </c>
      <c r="C51" s="250" t="s">
        <v>205</v>
      </c>
      <c r="D51" s="250">
        <v>9</v>
      </c>
      <c r="F51" s="259">
        <v>1</v>
      </c>
      <c r="G51" s="259">
        <f t="shared" si="29"/>
        <v>0</v>
      </c>
      <c r="H51" s="266">
        <f t="shared" si="23"/>
        <v>1</v>
      </c>
      <c r="J51" s="532">
        <f t="shared" si="24"/>
        <v>1.1165866221201364</v>
      </c>
      <c r="K51" s="533"/>
      <c r="M51" s="267">
        <f t="shared" si="25"/>
        <v>1</v>
      </c>
      <c r="N51" s="266">
        <f t="shared" si="26"/>
        <v>0</v>
      </c>
      <c r="O51" s="268">
        <f t="shared" si="27"/>
        <v>1</v>
      </c>
      <c r="P51" s="268">
        <f t="shared" si="28"/>
        <v>9</v>
      </c>
      <c r="Q51" s="291">
        <f t="shared" si="20"/>
        <v>216</v>
      </c>
      <c r="R51" s="274">
        <v>2681029</v>
      </c>
      <c r="S51" s="275">
        <f t="shared" si="21"/>
        <v>1340622.5</v>
      </c>
    </row>
    <row r="52" spans="1:19" ht="12" thickBot="1">
      <c r="A52" s="257"/>
      <c r="B52" s="546" t="s">
        <v>214</v>
      </c>
      <c r="C52" s="547"/>
      <c r="D52" s="547"/>
      <c r="E52" s="547"/>
      <c r="F52" s="547"/>
      <c r="G52" s="547"/>
      <c r="H52" s="547"/>
      <c r="I52" s="547"/>
      <c r="J52" s="547"/>
      <c r="K52" s="547"/>
      <c r="L52" s="547"/>
      <c r="M52" s="547"/>
      <c r="N52" s="547"/>
      <c r="O52" s="547"/>
      <c r="P52" s="548"/>
      <c r="Q52" s="287">
        <f>SUM(Q41:Q51)</f>
        <v>3360</v>
      </c>
      <c r="R52" s="288">
        <f>SUM(R41:R51)</f>
        <v>36616805</v>
      </c>
      <c r="S52" s="289">
        <f>SUM(S41:S51)</f>
        <v>18310082.5</v>
      </c>
    </row>
    <row r="53" spans="1:19" ht="12" thickBot="1">
      <c r="A53" s="292"/>
      <c r="B53" s="549" t="s">
        <v>215</v>
      </c>
      <c r="C53" s="550"/>
      <c r="D53" s="550"/>
      <c r="E53" s="550"/>
      <c r="F53" s="550"/>
      <c r="G53" s="550"/>
      <c r="H53" s="550"/>
      <c r="I53" s="550"/>
      <c r="J53" s="550"/>
      <c r="K53" s="550"/>
      <c r="L53" s="550"/>
      <c r="M53" s="550"/>
      <c r="N53" s="550"/>
      <c r="O53" s="550"/>
      <c r="P53" s="551"/>
    </row>
    <row r="54" spans="1:19" ht="45.75" thickBot="1">
      <c r="A54" s="257">
        <v>1</v>
      </c>
      <c r="B54" s="258" t="s">
        <v>188</v>
      </c>
      <c r="C54" s="250" t="s">
        <v>205</v>
      </c>
      <c r="D54" s="250">
        <v>21</v>
      </c>
      <c r="F54" s="259">
        <v>1</v>
      </c>
      <c r="G54" s="259">
        <f>ROUND(F54*19%,0)</f>
        <v>0</v>
      </c>
      <c r="H54" s="266">
        <f>ROUND(F54+G54,0)</f>
        <v>1</v>
      </c>
      <c r="J54" s="532">
        <f>+($K$5/$J$5)*F54</f>
        <v>1.1165866221201364</v>
      </c>
      <c r="K54" s="533"/>
      <c r="M54" s="267">
        <f>+ROUND(J54,0)</f>
        <v>1</v>
      </c>
      <c r="N54" s="266">
        <f>ROUND(M54*19%,0)</f>
        <v>0</v>
      </c>
      <c r="O54" s="268">
        <f>ROUND(N54+M54,0)</f>
        <v>1</v>
      </c>
      <c r="P54" s="268">
        <f>O54*D54</f>
        <v>21</v>
      </c>
      <c r="Q54" s="269">
        <f>P54*24</f>
        <v>504</v>
      </c>
      <c r="R54" s="263">
        <v>3172907</v>
      </c>
      <c r="S54" s="264">
        <f t="shared" ref="S54:S69" si="30">(Q54+R54)/2</f>
        <v>1586705.5</v>
      </c>
    </row>
    <row r="55" spans="1:19" ht="135.75" thickBot="1">
      <c r="A55" s="257">
        <v>2</v>
      </c>
      <c r="B55" s="265" t="s">
        <v>190</v>
      </c>
      <c r="C55" s="250" t="s">
        <v>205</v>
      </c>
      <c r="D55" s="250">
        <v>259</v>
      </c>
      <c r="F55" s="259">
        <v>1</v>
      </c>
      <c r="G55" s="259">
        <f t="shared" ref="G55:G69" si="31">ROUND(F55*19%,0)</f>
        <v>0</v>
      </c>
      <c r="H55" s="266">
        <f t="shared" ref="H55:H69" si="32">ROUND(F55+G55,0)</f>
        <v>1</v>
      </c>
      <c r="J55" s="532">
        <f t="shared" ref="J55:J68" si="33">+($K$5/$J$5)*F55</f>
        <v>1.1165866221201364</v>
      </c>
      <c r="K55" s="533"/>
      <c r="M55" s="267">
        <f t="shared" ref="M55:M65" si="34">+ROUND(J55,0)</f>
        <v>1</v>
      </c>
      <c r="N55" s="266">
        <f t="shared" ref="N55:N65" si="35">ROUND(M55*19%,0)</f>
        <v>0</v>
      </c>
      <c r="O55" s="268">
        <f t="shared" ref="O55:O64" si="36">ROUND(N55+M55,0)</f>
        <v>1</v>
      </c>
      <c r="P55" s="268">
        <f t="shared" ref="P55:P65" si="37">O55*D55</f>
        <v>259</v>
      </c>
      <c r="Q55" s="269">
        <f>P55*24</f>
        <v>6216</v>
      </c>
      <c r="R55" s="263">
        <v>19442819</v>
      </c>
      <c r="S55" s="264">
        <f t="shared" si="30"/>
        <v>9724517.5</v>
      </c>
    </row>
    <row r="56" spans="1:19" ht="113.25" thickBot="1">
      <c r="A56" s="257">
        <v>3</v>
      </c>
      <c r="B56" s="265" t="s">
        <v>191</v>
      </c>
      <c r="C56" s="250" t="s">
        <v>205</v>
      </c>
      <c r="D56" s="250">
        <v>9</v>
      </c>
      <c r="F56" s="259">
        <v>1</v>
      </c>
      <c r="G56" s="259">
        <f t="shared" si="31"/>
        <v>0</v>
      </c>
      <c r="H56" s="266">
        <f t="shared" si="32"/>
        <v>1</v>
      </c>
      <c r="J56" s="532">
        <f t="shared" si="33"/>
        <v>1.1165866221201364</v>
      </c>
      <c r="K56" s="533"/>
      <c r="M56" s="267">
        <f t="shared" si="34"/>
        <v>1</v>
      </c>
      <c r="N56" s="266">
        <f t="shared" si="35"/>
        <v>0</v>
      </c>
      <c r="O56" s="268">
        <f t="shared" si="36"/>
        <v>1</v>
      </c>
      <c r="P56" s="268">
        <f t="shared" si="37"/>
        <v>9</v>
      </c>
      <c r="Q56" s="269">
        <f>P56*24</f>
        <v>216</v>
      </c>
      <c r="R56" s="263">
        <v>675619</v>
      </c>
      <c r="S56" s="264">
        <f t="shared" si="30"/>
        <v>337917.5</v>
      </c>
    </row>
    <row r="57" spans="1:19" ht="147" thickBot="1">
      <c r="A57" s="257">
        <v>4</v>
      </c>
      <c r="B57" s="265" t="s">
        <v>192</v>
      </c>
      <c r="C57" s="250" t="s">
        <v>205</v>
      </c>
      <c r="D57" s="250">
        <v>20</v>
      </c>
      <c r="F57" s="259">
        <v>1</v>
      </c>
      <c r="G57" s="259">
        <f t="shared" si="31"/>
        <v>0</v>
      </c>
      <c r="H57" s="266">
        <f t="shared" si="32"/>
        <v>1</v>
      </c>
      <c r="J57" s="532">
        <f t="shared" si="33"/>
        <v>1.1165866221201364</v>
      </c>
      <c r="K57" s="533"/>
      <c r="M57" s="267">
        <f t="shared" si="34"/>
        <v>1</v>
      </c>
      <c r="N57" s="266">
        <f t="shared" si="35"/>
        <v>0</v>
      </c>
      <c r="O57" s="268">
        <f t="shared" si="36"/>
        <v>1</v>
      </c>
      <c r="P57" s="268">
        <f t="shared" si="37"/>
        <v>20</v>
      </c>
      <c r="Q57" s="269">
        <f>P57*24</f>
        <v>480</v>
      </c>
      <c r="R57" s="263">
        <v>12630624</v>
      </c>
      <c r="S57" s="264">
        <f t="shared" si="30"/>
        <v>6315552</v>
      </c>
    </row>
    <row r="58" spans="1:19" ht="34.5" thickBot="1">
      <c r="A58" s="257">
        <v>5</v>
      </c>
      <c r="B58" s="258" t="s">
        <v>193</v>
      </c>
      <c r="C58" s="250" t="s">
        <v>205</v>
      </c>
      <c r="D58" s="250">
        <v>2</v>
      </c>
      <c r="F58" s="259">
        <v>1</v>
      </c>
      <c r="G58" s="259">
        <f t="shared" si="31"/>
        <v>0</v>
      </c>
      <c r="H58" s="266">
        <f t="shared" si="32"/>
        <v>1</v>
      </c>
      <c r="J58" s="532">
        <f t="shared" si="33"/>
        <v>1.1165866221201364</v>
      </c>
      <c r="K58" s="533"/>
      <c r="M58" s="267">
        <f t="shared" si="34"/>
        <v>1</v>
      </c>
      <c r="N58" s="266">
        <f t="shared" si="35"/>
        <v>0</v>
      </c>
      <c r="O58" s="268">
        <f t="shared" si="36"/>
        <v>1</v>
      </c>
      <c r="P58" s="268">
        <f t="shared" si="37"/>
        <v>2</v>
      </c>
      <c r="Q58" s="269">
        <f>P58*24</f>
        <v>48</v>
      </c>
      <c r="R58" s="263">
        <v>150138</v>
      </c>
      <c r="S58" s="264">
        <f t="shared" si="30"/>
        <v>75093</v>
      </c>
    </row>
    <row r="59" spans="1:19" ht="225.75" thickBot="1">
      <c r="A59" s="257">
        <v>6</v>
      </c>
      <c r="B59" s="258" t="s">
        <v>194</v>
      </c>
      <c r="C59" s="250" t="s">
        <v>205</v>
      </c>
      <c r="D59" s="250">
        <v>4</v>
      </c>
      <c r="F59" s="259">
        <v>1</v>
      </c>
      <c r="G59" s="259">
        <f t="shared" si="31"/>
        <v>0</v>
      </c>
      <c r="H59" s="266">
        <f t="shared" si="32"/>
        <v>1</v>
      </c>
      <c r="J59" s="532">
        <f t="shared" si="33"/>
        <v>1.1165866221201364</v>
      </c>
      <c r="K59" s="533"/>
      <c r="M59" s="267">
        <f t="shared" si="34"/>
        <v>1</v>
      </c>
      <c r="N59" s="266">
        <f t="shared" si="35"/>
        <v>0</v>
      </c>
      <c r="O59" s="268">
        <f t="shared" si="36"/>
        <v>1</v>
      </c>
      <c r="P59" s="268">
        <f t="shared" si="37"/>
        <v>4</v>
      </c>
      <c r="Q59" s="269">
        <f t="shared" ref="Q59:Q65" si="38">P59*24</f>
        <v>96</v>
      </c>
      <c r="R59" s="263">
        <v>371769</v>
      </c>
      <c r="S59" s="264">
        <f t="shared" si="30"/>
        <v>185932.5</v>
      </c>
    </row>
    <row r="60" spans="1:19" ht="113.25" thickBot="1">
      <c r="A60" s="257">
        <v>7</v>
      </c>
      <c r="B60" s="258" t="s">
        <v>195</v>
      </c>
      <c r="C60" s="250" t="s">
        <v>205</v>
      </c>
      <c r="D60" s="250">
        <v>13</v>
      </c>
      <c r="F60" s="270">
        <v>1</v>
      </c>
      <c r="G60" s="259">
        <f t="shared" si="31"/>
        <v>0</v>
      </c>
      <c r="H60" s="266">
        <f t="shared" si="32"/>
        <v>1</v>
      </c>
      <c r="J60" s="532">
        <f t="shared" si="33"/>
        <v>1.1165866221201364</v>
      </c>
      <c r="K60" s="533"/>
      <c r="M60" s="267">
        <f t="shared" si="34"/>
        <v>1</v>
      </c>
      <c r="N60" s="266">
        <f t="shared" si="35"/>
        <v>0</v>
      </c>
      <c r="O60" s="268">
        <f t="shared" si="36"/>
        <v>1</v>
      </c>
      <c r="P60" s="268">
        <f t="shared" si="37"/>
        <v>13</v>
      </c>
      <c r="Q60" s="269">
        <f t="shared" si="38"/>
        <v>312</v>
      </c>
      <c r="R60" s="263">
        <v>6759441</v>
      </c>
      <c r="S60" s="264">
        <f t="shared" si="30"/>
        <v>3379876.5</v>
      </c>
    </row>
    <row r="61" spans="1:19" ht="169.5" thickBot="1">
      <c r="A61" s="257">
        <v>8</v>
      </c>
      <c r="B61" s="265" t="s">
        <v>196</v>
      </c>
      <c r="C61" s="250" t="s">
        <v>205</v>
      </c>
      <c r="D61" s="250">
        <v>2</v>
      </c>
      <c r="F61" s="259">
        <v>1</v>
      </c>
      <c r="G61" s="259">
        <f t="shared" si="31"/>
        <v>0</v>
      </c>
      <c r="H61" s="266">
        <f t="shared" si="32"/>
        <v>1</v>
      </c>
      <c r="J61" s="532">
        <f t="shared" si="33"/>
        <v>1.1165866221201364</v>
      </c>
      <c r="K61" s="533"/>
      <c r="M61" s="267">
        <f t="shared" si="34"/>
        <v>1</v>
      </c>
      <c r="N61" s="266">
        <f t="shared" si="35"/>
        <v>0</v>
      </c>
      <c r="O61" s="268">
        <f t="shared" si="36"/>
        <v>1</v>
      </c>
      <c r="P61" s="268">
        <f t="shared" si="37"/>
        <v>2</v>
      </c>
      <c r="Q61" s="269">
        <f t="shared" si="38"/>
        <v>48</v>
      </c>
      <c r="R61" s="263">
        <v>1143905</v>
      </c>
      <c r="S61" s="264">
        <f t="shared" si="30"/>
        <v>571976.5</v>
      </c>
    </row>
    <row r="62" spans="1:19" ht="147" thickBot="1">
      <c r="A62" s="257">
        <v>9</v>
      </c>
      <c r="B62" s="265" t="s">
        <v>198</v>
      </c>
      <c r="C62" s="250" t="s">
        <v>205</v>
      </c>
      <c r="D62" s="250">
        <v>17</v>
      </c>
      <c r="F62" s="259">
        <v>1</v>
      </c>
      <c r="G62" s="259">
        <f t="shared" si="31"/>
        <v>0</v>
      </c>
      <c r="H62" s="266">
        <f t="shared" si="32"/>
        <v>1</v>
      </c>
      <c r="J62" s="532">
        <f t="shared" si="33"/>
        <v>1.1165866221201364</v>
      </c>
      <c r="K62" s="533"/>
      <c r="M62" s="267">
        <f t="shared" si="34"/>
        <v>1</v>
      </c>
      <c r="N62" s="266">
        <f t="shared" si="35"/>
        <v>0</v>
      </c>
      <c r="O62" s="268">
        <f t="shared" si="36"/>
        <v>1</v>
      </c>
      <c r="P62" s="268">
        <f t="shared" si="37"/>
        <v>17</v>
      </c>
      <c r="Q62" s="269">
        <f t="shared" si="38"/>
        <v>408</v>
      </c>
      <c r="R62" s="263">
        <v>8102664</v>
      </c>
      <c r="S62" s="264">
        <f t="shared" si="30"/>
        <v>4051536</v>
      </c>
    </row>
    <row r="63" spans="1:19" ht="90.75" thickBot="1">
      <c r="A63" s="257">
        <v>10</v>
      </c>
      <c r="B63" s="265" t="s">
        <v>199</v>
      </c>
      <c r="C63" s="250" t="s">
        <v>205</v>
      </c>
      <c r="D63" s="250">
        <v>12</v>
      </c>
      <c r="F63" s="259">
        <v>1</v>
      </c>
      <c r="G63" s="259">
        <f t="shared" si="31"/>
        <v>0</v>
      </c>
      <c r="H63" s="266">
        <f t="shared" si="32"/>
        <v>1</v>
      </c>
      <c r="J63" s="532">
        <f t="shared" si="33"/>
        <v>1.1165866221201364</v>
      </c>
      <c r="K63" s="533"/>
      <c r="M63" s="267">
        <f t="shared" si="34"/>
        <v>1</v>
      </c>
      <c r="N63" s="266">
        <f t="shared" si="35"/>
        <v>0</v>
      </c>
      <c r="O63" s="268">
        <f t="shared" si="36"/>
        <v>1</v>
      </c>
      <c r="P63" s="268">
        <f t="shared" si="37"/>
        <v>12</v>
      </c>
      <c r="Q63" s="269">
        <f t="shared" si="38"/>
        <v>288</v>
      </c>
      <c r="R63" s="263">
        <v>3431716</v>
      </c>
      <c r="S63" s="264">
        <f t="shared" si="30"/>
        <v>1716002</v>
      </c>
    </row>
    <row r="64" spans="1:19" ht="23.25" thickBot="1">
      <c r="A64" s="257">
        <v>11</v>
      </c>
      <c r="B64" s="265" t="s">
        <v>200</v>
      </c>
      <c r="C64" s="250" t="s">
        <v>205</v>
      </c>
      <c r="D64" s="250">
        <v>24</v>
      </c>
      <c r="F64" s="259">
        <v>1</v>
      </c>
      <c r="G64" s="259">
        <f t="shared" si="31"/>
        <v>0</v>
      </c>
      <c r="H64" s="266">
        <f t="shared" si="32"/>
        <v>1</v>
      </c>
      <c r="J64" s="532">
        <f t="shared" si="33"/>
        <v>1.1165866221201364</v>
      </c>
      <c r="K64" s="533"/>
      <c r="M64" s="267">
        <f t="shared" si="34"/>
        <v>1</v>
      </c>
      <c r="N64" s="266">
        <f t="shared" si="35"/>
        <v>0</v>
      </c>
      <c r="O64" s="268">
        <f t="shared" si="36"/>
        <v>1</v>
      </c>
      <c r="P64" s="268">
        <f t="shared" si="37"/>
        <v>24</v>
      </c>
      <c r="Q64" s="269">
        <f t="shared" si="38"/>
        <v>576</v>
      </c>
      <c r="R64" s="263">
        <v>8102664</v>
      </c>
      <c r="S64" s="264">
        <f t="shared" si="30"/>
        <v>4051620</v>
      </c>
    </row>
    <row r="65" spans="1:19" ht="192" thickBot="1">
      <c r="A65" s="257">
        <v>12</v>
      </c>
      <c r="B65" s="265" t="s">
        <v>216</v>
      </c>
      <c r="C65" s="250" t="s">
        <v>205</v>
      </c>
      <c r="D65" s="250">
        <v>2</v>
      </c>
      <c r="F65" s="271"/>
      <c r="G65" s="259">
        <f t="shared" si="31"/>
        <v>0</v>
      </c>
      <c r="H65" s="266">
        <f t="shared" si="32"/>
        <v>0</v>
      </c>
      <c r="J65" s="532">
        <f t="shared" si="33"/>
        <v>0</v>
      </c>
      <c r="K65" s="533"/>
      <c r="M65" s="267">
        <f t="shared" si="34"/>
        <v>0</v>
      </c>
      <c r="N65" s="266">
        <f t="shared" si="35"/>
        <v>0</v>
      </c>
      <c r="O65" s="273">
        <v>1290297.02</v>
      </c>
      <c r="P65" s="268">
        <f t="shared" si="37"/>
        <v>2580594.04</v>
      </c>
      <c r="Q65" s="269">
        <f t="shared" si="38"/>
        <v>61934256.960000001</v>
      </c>
      <c r="R65" s="263">
        <v>31457402</v>
      </c>
      <c r="S65" s="264">
        <f>(Q65+R65)/2</f>
        <v>46695829.480000004</v>
      </c>
    </row>
    <row r="66" spans="1:19" ht="90.75" thickBot="1">
      <c r="A66" s="257">
        <v>13</v>
      </c>
      <c r="B66" s="265" t="s">
        <v>203</v>
      </c>
      <c r="C66" s="250" t="s">
        <v>205</v>
      </c>
      <c r="D66" s="250">
        <v>6</v>
      </c>
      <c r="F66" s="270">
        <v>1</v>
      </c>
      <c r="G66" s="259">
        <f t="shared" si="31"/>
        <v>0</v>
      </c>
      <c r="H66" s="266">
        <f t="shared" si="32"/>
        <v>1</v>
      </c>
      <c r="J66" s="532">
        <f t="shared" si="33"/>
        <v>1.1165866221201364</v>
      </c>
      <c r="K66" s="533"/>
      <c r="M66" s="267">
        <f>+ROUND(J66,0)</f>
        <v>1</v>
      </c>
      <c r="N66" s="266">
        <f>ROUND(M66*19%,0)</f>
        <v>0</v>
      </c>
      <c r="O66" s="268">
        <f>ROUND(N66+M66,0)</f>
        <v>1</v>
      </c>
      <c r="P66" s="268">
        <f>O66*D66</f>
        <v>6</v>
      </c>
      <c r="Q66" s="269">
        <f>P66*24</f>
        <v>144</v>
      </c>
      <c r="R66" s="263">
        <v>4790105</v>
      </c>
      <c r="S66" s="264">
        <f t="shared" si="30"/>
        <v>2395124.5</v>
      </c>
    </row>
    <row r="67" spans="1:19" ht="225.75" thickBot="1">
      <c r="A67" s="257">
        <v>14</v>
      </c>
      <c r="B67" s="265" t="s">
        <v>217</v>
      </c>
      <c r="C67" s="250" t="s">
        <v>205</v>
      </c>
      <c r="D67" s="250">
        <v>2</v>
      </c>
      <c r="F67" s="271"/>
      <c r="G67" s="259">
        <f t="shared" si="31"/>
        <v>0</v>
      </c>
      <c r="H67" s="266">
        <f t="shared" si="32"/>
        <v>0</v>
      </c>
      <c r="J67" s="532">
        <f t="shared" si="33"/>
        <v>0</v>
      </c>
      <c r="K67" s="533"/>
      <c r="M67" s="267">
        <f t="shared" ref="M67:M69" si="39">+ROUND(J67,0)</f>
        <v>0</v>
      </c>
      <c r="N67" s="266">
        <f t="shared" ref="N67:N69" si="40">ROUND(M67*19%,0)</f>
        <v>0</v>
      </c>
      <c r="O67" s="273">
        <v>47641.73</v>
      </c>
      <c r="P67" s="268">
        <f t="shared" ref="P67:P69" si="41">O67*D67</f>
        <v>95283.46</v>
      </c>
      <c r="Q67" s="269">
        <f t="shared" ref="Q67:Q69" si="42">P67*24</f>
        <v>2286803.04</v>
      </c>
      <c r="R67" s="263">
        <v>1263063</v>
      </c>
      <c r="S67" s="264">
        <f>(Q67+R67)/2</f>
        <v>1774933.02</v>
      </c>
    </row>
    <row r="68" spans="1:19" ht="102" thickBot="1">
      <c r="A68" s="257">
        <v>15</v>
      </c>
      <c r="B68" s="265" t="s">
        <v>218</v>
      </c>
      <c r="C68" s="250" t="s">
        <v>205</v>
      </c>
      <c r="D68" s="250">
        <v>12</v>
      </c>
      <c r="F68" s="286">
        <v>1</v>
      </c>
      <c r="G68" s="259">
        <f t="shared" si="31"/>
        <v>0</v>
      </c>
      <c r="H68" s="266">
        <f t="shared" si="32"/>
        <v>1</v>
      </c>
      <c r="J68" s="532">
        <f t="shared" si="33"/>
        <v>1.1165866221201364</v>
      </c>
      <c r="K68" s="533"/>
      <c r="M68" s="267">
        <f t="shared" si="39"/>
        <v>1</v>
      </c>
      <c r="N68" s="266">
        <f t="shared" si="40"/>
        <v>0</v>
      </c>
      <c r="O68" s="268">
        <f t="shared" ref="O68:O69" si="43">ROUND(N68+M68,0)</f>
        <v>1</v>
      </c>
      <c r="P68" s="268">
        <f t="shared" si="41"/>
        <v>12</v>
      </c>
      <c r="Q68" s="269">
        <f t="shared" si="42"/>
        <v>288</v>
      </c>
      <c r="R68" s="263">
        <v>3574705</v>
      </c>
      <c r="S68" s="264">
        <f t="shared" si="30"/>
        <v>1787496.5</v>
      </c>
    </row>
    <row r="69" spans="1:19" ht="135.75" thickBot="1">
      <c r="A69" s="257">
        <v>16</v>
      </c>
      <c r="B69" s="265" t="s">
        <v>219</v>
      </c>
      <c r="C69" s="250" t="s">
        <v>205</v>
      </c>
      <c r="D69" s="250">
        <v>1</v>
      </c>
      <c r="F69" s="270">
        <v>1</v>
      </c>
      <c r="G69" s="259">
        <f t="shared" si="31"/>
        <v>0</v>
      </c>
      <c r="H69" s="266">
        <f t="shared" si="32"/>
        <v>1</v>
      </c>
      <c r="J69" s="532">
        <f>+($K$5/$J$5)*F69</f>
        <v>1.1165866221201364</v>
      </c>
      <c r="K69" s="533"/>
      <c r="M69" s="267">
        <f t="shared" si="39"/>
        <v>1</v>
      </c>
      <c r="N69" s="266">
        <f t="shared" si="40"/>
        <v>0</v>
      </c>
      <c r="O69" s="268">
        <f t="shared" si="43"/>
        <v>1</v>
      </c>
      <c r="P69" s="268">
        <f t="shared" si="41"/>
        <v>1</v>
      </c>
      <c r="Q69" s="291">
        <f t="shared" si="42"/>
        <v>24</v>
      </c>
      <c r="R69" s="274">
        <v>1286755</v>
      </c>
      <c r="S69" s="275">
        <f t="shared" si="30"/>
        <v>643389.5</v>
      </c>
    </row>
    <row r="70" spans="1:19" ht="12" thickBot="1">
      <c r="A70" s="292"/>
      <c r="B70" s="543" t="s">
        <v>220</v>
      </c>
      <c r="C70" s="544"/>
      <c r="D70" s="544"/>
      <c r="E70" s="544"/>
      <c r="F70" s="544"/>
      <c r="G70" s="544"/>
      <c r="H70" s="544"/>
      <c r="I70" s="544"/>
      <c r="J70" s="544"/>
      <c r="K70" s="544"/>
      <c r="L70" s="544"/>
      <c r="M70" s="544"/>
      <c r="N70" s="544"/>
      <c r="O70" s="544"/>
      <c r="P70" s="545"/>
      <c r="Q70" s="287">
        <f>SUM(Q54:Q69)</f>
        <v>64230708</v>
      </c>
      <c r="R70" s="293">
        <f>SUM(R54:R69)</f>
        <v>106356296</v>
      </c>
      <c r="S70" s="289">
        <f>SUM(S54:S69)</f>
        <v>85293502</v>
      </c>
    </row>
    <row r="71" spans="1:19" ht="12" thickBot="1">
      <c r="A71" s="294"/>
      <c r="B71" s="540" t="s">
        <v>221</v>
      </c>
      <c r="C71" s="541"/>
      <c r="D71" s="541"/>
      <c r="E71" s="541"/>
      <c r="F71" s="541"/>
      <c r="G71" s="541"/>
      <c r="H71" s="541"/>
      <c r="I71" s="541"/>
      <c r="J71" s="541"/>
      <c r="K71" s="541"/>
      <c r="L71" s="541"/>
      <c r="M71" s="541"/>
      <c r="N71" s="541"/>
      <c r="O71" s="541"/>
      <c r="P71" s="542"/>
      <c r="R71" s="295"/>
    </row>
    <row r="72" spans="1:19" ht="45.75" thickBot="1">
      <c r="A72" s="257">
        <v>1</v>
      </c>
      <c r="B72" s="258" t="s">
        <v>188</v>
      </c>
      <c r="C72" s="250" t="s">
        <v>205</v>
      </c>
      <c r="D72" s="250">
        <v>13</v>
      </c>
      <c r="F72" s="259">
        <v>1</v>
      </c>
      <c r="G72" s="259">
        <f>ROUND(F72*19%,0)</f>
        <v>0</v>
      </c>
      <c r="H72" s="296">
        <f>ROUND(F72+G72,0)</f>
        <v>1</v>
      </c>
      <c r="J72" s="532">
        <f>+($K$5/$J$5)*F72</f>
        <v>1.1165866221201364</v>
      </c>
      <c r="K72" s="533"/>
      <c r="M72" s="267">
        <f>+ROUND(J72,0)</f>
        <v>1</v>
      </c>
      <c r="N72" s="266">
        <f>ROUND(M72*19%,0)</f>
        <v>0</v>
      </c>
      <c r="O72" s="268">
        <f>ROUND(N72+M72,0)</f>
        <v>1</v>
      </c>
      <c r="P72" s="268">
        <f>O72*D72</f>
        <v>13</v>
      </c>
      <c r="Q72" s="269">
        <f t="shared" ref="Q72:Q87" si="44">P72*24</f>
        <v>312</v>
      </c>
      <c r="R72" s="263">
        <v>1964181</v>
      </c>
      <c r="S72" s="264">
        <f t="shared" ref="S72:S87" si="45">(Q72+R72)/2</f>
        <v>982246.5</v>
      </c>
    </row>
    <row r="73" spans="1:19" ht="135.75" thickBot="1">
      <c r="A73" s="257">
        <v>2</v>
      </c>
      <c r="B73" s="265" t="s">
        <v>190</v>
      </c>
      <c r="C73" s="250" t="s">
        <v>205</v>
      </c>
      <c r="D73" s="250">
        <v>36</v>
      </c>
      <c r="F73" s="259">
        <v>1</v>
      </c>
      <c r="G73" s="259">
        <f t="shared" ref="G73:G80" si="46">ROUND(F73*19%,0)</f>
        <v>0</v>
      </c>
      <c r="H73" s="266">
        <f t="shared" ref="H73:H87" si="47">ROUND(F73+G73,0)</f>
        <v>1</v>
      </c>
      <c r="J73" s="532">
        <f t="shared" ref="J73:J87" si="48">+($K$5/$J$5)*F73</f>
        <v>1.1165866221201364</v>
      </c>
      <c r="K73" s="533"/>
      <c r="M73" s="267">
        <f t="shared" ref="M73:M87" si="49">+ROUND(J73,0)</f>
        <v>1</v>
      </c>
      <c r="N73" s="266">
        <f t="shared" ref="N73:N87" si="50">ROUND(M73*19%,0)</f>
        <v>0</v>
      </c>
      <c r="O73" s="268">
        <f t="shared" ref="O73:O87" si="51">ROUND(N73+M73,0)</f>
        <v>1</v>
      </c>
      <c r="P73" s="268">
        <f t="shared" ref="P73:P84" si="52">O73*D73</f>
        <v>36</v>
      </c>
      <c r="Q73" s="269">
        <f t="shared" si="44"/>
        <v>864</v>
      </c>
      <c r="R73" s="263">
        <v>2702476</v>
      </c>
      <c r="S73" s="264">
        <f t="shared" si="45"/>
        <v>1351670</v>
      </c>
    </row>
    <row r="74" spans="1:19" ht="135.75" thickBot="1">
      <c r="A74" s="257">
        <v>3</v>
      </c>
      <c r="B74" s="265" t="s">
        <v>222</v>
      </c>
      <c r="C74" s="250" t="s">
        <v>205</v>
      </c>
      <c r="D74" s="250">
        <v>59</v>
      </c>
      <c r="F74" s="259">
        <v>1</v>
      </c>
      <c r="G74" s="259">
        <f t="shared" si="46"/>
        <v>0</v>
      </c>
      <c r="H74" s="266">
        <f t="shared" si="47"/>
        <v>1</v>
      </c>
      <c r="J74" s="532">
        <f t="shared" si="48"/>
        <v>1.1165866221201364</v>
      </c>
      <c r="K74" s="533"/>
      <c r="M74" s="267">
        <f t="shared" si="49"/>
        <v>1</v>
      </c>
      <c r="N74" s="266">
        <f t="shared" si="50"/>
        <v>0</v>
      </c>
      <c r="O74" s="268">
        <f t="shared" si="51"/>
        <v>1</v>
      </c>
      <c r="P74" s="268">
        <f t="shared" si="52"/>
        <v>59</v>
      </c>
      <c r="Q74" s="269">
        <f t="shared" si="44"/>
        <v>1416</v>
      </c>
      <c r="R74" s="263">
        <v>4429059</v>
      </c>
      <c r="S74" s="264">
        <f t="shared" si="45"/>
        <v>2215237.5</v>
      </c>
    </row>
    <row r="75" spans="1:19" ht="113.25" thickBot="1">
      <c r="A75" s="257">
        <v>4</v>
      </c>
      <c r="B75" s="265" t="s">
        <v>191</v>
      </c>
      <c r="C75" s="250" t="s">
        <v>205</v>
      </c>
      <c r="D75" s="250">
        <v>5</v>
      </c>
      <c r="F75" s="259">
        <v>1</v>
      </c>
      <c r="G75" s="259">
        <f t="shared" si="46"/>
        <v>0</v>
      </c>
      <c r="H75" s="266">
        <f t="shared" si="47"/>
        <v>1</v>
      </c>
      <c r="J75" s="532">
        <f t="shared" si="48"/>
        <v>1.1165866221201364</v>
      </c>
      <c r="K75" s="533"/>
      <c r="M75" s="267">
        <f t="shared" si="49"/>
        <v>1</v>
      </c>
      <c r="N75" s="266">
        <f t="shared" si="50"/>
        <v>0</v>
      </c>
      <c r="O75" s="268">
        <f t="shared" si="51"/>
        <v>1</v>
      </c>
      <c r="P75" s="268">
        <f t="shared" si="52"/>
        <v>5</v>
      </c>
      <c r="Q75" s="269">
        <f t="shared" si="44"/>
        <v>120</v>
      </c>
      <c r="R75" s="263">
        <v>375344</v>
      </c>
      <c r="S75" s="264">
        <f t="shared" si="45"/>
        <v>187732</v>
      </c>
    </row>
    <row r="76" spans="1:19" ht="147" thickBot="1">
      <c r="A76" s="257">
        <v>5</v>
      </c>
      <c r="B76" s="265" t="s">
        <v>192</v>
      </c>
      <c r="C76" s="250" t="s">
        <v>205</v>
      </c>
      <c r="D76" s="250">
        <v>13</v>
      </c>
      <c r="F76" s="259">
        <v>1</v>
      </c>
      <c r="G76" s="259">
        <f t="shared" si="46"/>
        <v>0</v>
      </c>
      <c r="H76" s="266">
        <f t="shared" si="47"/>
        <v>1</v>
      </c>
      <c r="J76" s="532">
        <f t="shared" si="48"/>
        <v>1.1165866221201364</v>
      </c>
      <c r="K76" s="533"/>
      <c r="M76" s="267">
        <f t="shared" si="49"/>
        <v>1</v>
      </c>
      <c r="N76" s="266">
        <f t="shared" si="50"/>
        <v>0</v>
      </c>
      <c r="O76" s="268">
        <f t="shared" si="51"/>
        <v>1</v>
      </c>
      <c r="P76" s="268">
        <f t="shared" si="52"/>
        <v>13</v>
      </c>
      <c r="Q76" s="269">
        <f t="shared" si="44"/>
        <v>312</v>
      </c>
      <c r="R76" s="263">
        <v>8209905</v>
      </c>
      <c r="S76" s="264">
        <f t="shared" si="45"/>
        <v>4105108.5</v>
      </c>
    </row>
    <row r="77" spans="1:19" ht="34.5" thickBot="1">
      <c r="A77" s="257">
        <v>6</v>
      </c>
      <c r="B77" s="258" t="s">
        <v>193</v>
      </c>
      <c r="C77" s="250" t="s">
        <v>205</v>
      </c>
      <c r="D77" s="250">
        <v>1</v>
      </c>
      <c r="F77" s="259">
        <v>1</v>
      </c>
      <c r="G77" s="259">
        <f t="shared" si="46"/>
        <v>0</v>
      </c>
      <c r="H77" s="266">
        <f t="shared" si="47"/>
        <v>1</v>
      </c>
      <c r="J77" s="532">
        <f t="shared" si="48"/>
        <v>1.1165866221201364</v>
      </c>
      <c r="K77" s="533"/>
      <c r="M77" s="267">
        <f t="shared" si="49"/>
        <v>1</v>
      </c>
      <c r="N77" s="266">
        <f t="shared" si="50"/>
        <v>0</v>
      </c>
      <c r="O77" s="268">
        <f t="shared" si="51"/>
        <v>1</v>
      </c>
      <c r="P77" s="268">
        <f t="shared" si="52"/>
        <v>1</v>
      </c>
      <c r="Q77" s="269">
        <f t="shared" si="44"/>
        <v>24</v>
      </c>
      <c r="R77" s="263">
        <v>75069</v>
      </c>
      <c r="S77" s="264">
        <f t="shared" si="45"/>
        <v>37546.5</v>
      </c>
    </row>
    <row r="78" spans="1:19" ht="225.75" thickBot="1">
      <c r="A78" s="257">
        <v>7</v>
      </c>
      <c r="B78" s="258" t="s">
        <v>194</v>
      </c>
      <c r="C78" s="250" t="s">
        <v>205</v>
      </c>
      <c r="D78" s="250">
        <v>2</v>
      </c>
      <c r="F78" s="270">
        <v>1</v>
      </c>
      <c r="G78" s="259">
        <f t="shared" si="46"/>
        <v>0</v>
      </c>
      <c r="H78" s="266">
        <f t="shared" si="47"/>
        <v>1</v>
      </c>
      <c r="J78" s="532">
        <f t="shared" si="48"/>
        <v>1.1165866221201364</v>
      </c>
      <c r="K78" s="533"/>
      <c r="M78" s="267">
        <f t="shared" si="49"/>
        <v>1</v>
      </c>
      <c r="N78" s="266">
        <f t="shared" si="50"/>
        <v>0</v>
      </c>
      <c r="O78" s="268">
        <f t="shared" si="51"/>
        <v>1</v>
      </c>
      <c r="P78" s="268">
        <f t="shared" si="52"/>
        <v>2</v>
      </c>
      <c r="Q78" s="269">
        <f t="shared" si="44"/>
        <v>48</v>
      </c>
      <c r="R78" s="263">
        <v>185885</v>
      </c>
      <c r="S78" s="264">
        <f t="shared" si="45"/>
        <v>92966.5</v>
      </c>
    </row>
    <row r="79" spans="1:19" ht="113.25" thickBot="1">
      <c r="A79" s="257">
        <v>8</v>
      </c>
      <c r="B79" s="258" t="s">
        <v>195</v>
      </c>
      <c r="C79" s="250" t="s">
        <v>205</v>
      </c>
      <c r="D79" s="250">
        <v>2</v>
      </c>
      <c r="F79" s="259">
        <v>1</v>
      </c>
      <c r="G79" s="259">
        <f t="shared" si="46"/>
        <v>0</v>
      </c>
      <c r="H79" s="266">
        <f t="shared" si="47"/>
        <v>1</v>
      </c>
      <c r="J79" s="532">
        <f t="shared" si="48"/>
        <v>1.1165866221201364</v>
      </c>
      <c r="K79" s="533"/>
      <c r="M79" s="267">
        <f t="shared" si="49"/>
        <v>1</v>
      </c>
      <c r="N79" s="266">
        <f t="shared" si="50"/>
        <v>0</v>
      </c>
      <c r="O79" s="268">
        <f t="shared" si="51"/>
        <v>1</v>
      </c>
      <c r="P79" s="268">
        <f t="shared" si="52"/>
        <v>2</v>
      </c>
      <c r="Q79" s="269">
        <f t="shared" si="44"/>
        <v>48</v>
      </c>
      <c r="R79" s="263">
        <v>1039914</v>
      </c>
      <c r="S79" s="264">
        <f t="shared" si="45"/>
        <v>519981</v>
      </c>
    </row>
    <row r="80" spans="1:19" ht="169.5" thickBot="1">
      <c r="A80" s="257">
        <v>9</v>
      </c>
      <c r="B80" s="265" t="s">
        <v>196</v>
      </c>
      <c r="C80" s="250" t="s">
        <v>205</v>
      </c>
      <c r="D80" s="250">
        <v>1</v>
      </c>
      <c r="F80" s="259">
        <v>1</v>
      </c>
      <c r="G80" s="259">
        <f t="shared" si="46"/>
        <v>0</v>
      </c>
      <c r="H80" s="266">
        <f t="shared" si="47"/>
        <v>1</v>
      </c>
      <c r="J80" s="532">
        <f>+($K$5/$J$5)*F80</f>
        <v>1.1165866221201364</v>
      </c>
      <c r="K80" s="533"/>
      <c r="M80" s="267">
        <f>+ROUND(J80,0)</f>
        <v>1</v>
      </c>
      <c r="N80" s="266">
        <f>ROUND(M80*19%,0)</f>
        <v>0</v>
      </c>
      <c r="O80" s="268">
        <f>ROUND(N80+M80,0)</f>
        <v>1</v>
      </c>
      <c r="P80" s="268">
        <f>O80*D80</f>
        <v>1</v>
      </c>
      <c r="Q80" s="269">
        <f t="shared" si="44"/>
        <v>24</v>
      </c>
      <c r="R80" s="263">
        <v>571953</v>
      </c>
      <c r="S80" s="264">
        <f t="shared" si="45"/>
        <v>285988.5</v>
      </c>
    </row>
    <row r="81" spans="1:21" ht="147" thickBot="1">
      <c r="A81" s="257">
        <v>10</v>
      </c>
      <c r="B81" s="265" t="s">
        <v>198</v>
      </c>
      <c r="C81" s="250" t="s">
        <v>205</v>
      </c>
      <c r="D81" s="250">
        <v>13</v>
      </c>
      <c r="F81" s="259">
        <v>1</v>
      </c>
      <c r="G81" s="259">
        <f>ROUND(F81*19%,0)</f>
        <v>0</v>
      </c>
      <c r="H81" s="266">
        <f t="shared" si="47"/>
        <v>1</v>
      </c>
      <c r="J81" s="532">
        <f t="shared" si="48"/>
        <v>1.1165866221201364</v>
      </c>
      <c r="K81" s="533"/>
      <c r="M81" s="267">
        <f t="shared" si="49"/>
        <v>1</v>
      </c>
      <c r="N81" s="266">
        <f t="shared" si="50"/>
        <v>0</v>
      </c>
      <c r="O81" s="268">
        <f t="shared" si="51"/>
        <v>1</v>
      </c>
      <c r="P81" s="268">
        <f t="shared" si="52"/>
        <v>13</v>
      </c>
      <c r="Q81" s="269">
        <f t="shared" si="44"/>
        <v>312</v>
      </c>
      <c r="R81" s="263">
        <v>6196156</v>
      </c>
      <c r="S81" s="264">
        <f t="shared" si="45"/>
        <v>3098234</v>
      </c>
    </row>
    <row r="82" spans="1:21" ht="90.75" thickBot="1">
      <c r="A82" s="257">
        <v>11</v>
      </c>
      <c r="B82" s="265" t="s">
        <v>199</v>
      </c>
      <c r="C82" s="250" t="s">
        <v>205</v>
      </c>
      <c r="D82" s="250">
        <v>11</v>
      </c>
      <c r="F82" s="259">
        <v>1</v>
      </c>
      <c r="G82" s="259">
        <f t="shared" ref="G82:G87" si="53">ROUND(F82*19%,0)</f>
        <v>0</v>
      </c>
      <c r="H82" s="266">
        <f t="shared" si="47"/>
        <v>1</v>
      </c>
      <c r="J82" s="532">
        <f t="shared" si="48"/>
        <v>1.1165866221201364</v>
      </c>
      <c r="K82" s="533"/>
      <c r="M82" s="267">
        <f t="shared" si="49"/>
        <v>1</v>
      </c>
      <c r="N82" s="266">
        <f t="shared" si="50"/>
        <v>0</v>
      </c>
      <c r="O82" s="268">
        <f t="shared" si="51"/>
        <v>1</v>
      </c>
      <c r="P82" s="268">
        <f>O82*D82</f>
        <v>11</v>
      </c>
      <c r="Q82" s="269">
        <f t="shared" si="44"/>
        <v>264</v>
      </c>
      <c r="R82" s="263">
        <v>3145741</v>
      </c>
      <c r="S82" s="264">
        <f t="shared" si="45"/>
        <v>1573002.5</v>
      </c>
    </row>
    <row r="83" spans="1:21" ht="23.25" thickBot="1">
      <c r="A83" s="257">
        <v>12</v>
      </c>
      <c r="B83" s="265" t="s">
        <v>200</v>
      </c>
      <c r="C83" s="250" t="s">
        <v>205</v>
      </c>
      <c r="D83" s="250">
        <v>48</v>
      </c>
      <c r="F83" s="259">
        <v>1</v>
      </c>
      <c r="G83" s="259">
        <f t="shared" si="53"/>
        <v>0</v>
      </c>
      <c r="H83" s="266">
        <f t="shared" si="47"/>
        <v>1</v>
      </c>
      <c r="J83" s="532">
        <f t="shared" si="48"/>
        <v>1.1165866221201364</v>
      </c>
      <c r="K83" s="533"/>
      <c r="M83" s="267">
        <f t="shared" si="49"/>
        <v>1</v>
      </c>
      <c r="N83" s="266">
        <f t="shared" si="50"/>
        <v>0</v>
      </c>
      <c r="O83" s="268">
        <f t="shared" si="51"/>
        <v>1</v>
      </c>
      <c r="P83" s="268">
        <f t="shared" si="52"/>
        <v>48</v>
      </c>
      <c r="Q83" s="269">
        <f t="shared" si="44"/>
        <v>1152</v>
      </c>
      <c r="R83" s="263">
        <v>16205328</v>
      </c>
      <c r="S83" s="264">
        <f t="shared" si="45"/>
        <v>8103240</v>
      </c>
    </row>
    <row r="84" spans="1:21" ht="180.75" thickBot="1">
      <c r="A84" s="257">
        <v>13</v>
      </c>
      <c r="B84" s="258" t="s">
        <v>223</v>
      </c>
      <c r="C84" s="250" t="s">
        <v>205</v>
      </c>
      <c r="D84" s="250">
        <v>1</v>
      </c>
      <c r="F84" s="271"/>
      <c r="G84" s="259">
        <f t="shared" si="53"/>
        <v>0</v>
      </c>
      <c r="H84" s="266">
        <f t="shared" si="47"/>
        <v>0</v>
      </c>
      <c r="J84" s="532">
        <f t="shared" si="48"/>
        <v>0</v>
      </c>
      <c r="K84" s="533"/>
      <c r="M84" s="267">
        <f t="shared" si="49"/>
        <v>0</v>
      </c>
      <c r="N84" s="266">
        <f t="shared" si="50"/>
        <v>0</v>
      </c>
      <c r="O84" s="273">
        <v>1290297.02</v>
      </c>
      <c r="P84" s="268">
        <f t="shared" si="52"/>
        <v>1290297.02</v>
      </c>
      <c r="Q84" s="269">
        <f t="shared" si="44"/>
        <v>30967128.48</v>
      </c>
      <c r="R84" s="263">
        <v>15728702</v>
      </c>
      <c r="S84" s="264">
        <f>(Q84+R84)/2</f>
        <v>23347915.240000002</v>
      </c>
    </row>
    <row r="85" spans="1:21" ht="90.75" thickBot="1">
      <c r="A85" s="257">
        <v>14</v>
      </c>
      <c r="B85" s="265" t="s">
        <v>203</v>
      </c>
      <c r="C85" s="250" t="s">
        <v>205</v>
      </c>
      <c r="D85" s="250">
        <v>1</v>
      </c>
      <c r="F85" s="259">
        <v>1</v>
      </c>
      <c r="G85" s="259">
        <f t="shared" si="53"/>
        <v>0</v>
      </c>
      <c r="H85" s="266">
        <f t="shared" si="47"/>
        <v>1</v>
      </c>
      <c r="J85" s="532">
        <f t="shared" si="48"/>
        <v>1.1165866221201364</v>
      </c>
      <c r="K85" s="533"/>
      <c r="M85" s="267">
        <f t="shared" si="49"/>
        <v>1</v>
      </c>
      <c r="N85" s="266">
        <f t="shared" si="50"/>
        <v>0</v>
      </c>
      <c r="O85" s="268">
        <f t="shared" si="51"/>
        <v>1</v>
      </c>
      <c r="P85" s="268">
        <f>O85*D85</f>
        <v>1</v>
      </c>
      <c r="Q85" s="269">
        <f t="shared" si="44"/>
        <v>24</v>
      </c>
      <c r="R85" s="263">
        <v>798351</v>
      </c>
      <c r="S85" s="264">
        <f t="shared" si="45"/>
        <v>399187.5</v>
      </c>
    </row>
    <row r="86" spans="1:21" ht="225.75" thickBot="1">
      <c r="A86" s="257">
        <v>15</v>
      </c>
      <c r="B86" s="297" t="s">
        <v>217</v>
      </c>
      <c r="C86" s="250" t="s">
        <v>205</v>
      </c>
      <c r="D86" s="250">
        <v>1</v>
      </c>
      <c r="F86" s="271"/>
      <c r="G86" s="259">
        <f t="shared" si="53"/>
        <v>0</v>
      </c>
      <c r="H86" s="266">
        <f t="shared" si="47"/>
        <v>0</v>
      </c>
      <c r="J86" s="532">
        <f t="shared" si="48"/>
        <v>0</v>
      </c>
      <c r="K86" s="533"/>
      <c r="M86" s="267">
        <f t="shared" si="49"/>
        <v>0</v>
      </c>
      <c r="N86" s="266">
        <f t="shared" si="50"/>
        <v>0</v>
      </c>
      <c r="O86" s="273">
        <v>47641.73</v>
      </c>
      <c r="P86" s="268">
        <f>O86*D86</f>
        <v>47641.73</v>
      </c>
      <c r="Q86" s="269">
        <f t="shared" si="44"/>
        <v>1143401.52</v>
      </c>
      <c r="R86" s="263">
        <v>631531</v>
      </c>
      <c r="S86" s="264">
        <f t="shared" si="45"/>
        <v>887466.26</v>
      </c>
    </row>
    <row r="87" spans="1:21" ht="102" thickBot="1">
      <c r="A87" s="257">
        <v>16</v>
      </c>
      <c r="B87" s="282" t="s">
        <v>206</v>
      </c>
      <c r="C87" s="250" t="s">
        <v>205</v>
      </c>
      <c r="D87" s="250">
        <v>3</v>
      </c>
      <c r="F87" s="259">
        <v>1</v>
      </c>
      <c r="G87" s="259">
        <f t="shared" si="53"/>
        <v>0</v>
      </c>
      <c r="H87" s="266">
        <f t="shared" si="47"/>
        <v>1</v>
      </c>
      <c r="J87" s="532">
        <f t="shared" si="48"/>
        <v>1.1165866221201364</v>
      </c>
      <c r="K87" s="533"/>
      <c r="M87" s="267">
        <f t="shared" si="49"/>
        <v>1</v>
      </c>
      <c r="N87" s="266">
        <f t="shared" si="50"/>
        <v>0</v>
      </c>
      <c r="O87" s="268">
        <f t="shared" si="51"/>
        <v>1</v>
      </c>
      <c r="P87" s="268">
        <f>O87*D87</f>
        <v>3</v>
      </c>
      <c r="Q87" s="291">
        <f t="shared" si="44"/>
        <v>72</v>
      </c>
      <c r="R87" s="274">
        <v>297892</v>
      </c>
      <c r="S87" s="275">
        <f t="shared" si="45"/>
        <v>148982</v>
      </c>
    </row>
    <row r="88" spans="1:21" ht="12" thickBot="1">
      <c r="A88" s="294"/>
      <c r="B88" s="534" t="s">
        <v>224</v>
      </c>
      <c r="C88" s="535"/>
      <c r="D88" s="535"/>
      <c r="E88" s="535"/>
      <c r="F88" s="535"/>
      <c r="G88" s="535"/>
      <c r="H88" s="535"/>
      <c r="I88" s="535"/>
      <c r="J88" s="535"/>
      <c r="K88" s="535"/>
      <c r="L88" s="535"/>
      <c r="M88" s="535"/>
      <c r="N88" s="535"/>
      <c r="O88" s="535"/>
      <c r="P88" s="536"/>
      <c r="Q88" s="287">
        <f>SUM(Q72:Q87)</f>
        <v>32115522</v>
      </c>
      <c r="R88" s="288">
        <f>SUM(R72:R87)</f>
        <v>62557487</v>
      </c>
      <c r="S88" s="289">
        <f>SUM(S72:S87)</f>
        <v>47336504.5</v>
      </c>
    </row>
    <row r="89" spans="1:21" ht="12" thickBot="1">
      <c r="A89" s="537"/>
      <c r="B89" s="538"/>
      <c r="C89" s="538"/>
      <c r="D89" s="539"/>
      <c r="E89" s="596"/>
      <c r="F89" s="597"/>
      <c r="G89" s="597"/>
      <c r="H89" s="597"/>
      <c r="I89" s="597"/>
      <c r="J89" s="597"/>
      <c r="K89" s="597"/>
      <c r="L89" s="597"/>
      <c r="M89" s="597"/>
      <c r="N89" s="597"/>
      <c r="O89" s="598"/>
      <c r="P89" s="298"/>
      <c r="R89" s="290"/>
    </row>
    <row r="90" spans="1:21" ht="12" thickBot="1">
      <c r="A90" s="299" t="s">
        <v>225</v>
      </c>
      <c r="B90" s="300"/>
      <c r="C90" s="300"/>
      <c r="D90" s="300"/>
      <c r="E90" s="300"/>
      <c r="F90" s="300"/>
      <c r="G90" s="300"/>
      <c r="H90" s="300"/>
      <c r="I90" s="300"/>
      <c r="J90" s="300"/>
      <c r="K90" s="300"/>
      <c r="L90" s="300"/>
      <c r="M90" s="300"/>
      <c r="N90" s="300"/>
      <c r="O90" s="301"/>
      <c r="P90" s="302">
        <f>P89*24</f>
        <v>0</v>
      </c>
      <c r="Q90" s="303">
        <f>Q88+Q70+Q52+Q39+Q24</f>
        <v>191553018.48000002</v>
      </c>
      <c r="R90" s="304">
        <f>R88+R70+R52+R39+R24</f>
        <v>409963300</v>
      </c>
      <c r="S90" s="305">
        <f>S88+S70+S52+S39+S24</f>
        <v>300758171.24000001</v>
      </c>
    </row>
    <row r="91" spans="1:21" ht="12" thickBot="1">
      <c r="B91" s="42"/>
      <c r="D91" s="42"/>
    </row>
    <row r="92" spans="1:21" s="307" customFormat="1" ht="12" thickBot="1">
      <c r="B92" s="308" t="s">
        <v>226</v>
      </c>
      <c r="C92" s="306"/>
      <c r="D92" s="309"/>
      <c r="E92" s="309"/>
      <c r="P92" s="310"/>
      <c r="R92" s="310"/>
      <c r="S92" s="305">
        <f>+S90/24</f>
        <v>12531590.468333334</v>
      </c>
      <c r="T92" s="307" t="s">
        <v>227</v>
      </c>
    </row>
    <row r="93" spans="1:21" s="307" customFormat="1" ht="66" customHeight="1">
      <c r="B93" s="530" t="s">
        <v>228</v>
      </c>
      <c r="C93" s="530"/>
      <c r="D93" s="530"/>
      <c r="E93" s="530"/>
      <c r="F93" s="530"/>
      <c r="G93" s="530"/>
      <c r="H93" s="530"/>
      <c r="K93" s="311"/>
      <c r="P93" s="312"/>
      <c r="R93" s="312"/>
      <c r="S93" s="310"/>
    </row>
    <row r="94" spans="1:21" s="255" customFormat="1">
      <c r="B94" s="531"/>
      <c r="C94" s="531"/>
      <c r="D94" s="531"/>
      <c r="E94" s="313"/>
      <c r="F94" s="307"/>
      <c r="G94" s="307"/>
      <c r="H94" s="307"/>
      <c r="M94" s="307"/>
      <c r="N94" s="307"/>
      <c r="O94" s="307"/>
      <c r="P94" s="312"/>
      <c r="Q94" s="255" t="s">
        <v>229</v>
      </c>
      <c r="R94" s="312">
        <v>2026</v>
      </c>
      <c r="S94" s="310">
        <f>+S92</f>
        <v>12531590.468333334</v>
      </c>
    </row>
    <row r="95" spans="1:21" s="307" customFormat="1">
      <c r="B95" s="314"/>
      <c r="C95" s="315"/>
      <c r="D95" s="315"/>
      <c r="E95" s="316"/>
      <c r="P95" s="312"/>
      <c r="Q95" s="255" t="s">
        <v>229</v>
      </c>
      <c r="R95" s="312">
        <v>2027</v>
      </c>
      <c r="S95" s="310">
        <f>+S94*12</f>
        <v>150379085.62</v>
      </c>
    </row>
    <row r="96" spans="1:21" s="307" customFormat="1">
      <c r="B96" s="314"/>
      <c r="C96" s="316"/>
      <c r="D96" s="316"/>
      <c r="E96" s="316"/>
      <c r="P96" s="312"/>
      <c r="Q96" s="255" t="s">
        <v>229</v>
      </c>
      <c r="R96" s="312">
        <v>2028</v>
      </c>
      <c r="S96" s="310">
        <f>+S94*11</f>
        <v>137847495.15166667</v>
      </c>
      <c r="T96" s="317"/>
      <c r="U96" s="318"/>
    </row>
    <row r="97" spans="2:19" s="255" customFormat="1">
      <c r="B97" s="319"/>
      <c r="C97" s="313"/>
      <c r="D97" s="313"/>
      <c r="E97" s="313"/>
      <c r="F97" s="307"/>
      <c r="G97" s="307"/>
      <c r="H97" s="307"/>
      <c r="M97" s="307"/>
      <c r="N97" s="307"/>
      <c r="O97" s="307"/>
      <c r="P97" s="312"/>
      <c r="Q97" s="255" t="s">
        <v>230</v>
      </c>
      <c r="R97" s="312"/>
      <c r="S97" s="320">
        <f>+S96+S95+S94</f>
        <v>300758171.24000001</v>
      </c>
    </row>
    <row r="98" spans="2:19" s="255" customFormat="1">
      <c r="B98" s="321"/>
      <c r="F98" s="307"/>
      <c r="G98" s="307"/>
      <c r="H98" s="307"/>
      <c r="M98" s="307"/>
      <c r="N98" s="307"/>
      <c r="O98" s="307"/>
      <c r="P98" s="312"/>
      <c r="R98" s="312"/>
      <c r="S98" s="312"/>
    </row>
    <row r="99" spans="2:19" s="255" customFormat="1">
      <c r="B99" s="321"/>
      <c r="F99" s="307"/>
      <c r="G99" s="307"/>
      <c r="H99" s="307"/>
      <c r="M99" s="307"/>
      <c r="N99" s="307"/>
      <c r="O99" s="307"/>
      <c r="P99" s="312"/>
      <c r="R99" s="312"/>
      <c r="S99" s="312"/>
    </row>
    <row r="100" spans="2:19" s="255" customFormat="1">
      <c r="B100" s="321"/>
      <c r="C100" s="321"/>
      <c r="F100" s="307"/>
      <c r="G100" s="307"/>
      <c r="H100" s="307"/>
      <c r="M100" s="307"/>
      <c r="N100" s="307"/>
      <c r="O100" s="307"/>
      <c r="P100" s="312"/>
      <c r="R100" s="312"/>
      <c r="S100" s="312"/>
    </row>
    <row r="101" spans="2:19" s="255" customFormat="1">
      <c r="B101" s="322"/>
      <c r="F101" s="307"/>
      <c r="G101" s="307"/>
      <c r="H101" s="307"/>
      <c r="M101" s="307"/>
      <c r="N101" s="307"/>
      <c r="O101" s="307"/>
      <c r="P101" s="312"/>
      <c r="R101" s="312"/>
      <c r="S101" s="312"/>
    </row>
    <row r="102" spans="2:19" s="255" customFormat="1">
      <c r="C102" s="323"/>
      <c r="F102" s="307"/>
      <c r="G102" s="307"/>
      <c r="H102" s="307"/>
      <c r="M102" s="307"/>
      <c r="N102" s="307"/>
      <c r="O102" s="307"/>
      <c r="P102" s="312"/>
      <c r="R102" s="312"/>
      <c r="S102" s="312"/>
    </row>
  </sheetData>
  <mergeCells count="109">
    <mergeCell ref="J9:K9"/>
    <mergeCell ref="J8:K8"/>
    <mergeCell ref="B7:S7"/>
    <mergeCell ref="M5:M6"/>
    <mergeCell ref="N5:N6"/>
    <mergeCell ref="O5:O6"/>
    <mergeCell ref="P5:P6"/>
    <mergeCell ref="Q5:Q6"/>
    <mergeCell ref="R5:R6"/>
    <mergeCell ref="S5:S6"/>
    <mergeCell ref="A1:S1"/>
    <mergeCell ref="A2:B3"/>
    <mergeCell ref="C2:S2"/>
    <mergeCell ref="C3:S3"/>
    <mergeCell ref="A4:A6"/>
    <mergeCell ref="B4:B6"/>
    <mergeCell ref="C4:C6"/>
    <mergeCell ref="D4:D6"/>
    <mergeCell ref="F4:H4"/>
    <mergeCell ref="M4:P4"/>
    <mergeCell ref="Q4:S4"/>
    <mergeCell ref="F5:F6"/>
    <mergeCell ref="G5:G6"/>
    <mergeCell ref="H5:H6"/>
    <mergeCell ref="J5:J6"/>
    <mergeCell ref="K5:K6"/>
    <mergeCell ref="J15:K15"/>
    <mergeCell ref="J16:K16"/>
    <mergeCell ref="J17:K17"/>
    <mergeCell ref="J18:K18"/>
    <mergeCell ref="J19:K19"/>
    <mergeCell ref="J10:K10"/>
    <mergeCell ref="J11:K11"/>
    <mergeCell ref="J12:K12"/>
    <mergeCell ref="J13:K13"/>
    <mergeCell ref="J14:K14"/>
    <mergeCell ref="J36:K36"/>
    <mergeCell ref="J37:K37"/>
    <mergeCell ref="J38:K38"/>
    <mergeCell ref="B39:P39"/>
    <mergeCell ref="B40:P40"/>
    <mergeCell ref="J20:K20"/>
    <mergeCell ref="J21:K21"/>
    <mergeCell ref="J22:K22"/>
    <mergeCell ref="J23:K23"/>
    <mergeCell ref="B24:P24"/>
    <mergeCell ref="B25:P25"/>
    <mergeCell ref="J26:K26"/>
    <mergeCell ref="J27:K27"/>
    <mergeCell ref="J28:K28"/>
    <mergeCell ref="J29:K29"/>
    <mergeCell ref="J30:K30"/>
    <mergeCell ref="J31:K31"/>
    <mergeCell ref="J32:K32"/>
    <mergeCell ref="J33:K33"/>
    <mergeCell ref="J34:K34"/>
    <mergeCell ref="J35:K35"/>
    <mergeCell ref="J46:K46"/>
    <mergeCell ref="J47:K47"/>
    <mergeCell ref="J48:K48"/>
    <mergeCell ref="J49:K49"/>
    <mergeCell ref="J50:K50"/>
    <mergeCell ref="J41:K41"/>
    <mergeCell ref="J42:K42"/>
    <mergeCell ref="J43:K43"/>
    <mergeCell ref="J44:K44"/>
    <mergeCell ref="J45:K45"/>
    <mergeCell ref="J56:K56"/>
    <mergeCell ref="J57:K57"/>
    <mergeCell ref="J58:K58"/>
    <mergeCell ref="J59:K59"/>
    <mergeCell ref="J60:K60"/>
    <mergeCell ref="J51:K51"/>
    <mergeCell ref="B52:P52"/>
    <mergeCell ref="B53:P53"/>
    <mergeCell ref="J54:K54"/>
    <mergeCell ref="J55:K55"/>
    <mergeCell ref="J66:K66"/>
    <mergeCell ref="J67:K67"/>
    <mergeCell ref="J68:K68"/>
    <mergeCell ref="J69:K69"/>
    <mergeCell ref="B70:P70"/>
    <mergeCell ref="J61:K61"/>
    <mergeCell ref="J62:K62"/>
    <mergeCell ref="J63:K63"/>
    <mergeCell ref="J64:K64"/>
    <mergeCell ref="J65:K65"/>
    <mergeCell ref="J76:K76"/>
    <mergeCell ref="J77:K77"/>
    <mergeCell ref="J78:K78"/>
    <mergeCell ref="J79:K79"/>
    <mergeCell ref="J80:K80"/>
    <mergeCell ref="B71:P71"/>
    <mergeCell ref="J72:K72"/>
    <mergeCell ref="J73:K73"/>
    <mergeCell ref="J74:K74"/>
    <mergeCell ref="J75:K75"/>
    <mergeCell ref="B93:H93"/>
    <mergeCell ref="B94:D94"/>
    <mergeCell ref="J86:K86"/>
    <mergeCell ref="J87:K87"/>
    <mergeCell ref="B88:P88"/>
    <mergeCell ref="A89:D89"/>
    <mergeCell ref="E89:O89"/>
    <mergeCell ref="J81:K81"/>
    <mergeCell ref="J82:K82"/>
    <mergeCell ref="J83:K83"/>
    <mergeCell ref="J84:K84"/>
    <mergeCell ref="J85:K85"/>
  </mergeCells>
  <pageMargins left="0.25" right="0.25" top="0.75" bottom="0.75" header="0.3" footer="0.3"/>
  <pageSetup paperSize="14" scale="35" orientation="landscape" horizontalDpi="4294967294"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N24"/>
  <sheetViews>
    <sheetView showGridLines="0" topLeftCell="A3" zoomScaleNormal="100" workbookViewId="0">
      <selection activeCell="A13" sqref="A13"/>
    </sheetView>
  </sheetViews>
  <sheetFormatPr defaultColWidth="11" defaultRowHeight="15"/>
  <cols>
    <col min="1" max="1" width="12.375" customWidth="1"/>
    <col min="2" max="2" width="27.125" customWidth="1"/>
    <col min="3" max="3" width="17.75" customWidth="1"/>
    <col min="4" max="5" width="19.25" customWidth="1"/>
    <col min="6" max="6" width="19.375" customWidth="1"/>
    <col min="8" max="8" width="21.625" customWidth="1"/>
    <col min="9" max="9" width="23.625" customWidth="1"/>
  </cols>
  <sheetData>
    <row r="1" spans="1:18" ht="26.25" customHeight="1" thickBot="1">
      <c r="A1" s="330" t="s">
        <v>231</v>
      </c>
      <c r="B1" s="331"/>
      <c r="C1" s="331"/>
      <c r="D1" s="331"/>
      <c r="E1" s="331"/>
      <c r="F1" s="332"/>
      <c r="G1" s="1"/>
      <c r="H1" s="1"/>
      <c r="I1" s="1"/>
      <c r="J1" s="1"/>
      <c r="K1" s="1"/>
    </row>
    <row r="2" spans="1:18" ht="120" customHeight="1" thickBot="1">
      <c r="A2" s="2" t="s">
        <v>232</v>
      </c>
      <c r="B2" s="333" t="s">
        <v>98</v>
      </c>
      <c r="C2" s="334"/>
      <c r="D2" s="334"/>
      <c r="E2" s="334"/>
      <c r="F2" s="335"/>
      <c r="G2" s="3"/>
      <c r="H2" s="3"/>
      <c r="I2" s="3"/>
      <c r="J2" s="3"/>
      <c r="K2" s="3"/>
    </row>
    <row r="3" spans="1:18" ht="15.75" thickBot="1"/>
    <row r="4" spans="1:18" ht="15" customHeight="1">
      <c r="A4" s="339" t="s">
        <v>233</v>
      </c>
      <c r="B4" s="342" t="s">
        <v>234</v>
      </c>
      <c r="C4" s="342" t="s">
        <v>235</v>
      </c>
      <c r="D4" s="342" t="s">
        <v>236</v>
      </c>
      <c r="E4" s="342" t="s">
        <v>237</v>
      </c>
      <c r="F4" s="344" t="s">
        <v>238</v>
      </c>
    </row>
    <row r="5" spans="1:18" ht="45.75" customHeight="1">
      <c r="A5" s="340"/>
      <c r="B5" s="343"/>
      <c r="C5" s="343"/>
      <c r="D5" s="343" t="s">
        <v>232</v>
      </c>
      <c r="E5" s="343" t="s">
        <v>232</v>
      </c>
      <c r="F5" s="345"/>
    </row>
    <row r="6" spans="1:18" ht="22.5" customHeight="1">
      <c r="A6" s="340"/>
      <c r="B6" s="4" t="s">
        <v>239</v>
      </c>
      <c r="C6" s="104">
        <f>'ANEXO 1. VALOR 2026 (1 MES)'!L53</f>
        <v>985186482.41999996</v>
      </c>
      <c r="D6" s="104">
        <f>'ANEXO 1.1.VALOR 2027 (12 MESES)'!L87</f>
        <v>12445116704.940001</v>
      </c>
      <c r="E6" s="104">
        <f>'ANEXO 1.2.VALOR 2028 (11 MESES)'!L54</f>
        <v>11980913323.940001</v>
      </c>
      <c r="F6" s="105">
        <f>+C6+D6+E6</f>
        <v>25411216511.300003</v>
      </c>
      <c r="H6" s="135"/>
      <c r="I6" s="135"/>
    </row>
    <row r="7" spans="1:18" ht="22.5" customHeight="1">
      <c r="A7" s="340"/>
      <c r="B7" s="4" t="s">
        <v>240</v>
      </c>
      <c r="C7" s="104">
        <f>+'ANEXO 2 HIST VS. COTIZ MEDIOS'!S94</f>
        <v>12531590.468333334</v>
      </c>
      <c r="D7" s="104">
        <f>+'ANEXO 2 HIST VS. COTIZ MEDIOS'!S95</f>
        <v>150379085.62</v>
      </c>
      <c r="E7" s="104">
        <f>+'ANEXO 2 HIST VS. COTIZ MEDIOS'!S96</f>
        <v>137847495.15166667</v>
      </c>
      <c r="F7" s="105">
        <f t="shared" ref="F7:F8" si="0">+C7+D7+E7</f>
        <v>300758171.24000001</v>
      </c>
      <c r="H7" s="135"/>
      <c r="I7" s="135"/>
    </row>
    <row r="8" spans="1:18" ht="27.75" customHeight="1">
      <c r="A8" s="341"/>
      <c r="B8" s="5" t="s">
        <v>241</v>
      </c>
      <c r="C8" s="106">
        <f>SUM(C6:C7)</f>
        <v>997718072.88833332</v>
      </c>
      <c r="D8" s="106">
        <f>SUM(D6:D7)</f>
        <v>12595495790.560001</v>
      </c>
      <c r="E8" s="106">
        <f>SUM(E6:E7)</f>
        <v>12118760819.091667</v>
      </c>
      <c r="F8" s="107">
        <f t="shared" si="0"/>
        <v>25711974682.540001</v>
      </c>
      <c r="H8" s="135"/>
      <c r="I8" s="135"/>
    </row>
    <row r="9" spans="1:18" ht="37.5" customHeight="1">
      <c r="A9" s="336" t="s">
        <v>242</v>
      </c>
      <c r="B9" s="337"/>
      <c r="C9" s="337"/>
      <c r="D9" s="337"/>
      <c r="E9" s="338"/>
      <c r="F9" s="108">
        <f>+F8</f>
        <v>25711974682.540001</v>
      </c>
    </row>
    <row r="11" spans="1:18" ht="18">
      <c r="A11" s="327" t="s">
        <v>243</v>
      </c>
      <c r="B11" s="328"/>
      <c r="C11" s="328"/>
      <c r="D11" s="328"/>
      <c r="E11" s="329"/>
      <c r="F11" s="108">
        <v>26238136487</v>
      </c>
      <c r="H11" s="117"/>
    </row>
    <row r="12" spans="1:18" s="18" customFormat="1" ht="17.25" customHeight="1">
      <c r="A12" s="25"/>
      <c r="B12" s="25"/>
      <c r="C12" s="97"/>
      <c r="D12" s="38"/>
      <c r="E12" s="38"/>
      <c r="F12" s="38"/>
      <c r="G12" s="38"/>
      <c r="H12" s="117"/>
      <c r="I12" s="38"/>
      <c r="J12" s="38"/>
      <c r="K12" s="38"/>
      <c r="L12" s="38"/>
      <c r="M12" s="38"/>
      <c r="N12" s="38"/>
      <c r="O12" s="38"/>
      <c r="P12" s="38"/>
      <c r="Q12" s="38"/>
      <c r="R12" s="121"/>
    </row>
    <row r="13" spans="1:18" s="100" customFormat="1" ht="16.5">
      <c r="A13" s="98"/>
      <c r="B13" s="101"/>
      <c r="H13" s="118"/>
      <c r="R13" s="101"/>
    </row>
    <row r="14" spans="1:18" s="18" customFormat="1" ht="16.5">
      <c r="A14" s="98"/>
      <c r="C14" s="120"/>
      <c r="D14" s="99"/>
      <c r="L14" s="30"/>
      <c r="M14" s="40"/>
      <c r="R14" s="119"/>
    </row>
    <row r="15" spans="1:18" s="18" customFormat="1" ht="16.5">
      <c r="A15" s="119"/>
      <c r="C15" s="326"/>
      <c r="L15" s="30"/>
      <c r="M15" s="41"/>
      <c r="R15" s="119"/>
    </row>
    <row r="16" spans="1:18" s="18" customFormat="1" ht="16.5">
      <c r="A16" s="119"/>
      <c r="L16" s="30"/>
      <c r="R16" s="119"/>
    </row>
    <row r="17" spans="1:66" s="18" customFormat="1" ht="16.5">
      <c r="K17" s="30"/>
    </row>
    <row r="18" spans="1:66" s="18" customFormat="1" ht="16.5">
      <c r="K18" s="30"/>
    </row>
    <row r="19" spans="1:66" s="18" customFormat="1" ht="16.5">
      <c r="K19" s="30"/>
    </row>
    <row r="20" spans="1:66" s="18" customFormat="1" ht="16.5">
      <c r="K20" s="30"/>
    </row>
    <row r="21" spans="1:66" s="18" customFormat="1" ht="16.5">
      <c r="K21" s="30"/>
    </row>
    <row r="22" spans="1:66" s="18" customFormat="1" ht="16.5">
      <c r="K22" s="39"/>
    </row>
    <row r="23" spans="1:66" ht="15.75">
      <c r="A23" s="12"/>
      <c r="B23" s="7"/>
      <c r="C23" s="7"/>
      <c r="D23" s="13"/>
      <c r="E23" s="14"/>
      <c r="F23" s="14"/>
      <c r="G23" s="14"/>
      <c r="H23" s="9"/>
      <c r="I23" s="9"/>
      <c r="J23" s="14"/>
      <c r="K23" s="14"/>
      <c r="L23" s="9"/>
      <c r="M23" s="14"/>
      <c r="N23" s="14"/>
      <c r="O23" s="14"/>
      <c r="P23" s="14"/>
      <c r="Q23" s="14"/>
      <c r="R23" s="14"/>
      <c r="S23" s="14"/>
      <c r="T23" s="8"/>
      <c r="U23" s="9"/>
      <c r="V23" s="14"/>
      <c r="W23" s="14"/>
      <c r="X23" s="9"/>
      <c r="Y23" s="14"/>
      <c r="Z23" s="14"/>
      <c r="AA23" s="14"/>
      <c r="AB23" s="9"/>
      <c r="AC23" s="14"/>
      <c r="AD23" s="14"/>
      <c r="AE23" s="14"/>
      <c r="AF23" s="6"/>
      <c r="AG23" s="9"/>
      <c r="AH23" s="14"/>
      <c r="AI23" s="14"/>
      <c r="AJ23" s="9"/>
      <c r="AK23" s="14"/>
      <c r="AL23" s="14"/>
      <c r="AM23" s="14"/>
      <c r="AN23" s="6"/>
      <c r="AO23" s="6"/>
      <c r="AP23" s="6"/>
      <c r="AQ23" s="6"/>
      <c r="AR23" s="6"/>
      <c r="AS23" s="6"/>
      <c r="AT23" s="6"/>
      <c r="AU23" s="6"/>
      <c r="AV23" s="6"/>
      <c r="AW23" s="6"/>
      <c r="AX23" s="6"/>
      <c r="AY23" s="6"/>
      <c r="AZ23" s="6"/>
      <c r="BA23" s="6"/>
      <c r="BB23" s="6"/>
      <c r="BC23" s="6"/>
      <c r="BD23" s="14"/>
      <c r="BE23" s="14"/>
      <c r="BF23" s="14"/>
      <c r="BG23" s="9"/>
      <c r="BH23" s="9"/>
      <c r="BI23" s="14"/>
      <c r="BJ23" s="14"/>
      <c r="BK23" s="9"/>
      <c r="BL23" s="14"/>
      <c r="BM23" s="14"/>
      <c r="BN23" s="14"/>
    </row>
    <row r="24" spans="1:66" ht="13.5"/>
  </sheetData>
  <mergeCells count="10">
    <mergeCell ref="A11:E11"/>
    <mergeCell ref="A1:F1"/>
    <mergeCell ref="B2:F2"/>
    <mergeCell ref="A9:E9"/>
    <mergeCell ref="A4:A8"/>
    <mergeCell ref="B4:B5"/>
    <mergeCell ref="C4:C5"/>
    <mergeCell ref="D4:D5"/>
    <mergeCell ref="E4:E5"/>
    <mergeCell ref="F4:F5"/>
  </mergeCells>
  <printOptions horizontalCentered="1"/>
  <pageMargins left="0.70866141732283472" right="0.70866141732283472" top="0.74803149606299213" bottom="0.74803149606299213" header="0.31496062992125984" footer="0.31496062992125984"/>
  <pageSetup paperSize="9" scale="7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f342aa-8565-4a3e-aaf0-68c8bb9b9b5e">
      <Terms xmlns="http://schemas.microsoft.com/office/infopath/2007/PartnerControls"/>
    </lcf76f155ced4ddcb4097134ff3c332f>
    <TaxCatchAll xmlns="f1a14238-f7f8-4013-a1f9-dc55fc6e9bc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D63E78667300A4881972F843CB94C64" ma:contentTypeVersion="12" ma:contentTypeDescription="Create a new document." ma:contentTypeScope="" ma:versionID="69c427231e85762fd16865801ca0df50">
  <xsd:schema xmlns:xsd="http://www.w3.org/2001/XMLSchema" xmlns:xs="http://www.w3.org/2001/XMLSchema" xmlns:p="http://schemas.microsoft.com/office/2006/metadata/properties" xmlns:ns2="f1a14238-f7f8-4013-a1f9-dc55fc6e9bca" xmlns:ns3="b3f342aa-8565-4a3e-aaf0-68c8bb9b9b5e" targetNamespace="http://schemas.microsoft.com/office/2006/metadata/properties" ma:root="true" ma:fieldsID="0813079d41cb10886eae87116350473a" ns2:_="" ns3:_="">
    <xsd:import namespace="f1a14238-f7f8-4013-a1f9-dc55fc6e9bca"/>
    <xsd:import namespace="b3f342aa-8565-4a3e-aaf0-68c8bb9b9b5e"/>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a14238-f7f8-4013-a1f9-dc55fc6e9bca"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8" nillable="true" ma:displayName="Taxonomy Catch All Column" ma:hidden="true" ma:list="{8642dd7a-6099-4d61-874c-350dbdd9cdfd}" ma:internalName="TaxCatchAll" ma:showField="CatchAllData" ma:web="f1a14238-f7f8-4013-a1f9-dc55fc6e9bc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f342aa-8565-4a3e-aaf0-68c8bb9b9b5e"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7B86A2-ED2E-4F6C-B680-7071E162BC58}"/>
</file>

<file path=customXml/itemProps2.xml><?xml version="1.0" encoding="utf-8"?>
<ds:datastoreItem xmlns:ds="http://schemas.openxmlformats.org/officeDocument/2006/customXml" ds:itemID="{99830D0F-E5B8-44CC-A4A0-3DD2671AAB6A}"/>
</file>

<file path=customXml/itemProps3.xml><?xml version="1.0" encoding="utf-8"?>
<ds:datastoreItem xmlns:ds="http://schemas.openxmlformats.org/officeDocument/2006/customXml" ds:itemID="{597FE861-AF0F-4873-AE73-D6A47CE105C6}"/>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Edith Santamaria Rodriguez</dc:creator>
  <cp:keywords/>
  <dc:description/>
  <cp:lastModifiedBy>Jesus Maria Chaux Hernandez</cp:lastModifiedBy>
  <cp:revision/>
  <dcterms:created xsi:type="dcterms:W3CDTF">2017-01-13T15:55:00Z</dcterms:created>
  <dcterms:modified xsi:type="dcterms:W3CDTF">2026-10-21T13:01:22Z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0879C51D332F4ABC9DAF6792B29C1AE5_13</vt:lpwstr>
  </property>
  <property fmtid="{D5CDD505-2E9C-101B-9397-08002B2CF9AE}" pid="3" name="KSOProductBuildVer">
    <vt:lpwstr>1033-12.2.0.17119</vt:lpwstr>
  </property>
  <property fmtid="{D5CDD505-2E9C-101B-9397-08002B2CF9AE}" pid="4" name="ContentTypeId">
    <vt:lpwstr>0x0101007D63E78667300A4881972F843CB94C64</vt:lpwstr>
  </property>
  <property fmtid="{D5CDD505-2E9C-101B-9397-08002B2CF9AE}" pid="5" name="MediaServiceImageTags">
    <vt:lpwstr/>
  </property>
</Properties>
</file>