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arios\katherine.henao\Documents\CONTRACTUAL\VIGENCIA 2026\VIGILANCIA 2026\ESTUDIOS DEL SECTOR\VIGILANCIA\"/>
    </mc:Choice>
  </mc:AlternateContent>
  <xr:revisionPtr revIDLastSave="0" documentId="13_ncr:1_{E377698D-5A5D-4E56-8FBF-A1FE2021EDD6}" xr6:coauthVersionLast="47" xr6:coauthVersionMax="47" xr10:uidLastSave="{00000000-0000-0000-0000-000000000000}"/>
  <bookViews>
    <workbookView xWindow="-120" yWindow="-120" windowWidth="29040" windowHeight="15720" activeTab="2" xr2:uid="{F8DBB095-E687-4AFB-A463-23DF3C8A32F3}"/>
  </bookViews>
  <sheets>
    <sheet name="ANEXO 1. VALOR 2026 (1 MES)" sheetId="5" r:id="rId1"/>
    <sheet name="ANEXO 1.1.VALOR 2027 (12 MESES)" sheetId="6" r:id="rId2"/>
    <sheet name="ANEXO 1.2.VALOR 2028 (11 MESES)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50" i="5" l="1"/>
  <c r="L73" i="6"/>
  <c r="L77" i="6"/>
  <c r="K77" i="6"/>
  <c r="L51" i="7"/>
  <c r="M51" i="7"/>
  <c r="L75" i="6"/>
  <c r="L49" i="7"/>
  <c r="L43" i="7"/>
  <c r="E5" i="7"/>
  <c r="E7" i="7" s="1"/>
  <c r="K69" i="6"/>
  <c r="K64" i="6"/>
  <c r="K52" i="6"/>
  <c r="K47" i="6"/>
  <c r="K54" i="6" s="1"/>
  <c r="D9" i="6"/>
  <c r="D11" i="6" s="1"/>
  <c r="D5" i="6"/>
  <c r="D7" i="6" s="1"/>
  <c r="L48" i="5"/>
  <c r="L43" i="5"/>
  <c r="E7" i="5"/>
  <c r="L50" i="5" l="1"/>
  <c r="C12" i="7"/>
  <c r="C13" i="7"/>
  <c r="E39" i="7"/>
  <c r="E40" i="7"/>
  <c r="E41" i="7"/>
  <c r="E42" i="7"/>
  <c r="E48" i="7"/>
  <c r="D59" i="6"/>
  <c r="D60" i="6"/>
  <c r="D61" i="6"/>
  <c r="D62" i="6"/>
  <c r="D63" i="6"/>
  <c r="D68" i="6"/>
  <c r="B16" i="6"/>
  <c r="B17" i="6"/>
  <c r="D43" i="6"/>
  <c r="D44" i="6"/>
  <c r="D45" i="6"/>
  <c r="D46" i="6"/>
  <c r="D51" i="6"/>
  <c r="E47" i="5"/>
  <c r="C13" i="5"/>
  <c r="E42" i="5"/>
  <c r="E41" i="5"/>
  <c r="E40" i="5"/>
  <c r="E39" i="5"/>
  <c r="C12" i="5"/>
  <c r="E12" i="7" l="1"/>
  <c r="F12" i="7"/>
  <c r="E38" i="7"/>
  <c r="E13" i="7"/>
  <c r="F13" i="7"/>
  <c r="H39" i="7"/>
  <c r="I39" i="7"/>
  <c r="H40" i="7"/>
  <c r="I40" i="7"/>
  <c r="H41" i="7"/>
  <c r="I41" i="7"/>
  <c r="H42" i="7"/>
  <c r="I42" i="7"/>
  <c r="H48" i="7"/>
  <c r="I48" i="7" s="1"/>
  <c r="G59" i="6"/>
  <c r="H59" i="6"/>
  <c r="G60" i="6"/>
  <c r="H60" i="6"/>
  <c r="G61" i="6"/>
  <c r="H61" i="6"/>
  <c r="G62" i="6"/>
  <c r="H62" i="6"/>
  <c r="G63" i="6"/>
  <c r="H63" i="6"/>
  <c r="G68" i="6"/>
  <c r="H68" i="6"/>
  <c r="D16" i="6"/>
  <c r="E16" i="6"/>
  <c r="D42" i="6"/>
  <c r="D17" i="6"/>
  <c r="E17" i="6"/>
  <c r="G43" i="6"/>
  <c r="H43" i="6"/>
  <c r="G44" i="6"/>
  <c r="H44" i="6"/>
  <c r="G45" i="6"/>
  <c r="H45" i="6"/>
  <c r="G46" i="6"/>
  <c r="H46" i="6"/>
  <c r="G51" i="6"/>
  <c r="H51" i="6"/>
  <c r="H47" i="5"/>
  <c r="I47" i="5" s="1"/>
  <c r="E13" i="5"/>
  <c r="F13" i="5" s="1"/>
  <c r="H42" i="5"/>
  <c r="I42" i="5" s="1"/>
  <c r="H41" i="5"/>
  <c r="I41" i="5" s="1"/>
  <c r="H40" i="5"/>
  <c r="I40" i="5" s="1"/>
  <c r="H39" i="5"/>
  <c r="I39" i="5" s="1"/>
  <c r="E38" i="5"/>
  <c r="E12" i="5"/>
  <c r="F12" i="5" s="1"/>
  <c r="H38" i="7" l="1"/>
  <c r="I38" i="7"/>
  <c r="J39" i="7"/>
  <c r="K39" i="7"/>
  <c r="M39" i="7" s="1"/>
  <c r="J40" i="7"/>
  <c r="K40" i="7"/>
  <c r="M40" i="7" s="1"/>
  <c r="J41" i="7"/>
  <c r="K41" i="7"/>
  <c r="M41" i="7" s="1"/>
  <c r="J42" i="7"/>
  <c r="K42" i="7"/>
  <c r="M42" i="7" s="1"/>
  <c r="J48" i="7"/>
  <c r="K48" i="7"/>
  <c r="M48" i="7" s="1"/>
  <c r="M49" i="7" s="1"/>
  <c r="I59" i="6"/>
  <c r="J59" i="6"/>
  <c r="L59" i="6" s="1"/>
  <c r="I60" i="6"/>
  <c r="J60" i="6"/>
  <c r="L60" i="6" s="1"/>
  <c r="I61" i="6"/>
  <c r="J61" i="6"/>
  <c r="L61" i="6" s="1"/>
  <c r="I62" i="6"/>
  <c r="J62" i="6"/>
  <c r="L62" i="6" s="1"/>
  <c r="I63" i="6"/>
  <c r="J63" i="6"/>
  <c r="L63" i="6" s="1"/>
  <c r="I68" i="6"/>
  <c r="J68" i="6"/>
  <c r="L68" i="6" s="1"/>
  <c r="L69" i="6" s="1"/>
  <c r="G42" i="6"/>
  <c r="H42" i="6"/>
  <c r="I43" i="6"/>
  <c r="J43" i="6"/>
  <c r="L43" i="6" s="1"/>
  <c r="I44" i="6"/>
  <c r="J44" i="6"/>
  <c r="L44" i="6" s="1"/>
  <c r="I45" i="6"/>
  <c r="J45" i="6"/>
  <c r="L45" i="6" s="1"/>
  <c r="I46" i="6"/>
  <c r="J46" i="6"/>
  <c r="L46" i="6" s="1"/>
  <c r="I51" i="6"/>
  <c r="J51" i="6"/>
  <c r="L51" i="6" s="1"/>
  <c r="L52" i="6" s="1"/>
  <c r="J47" i="5"/>
  <c r="K47" i="5"/>
  <c r="M47" i="5" s="1"/>
  <c r="M48" i="5" s="1"/>
  <c r="J42" i="5"/>
  <c r="K42" i="5"/>
  <c r="M42" i="5" s="1"/>
  <c r="J41" i="5"/>
  <c r="K41" i="5" s="1"/>
  <c r="M41" i="5" s="1"/>
  <c r="J40" i="5"/>
  <c r="K40" i="5"/>
  <c r="M40" i="5" s="1"/>
  <c r="J39" i="5"/>
  <c r="K39" i="5" s="1"/>
  <c r="M39" i="5" s="1"/>
  <c r="H38" i="5"/>
  <c r="I38" i="5" s="1"/>
  <c r="J38" i="7" l="1"/>
  <c r="K38" i="7"/>
  <c r="M38" i="7" s="1"/>
  <c r="M43" i="7" s="1"/>
  <c r="I42" i="6"/>
  <c r="J42" i="6"/>
  <c r="L42" i="6" s="1"/>
  <c r="L47" i="6" s="1"/>
  <c r="L54" i="6" s="1"/>
  <c r="J38" i="5"/>
  <c r="K38" i="5" s="1"/>
  <c r="M38" i="5" s="1"/>
  <c r="M43" i="5" s="1"/>
  <c r="L64" i="6"/>
</calcChain>
</file>

<file path=xl/sharedStrings.xml><?xml version="1.0" encoding="utf-8"?>
<sst xmlns="http://schemas.openxmlformats.org/spreadsheetml/2006/main" count="283" uniqueCount="71">
  <si>
    <t>ANEXO 1 - FACTOR HUMANO - VIGENCIA 2026 (1 MES)</t>
  </si>
  <si>
    <t>PRESTAR LOS SERVICIOS DE VIGILANCIA Y SEGURIDAD PRIVADA, FIJA Y MÓVIL, MEDIANTE EL USO DE MEDIOS TECNOLÓGICOS Y PERSONAL UNIFORMADO, CON Y SIN ARMAS, CON EL FIN DE GARANTIZAR LA PROTECCIÓN, CUSTODIA, AMPARO Y SALVAGUARDA DE LAS PERSONAS QUE LABORAN E INGRESAN A LAS INSTALACIONES, AL IGUAL QUE DE LOS BIENES MUEBLES E INMUEBLES DE LA FISCALÍA GENERAL DE LA NACIÓN Y DEL FONDO ESPECIAL PARA LA ADMINISTRACIÓN DE BIENES (FEAB), EN LA REGIONAL NOROCCIDENTAL, CONFORMADA POR: I) ANTIOQUIA-MEDELLÍN, II) CÓRDOBA Y III) SUCRE.</t>
  </si>
  <si>
    <t>VARIABLES ESTABLECIDAS POR LA  SUPERINTENDENCIA DE VIGILANCIA Y SEGURIDAD PARA EL AÑO 2026 SEGÚN CIRCULAR EXTERNA Nº 202513000001105CS DEL 30 DE DICIEMBRE DE 2025</t>
  </si>
  <si>
    <t>SALARIO MINIMO 2026</t>
  </si>
  <si>
    <t>VALOR PRIMA SEGURO DE VIDA</t>
  </si>
  <si>
    <t>TARIFA MINIMA SECTOR PUBLICO</t>
  </si>
  <si>
    <t>VALOR TARIFA MINIMA SECTOR PUBLICO</t>
  </si>
  <si>
    <t>MODALIDAD DE MEDIO, TARIFA, PORCENTAJE  ADMINISTRACION  Y SUPERVISION.</t>
  </si>
  <si>
    <t>MODALIDAD MEDIO</t>
  </si>
  <si>
    <t>TARIFA</t>
  </si>
  <si>
    <t xml:space="preserve">PORCENTAJE A Y S </t>
  </si>
  <si>
    <t>VALOR A Y S</t>
  </si>
  <si>
    <t>TARIFA + A Y S</t>
  </si>
  <si>
    <t>24 HORAS 30 DIAS AL MES MEDIO HUMANO SIN ARMA</t>
  </si>
  <si>
    <t>24 HORAS 30 DIAS AL MES MEDIO HUMANO CON  ARMA</t>
  </si>
  <si>
    <t>DIAS A TENER EN CUENTA PARA EL COBRO DE LAS TARIFAS MINIMAS EN LA PRESTACION DE LOS SERVICIOS DE VIGILANCIA Y SEGURIDAD PRIVADA PARA 2026</t>
  </si>
  <si>
    <t xml:space="preserve">LUNES A VIERNES SIN FESTIVOS </t>
  </si>
  <si>
    <t>LUNES A VIERNES CON FESTIVOS</t>
  </si>
  <si>
    <t>LUNES A SABADO SIN FESTIVOS</t>
  </si>
  <si>
    <t>LUNES A SABADO CON FESTIVOS</t>
  </si>
  <si>
    <t>FESTIVOS</t>
  </si>
  <si>
    <t>SABADOS Y DOMINGOS</t>
  </si>
  <si>
    <t>SABADOS, DOMINGOS Y FESTIVOS</t>
  </si>
  <si>
    <t>VARIABLE DE PROPORCIONALIDAD SOBRE EL VALOR DEL SERVICIO ESTABLECIDO PARA UN SERVICIO DE VEINTICUATRO (24) HORAS Y TREINTA (30) DÍAS AL MES Y EN LOS TÉRMINOS DE LA JORNADA LABORAL VIGENTE.</t>
  </si>
  <si>
    <t xml:space="preserve">JORNADA LABORAL  </t>
  </si>
  <si>
    <t>VARIABLE DE PROPORCIONALIDAD</t>
  </si>
  <si>
    <t>JORNADA LABORAL</t>
  </si>
  <si>
    <t xml:space="preserve">6:00 A.M. a 2:00 P.M. (turno de 8 horas diurno) </t>
  </si>
  <si>
    <t>6am. A 9pm turno de 15 Hrs. DIURNO</t>
  </si>
  <si>
    <t xml:space="preserve">2:00 P.M. a 9:00 P.M. (turno de 7 horas diurno) </t>
  </si>
  <si>
    <t xml:space="preserve">9:00 P.M. a 6:00 A.M. (turno de 9 horas nocturnas) </t>
  </si>
  <si>
    <t>10pm a 6am tuRno de 9 Hrs NOCTURNO</t>
  </si>
  <si>
    <t>TOTAL 24 hrs durante 30 días</t>
  </si>
  <si>
    <t xml:space="preserve">b. Tomar el valor resultante de la aplicación de la variable de proporcionalidad anteriormente establecida, dividirlo por treinta (30) días y multiplicarlo por el número de días en que se prestará el servicio, luego dividirlo por la jornada laboral y el resultado multiplicarlo por las horas requeridas del servicio.
</t>
  </si>
  <si>
    <t>Lo anterior, corresponde a la aplicación de la siguiente fórmula matemática:  (SMLMV x TARIFA DE SERVICIOS) x VARIABLE PROPORCIONALIDAD) /30) x DÍAS
QUE SE REQUIERE EL SERVICIO) /JORNADA LABORAL) x HORAS REQUERIDAS DEL SERVICIO.</t>
  </si>
  <si>
    <t>NECESIDAD FGN ( VALORES UNITARIOS  MES)</t>
  </si>
  <si>
    <t>VALIDACION TOTAL DE CIFRAS</t>
  </si>
  <si>
    <t>MODALIDAD /MEDIO</t>
  </si>
  <si>
    <t xml:space="preserve">DIAS  AL MES SEGÚN CIRCULAR DE SUPERVIGILANCIA </t>
  </si>
  <si>
    <t>VALOR MES</t>
  </si>
  <si>
    <t>%  ADMINISTRACION Y SUPERVISION</t>
  </si>
  <si>
    <t>VALOR MES  ADMINISTRACION Y SUPERVISION</t>
  </si>
  <si>
    <t>VALOR MES INCLUIDO  ADMINISTRACION Y SUPERVISION</t>
  </si>
  <si>
    <t>IVA</t>
  </si>
  <si>
    <t>VALOR MES INCLUIDO AYS E IVA</t>
  </si>
  <si>
    <t xml:space="preserve">CONSOLIDADO PUESTOS </t>
  </si>
  <si>
    <t>VALOR 2026
 1 MES</t>
  </si>
  <si>
    <t>24 HRS CON ARMA</t>
  </si>
  <si>
    <t>DOMINGO A DOMINGO</t>
  </si>
  <si>
    <t>12 HRS DIURNO CON ARMA</t>
  </si>
  <si>
    <t>12 HRS DIURNO CON  ARMA</t>
  </si>
  <si>
    <t>LUNES A VIERNES SIN FESTIVOS</t>
  </si>
  <si>
    <t>12 HRS DIURNO SIN  ARMA</t>
  </si>
  <si>
    <t>NECESIDAD FEAB ( VALORES UNITARIOS  MES)</t>
  </si>
  <si>
    <t>VALOR 2026
  1 MES</t>
  </si>
  <si>
    <t>ANEXO 1.1. - FACTOR HUMANO - VIGENCIA 2027 (12 MESES)</t>
  </si>
  <si>
    <t>DIAS A TENER EN CUENTA PARA EL COBRO DE LAS TARIFAS MINIMAS EN LA PRESTACION DE LOS SERVICIOS DE VIGILANCIA Y SEGURIDAD PRIVADA PARA 2024</t>
  </si>
  <si>
    <t>10pm a 6am turno de 9 Hrs NOCTURNO</t>
  </si>
  <si>
    <t>NECESIDAD DE LA ENTIDAD ( VALORES UNITARIOS  MES)</t>
  </si>
  <si>
    <t xml:space="preserve">VALOR 2027
  6 MESES </t>
  </si>
  <si>
    <t>ANEXO 1.2. - FACTOR HUMANO - VIGENCIA 2028 (11 MESES)</t>
  </si>
  <si>
    <t>VALOR TOTAL 2028
11 MESES</t>
  </si>
  <si>
    <t>Empresa:</t>
  </si>
  <si>
    <t>Representante Legal:</t>
  </si>
  <si>
    <t>NIT:</t>
  </si>
  <si>
    <t>Teléfono o Celular:</t>
  </si>
  <si>
    <t xml:space="preserve">E-mail: </t>
  </si>
  <si>
    <t>Fecha de Oferta:</t>
  </si>
  <si>
    <t>FIRMA DIGITAL</t>
  </si>
  <si>
    <t xml:space="preserve"> 1 ENERO AL 30 DE JUNIO 2027 (6 meses)</t>
  </si>
  <si>
    <t>1 DE JULIO AL 31 DE DICIEMBRE 2027 (6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</si>
</sst>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&quot;$&quot;#,##0"/>
    <numFmt numFmtId="165" formatCode="#,##0.0"/>
    <numFmt numFmtId="166" formatCode="&quot;$&quot;#,##0.00"/>
    <numFmt numFmtId="167" formatCode="&quot;$&quot;\ #,##0.00"/>
    <numFmt numFmtId="168" formatCode="_(&quot;$&quot;* #,##0.00_);_(&quot;$&quot;* \(#,##0.00\);_(&quot;$&quot;* &quot;-&quot;??_);_(@_)"/>
    <numFmt numFmtId="169" formatCode="_-&quot;$&quot;* #,##0.00_-;\-&quot;$&quot;* #,##0.00_-;_-&quot;$&quot;* &quot;-&quot;??_-;_-@_-"/>
    <numFmt numFmtId="170" formatCode="0.00000%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Arial Narrow"/>
      <family val="2"/>
    </font>
    <font>
      <b/>
      <sz val="12"/>
      <color theme="0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name val="Carlito"/>
    </font>
    <font>
      <b/>
      <sz val="10"/>
      <color theme="1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0"/>
      <color theme="1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2"/>
      <color theme="1"/>
      <name val="Arial"/>
      <family val="2"/>
    </font>
    <font>
      <b/>
      <sz val="11"/>
      <color theme="0"/>
      <name val="Arial Narrow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6" fillId="0" borderId="0"/>
  </cellStyleXfs>
  <cellXfs count="193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4" xfId="1" applyFont="1" applyBorder="1"/>
    <xf numFmtId="0" fontId="6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165" fontId="4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5" fillId="0" borderId="5" xfId="1" applyFont="1" applyBorder="1" applyAlignment="1">
      <alignment horizontal="left"/>
    </xf>
    <xf numFmtId="0" fontId="5" fillId="0" borderId="0" xfId="1" applyFont="1" applyAlignment="1">
      <alignment horizontal="left"/>
    </xf>
    <xf numFmtId="164" fontId="4" fillId="0" borderId="6" xfId="1" applyNumberFormat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8" fillId="0" borderId="4" xfId="1" applyFont="1" applyBorder="1"/>
    <xf numFmtId="0" fontId="8" fillId="0" borderId="4" xfId="1" applyFont="1" applyBorder="1" applyAlignment="1">
      <alignment horizontal="center" wrapText="1"/>
    </xf>
    <xf numFmtId="0" fontId="8" fillId="0" borderId="0" xfId="1" applyFont="1"/>
    <xf numFmtId="0" fontId="8" fillId="0" borderId="0" xfId="1" applyFont="1" applyAlignment="1">
      <alignment horizontal="center"/>
    </xf>
    <xf numFmtId="0" fontId="4" fillId="0" borderId="10" xfId="1" applyFont="1" applyBorder="1" applyAlignment="1">
      <alignment wrapText="1"/>
    </xf>
    <xf numFmtId="166" fontId="4" fillId="0" borderId="11" xfId="1" applyNumberFormat="1" applyFont="1" applyBorder="1" applyAlignment="1">
      <alignment horizontal="center" vertical="center"/>
    </xf>
    <xf numFmtId="9" fontId="4" fillId="0" borderId="11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4" fontId="4" fillId="0" borderId="0" xfId="1" applyNumberFormat="1" applyFont="1"/>
    <xf numFmtId="0" fontId="4" fillId="0" borderId="13" xfId="1" applyFont="1" applyBorder="1" applyAlignment="1">
      <alignment wrapText="1"/>
    </xf>
    <xf numFmtId="166" fontId="4" fillId="0" borderId="14" xfId="1" applyNumberFormat="1" applyFont="1" applyBorder="1" applyAlignment="1">
      <alignment horizontal="center" vertical="center"/>
    </xf>
    <xf numFmtId="9" fontId="4" fillId="0" borderId="14" xfId="1" applyNumberFormat="1" applyFont="1" applyBorder="1" applyAlignment="1">
      <alignment horizontal="center" vertical="center"/>
    </xf>
    <xf numFmtId="166" fontId="4" fillId="0" borderId="15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wrapText="1"/>
    </xf>
    <xf numFmtId="9" fontId="4" fillId="0" borderId="0" xfId="1" applyNumberFormat="1" applyFont="1"/>
    <xf numFmtId="0" fontId="4" fillId="0" borderId="2" xfId="1" applyFont="1" applyBorder="1" applyAlignment="1">
      <alignment horizontal="center"/>
    </xf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wrapText="1"/>
    </xf>
    <xf numFmtId="0" fontId="5" fillId="0" borderId="5" xfId="1" applyFont="1" applyBorder="1" applyAlignment="1">
      <alignment horizontal="left" wrapText="1"/>
    </xf>
    <xf numFmtId="0" fontId="6" fillId="4" borderId="2" xfId="1" applyFont="1" applyFill="1" applyBorder="1" applyAlignment="1">
      <alignment horizont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4" fillId="0" borderId="4" xfId="1" applyFont="1" applyBorder="1" applyAlignment="1">
      <alignment wrapText="1"/>
    </xf>
    <xf numFmtId="0" fontId="4" fillId="0" borderId="4" xfId="1" applyFont="1" applyBorder="1" applyAlignment="1">
      <alignment horizontal="center"/>
    </xf>
    <xf numFmtId="166" fontId="4" fillId="0" borderId="4" xfId="1" applyNumberFormat="1" applyFont="1" applyBorder="1"/>
    <xf numFmtId="9" fontId="4" fillId="0" borderId="3" xfId="3" applyFont="1" applyFill="1" applyBorder="1" applyAlignment="1">
      <alignment horizontal="center"/>
    </xf>
    <xf numFmtId="0" fontId="5" fillId="0" borderId="0" xfId="1" applyFont="1" applyAlignment="1">
      <alignment horizontal="center" wrapText="1"/>
    </xf>
    <xf numFmtId="166" fontId="4" fillId="0" borderId="12" xfId="1" applyNumberFormat="1" applyFont="1" applyBorder="1"/>
    <xf numFmtId="166" fontId="4" fillId="6" borderId="22" xfId="1" applyNumberFormat="1" applyFont="1" applyFill="1" applyBorder="1"/>
    <xf numFmtId="167" fontId="4" fillId="0" borderId="0" xfId="1" applyNumberFormat="1" applyFont="1"/>
    <xf numFmtId="9" fontId="4" fillId="0" borderId="4" xfId="3" applyFont="1" applyFill="1" applyBorder="1" applyAlignment="1">
      <alignment horizontal="center"/>
    </xf>
    <xf numFmtId="166" fontId="4" fillId="0" borderId="0" xfId="1" applyNumberFormat="1" applyFont="1"/>
    <xf numFmtId="0" fontId="4" fillId="7" borderId="1" xfId="1" applyFont="1" applyFill="1" applyBorder="1" applyAlignment="1">
      <alignment horizontal="center"/>
    </xf>
    <xf numFmtId="166" fontId="4" fillId="6" borderId="4" xfId="1" applyNumberFormat="1" applyFont="1" applyFill="1" applyBorder="1"/>
    <xf numFmtId="168" fontId="4" fillId="0" borderId="0" xfId="1" applyNumberFormat="1" applyFont="1"/>
    <xf numFmtId="0" fontId="8" fillId="0" borderId="8" xfId="1" applyFont="1" applyBorder="1" applyAlignment="1">
      <alignment horizontal="center" vertical="center" wrapText="1"/>
    </xf>
    <xf numFmtId="1" fontId="12" fillId="6" borderId="0" xfId="1" applyNumberFormat="1" applyFont="1" applyFill="1"/>
    <xf numFmtId="0" fontId="12" fillId="0" borderId="0" xfId="1" applyFont="1"/>
    <xf numFmtId="0" fontId="4" fillId="0" borderId="1" xfId="1" applyFont="1" applyBorder="1" applyAlignment="1">
      <alignment wrapText="1"/>
    </xf>
    <xf numFmtId="166" fontId="4" fillId="0" borderId="23" xfId="1" applyNumberFormat="1" applyFont="1" applyBorder="1"/>
    <xf numFmtId="1" fontId="4" fillId="0" borderId="22" xfId="1" applyNumberFormat="1" applyFont="1" applyBorder="1" applyAlignment="1">
      <alignment horizontal="center"/>
    </xf>
    <xf numFmtId="167" fontId="4" fillId="6" borderId="4" xfId="1" applyNumberFormat="1" applyFont="1" applyFill="1" applyBorder="1"/>
    <xf numFmtId="167" fontId="4" fillId="0" borderId="0" xfId="4" applyNumberFormat="1" applyFont="1"/>
    <xf numFmtId="1" fontId="4" fillId="7" borderId="1" xfId="1" applyNumberFormat="1" applyFont="1" applyFill="1" applyBorder="1" applyAlignment="1">
      <alignment horizontal="center"/>
    </xf>
    <xf numFmtId="167" fontId="5" fillId="0" borderId="4" xfId="1" applyNumberFormat="1" applyFont="1" applyBorder="1"/>
    <xf numFmtId="0" fontId="13" fillId="0" borderId="0" xfId="1" applyFont="1" applyAlignment="1">
      <alignment horizontal="left"/>
    </xf>
    <xf numFmtId="0" fontId="14" fillId="0" borderId="0" xfId="1" applyFont="1"/>
    <xf numFmtId="170" fontId="4" fillId="0" borderId="0" xfId="3" applyNumberFormat="1" applyFont="1" applyBorder="1"/>
    <xf numFmtId="166" fontId="4" fillId="0" borderId="0" xfId="1" applyNumberFormat="1" applyFont="1" applyAlignment="1">
      <alignment horizontal="center"/>
    </xf>
    <xf numFmtId="166" fontId="4" fillId="0" borderId="6" xfId="1" applyNumberFormat="1" applyFont="1" applyBorder="1" applyAlignment="1">
      <alignment horizontal="center"/>
    </xf>
    <xf numFmtId="9" fontId="4" fillId="0" borderId="0" xfId="1" applyNumberFormat="1" applyFont="1" applyAlignment="1">
      <alignment horizontal="center"/>
    </xf>
    <xf numFmtId="166" fontId="4" fillId="0" borderId="22" xfId="1" applyNumberFormat="1" applyFont="1" applyBorder="1"/>
    <xf numFmtId="0" fontId="4" fillId="0" borderId="20" xfId="1" applyFont="1" applyBorder="1" applyAlignment="1">
      <alignment horizontal="center"/>
    </xf>
    <xf numFmtId="166" fontId="4" fillId="0" borderId="20" xfId="1" applyNumberFormat="1" applyFont="1" applyBorder="1"/>
    <xf numFmtId="164" fontId="4" fillId="0" borderId="11" xfId="1" applyNumberFormat="1" applyFont="1" applyBorder="1" applyAlignment="1">
      <alignment horizontal="center" vertical="center"/>
    </xf>
    <xf numFmtId="164" fontId="4" fillId="0" borderId="1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9" fontId="4" fillId="0" borderId="12" xfId="1" applyNumberFormat="1" applyFont="1" applyBorder="1" applyAlignment="1">
      <alignment horizontal="center" vertical="center"/>
    </xf>
    <xf numFmtId="166" fontId="4" fillId="0" borderId="21" xfId="1" applyNumberFormat="1" applyFont="1" applyBorder="1"/>
    <xf numFmtId="166" fontId="4" fillId="0" borderId="26" xfId="1" applyNumberFormat="1" applyFont="1" applyBorder="1"/>
    <xf numFmtId="0" fontId="4" fillId="0" borderId="26" xfId="1" applyFont="1" applyBorder="1" applyAlignment="1">
      <alignment horizontal="center" wrapText="1"/>
    </xf>
    <xf numFmtId="0" fontId="4" fillId="0" borderId="23" xfId="1" applyFont="1" applyBorder="1" applyAlignment="1">
      <alignment horizontal="center" wrapText="1"/>
    </xf>
    <xf numFmtId="3" fontId="5" fillId="10" borderId="20" xfId="5" applyNumberFormat="1" applyFont="1" applyFill="1" applyBorder="1" applyAlignment="1" applyProtection="1">
      <alignment horizontal="center" vertical="center" wrapText="1"/>
      <protection locked="0"/>
    </xf>
    <xf numFmtId="3" fontId="5" fillId="0" borderId="20" xfId="5" applyNumberFormat="1" applyFont="1" applyBorder="1" applyAlignment="1" applyProtection="1">
      <alignment horizontal="center" vertical="center" wrapText="1"/>
      <protection locked="0"/>
    </xf>
    <xf numFmtId="0" fontId="5" fillId="8" borderId="20" xfId="1" applyFont="1" applyFill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6" fillId="4" borderId="1" xfId="1" applyFont="1" applyFill="1" applyBorder="1" applyAlignment="1">
      <alignment horizontal="center"/>
    </xf>
    <xf numFmtId="0" fontId="6" fillId="4" borderId="2" xfId="1" applyFont="1" applyFill="1" applyBorder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center"/>
    </xf>
    <xf numFmtId="0" fontId="5" fillId="0" borderId="8" xfId="1" applyFont="1" applyBorder="1" applyAlignment="1">
      <alignment horizontal="center" wrapText="1"/>
    </xf>
    <xf numFmtId="0" fontId="5" fillId="0" borderId="0" xfId="1" applyFont="1" applyAlignment="1">
      <alignment horizontal="center" wrapText="1"/>
    </xf>
    <xf numFmtId="0" fontId="9" fillId="4" borderId="20" xfId="1" applyFont="1" applyFill="1" applyBorder="1" applyAlignment="1" applyProtection="1">
      <alignment horizontal="center" vertical="center" wrapText="1"/>
      <protection hidden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1" xfId="1" applyFont="1" applyBorder="1" applyAlignment="1">
      <alignment horizontal="left" wrapText="1"/>
    </xf>
    <xf numFmtId="0" fontId="5" fillId="0" borderId="2" xfId="1" applyFont="1" applyBorder="1" applyAlignment="1">
      <alignment horizontal="left" wrapText="1"/>
    </xf>
    <xf numFmtId="0" fontId="5" fillId="0" borderId="3" xfId="1" applyFont="1" applyBorder="1" applyAlignment="1">
      <alignment horizontal="left" wrapText="1"/>
    </xf>
    <xf numFmtId="0" fontId="4" fillId="0" borderId="8" xfId="1" applyFont="1" applyBorder="1" applyAlignment="1">
      <alignment horizontal="center"/>
    </xf>
    <xf numFmtId="10" fontId="4" fillId="0" borderId="7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10" fillId="0" borderId="16" xfId="1" applyFont="1" applyBorder="1" applyAlignment="1" applyProtection="1">
      <alignment horizontal="center" vertical="center" wrapText="1"/>
      <protection hidden="1"/>
    </xf>
    <xf numFmtId="0" fontId="10" fillId="0" borderId="20" xfId="1" applyFont="1" applyBorder="1" applyAlignment="1" applyProtection="1">
      <alignment horizontal="center" vertical="center" wrapText="1"/>
      <protection hidden="1"/>
    </xf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0" fontId="4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6" fillId="4" borderId="1" xfId="1" applyFont="1" applyFill="1" applyBorder="1" applyAlignment="1">
      <alignment horizontal="center" wrapText="1"/>
    </xf>
    <xf numFmtId="0" fontId="6" fillId="4" borderId="2" xfId="1" applyFont="1" applyFill="1" applyBorder="1" applyAlignment="1">
      <alignment horizontal="center" wrapText="1"/>
    </xf>
    <xf numFmtId="0" fontId="6" fillId="4" borderId="3" xfId="1" applyFont="1" applyFill="1" applyBorder="1" applyAlignment="1">
      <alignment horizontal="center" wrapText="1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4" fillId="0" borderId="1" xfId="3" applyNumberFormat="1" applyFont="1" applyBorder="1" applyAlignment="1">
      <alignment horizontal="center"/>
    </xf>
    <xf numFmtId="0" fontId="4" fillId="0" borderId="3" xfId="3" applyNumberFormat="1" applyFont="1" applyBorder="1" applyAlignment="1">
      <alignment horizontal="center"/>
    </xf>
    <xf numFmtId="166" fontId="4" fillId="0" borderId="1" xfId="1" applyNumberFormat="1" applyFont="1" applyBorder="1" applyAlignment="1">
      <alignment horizontal="center"/>
    </xf>
    <xf numFmtId="166" fontId="4" fillId="0" borderId="3" xfId="1" applyNumberFormat="1" applyFont="1" applyBorder="1" applyAlignment="1">
      <alignment horizont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6" fillId="4" borderId="7" xfId="1" applyFont="1" applyFill="1" applyBorder="1" applyAlignment="1">
      <alignment horizontal="center" wrapText="1"/>
    </xf>
    <xf numFmtId="0" fontId="6" fillId="4" borderId="8" xfId="1" applyFont="1" applyFill="1" applyBorder="1" applyAlignment="1">
      <alignment horizontal="center" wrapText="1"/>
    </xf>
    <xf numFmtId="0" fontId="6" fillId="4" borderId="9" xfId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0" fontId="5" fillId="9" borderId="1" xfId="2" applyFont="1" applyFill="1" applyBorder="1" applyAlignment="1">
      <alignment horizontal="center" vertical="center"/>
    </xf>
    <xf numFmtId="0" fontId="5" fillId="9" borderId="2" xfId="2" applyFont="1" applyFill="1" applyBorder="1" applyAlignment="1">
      <alignment horizontal="center" vertical="center"/>
    </xf>
    <xf numFmtId="0" fontId="5" fillId="9" borderId="3" xfId="2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9" fillId="0" borderId="1" xfId="1" applyFont="1" applyBorder="1" applyAlignment="1" applyProtection="1">
      <alignment horizontal="center" vertical="center"/>
      <protection hidden="1"/>
    </xf>
    <xf numFmtId="0" fontId="9" fillId="0" borderId="2" xfId="1" applyFont="1" applyBorder="1" applyAlignment="1" applyProtection="1">
      <alignment horizontal="center" vertical="center"/>
      <protection hidden="1"/>
    </xf>
    <xf numFmtId="0" fontId="9" fillId="0" borderId="3" xfId="1" applyFont="1" applyBorder="1" applyAlignment="1" applyProtection="1">
      <alignment horizontal="center" vertical="center"/>
      <protection hidden="1"/>
    </xf>
    <xf numFmtId="0" fontId="8" fillId="8" borderId="4" xfId="1" applyFont="1" applyFill="1" applyBorder="1" applyAlignment="1">
      <alignment horizontal="center" vertical="center"/>
    </xf>
    <xf numFmtId="0" fontId="8" fillId="8" borderId="4" xfId="1" applyFont="1" applyFill="1" applyBorder="1" applyAlignment="1">
      <alignment horizontal="center" vertical="center" wrapText="1"/>
    </xf>
    <xf numFmtId="0" fontId="5" fillId="0" borderId="21" xfId="1" applyFont="1" applyBorder="1" applyAlignment="1">
      <alignment horizontal="center" wrapText="1"/>
    </xf>
    <xf numFmtId="0" fontId="5" fillId="0" borderId="27" xfId="1" applyFont="1" applyBorder="1" applyAlignment="1">
      <alignment horizontal="center" wrapText="1"/>
    </xf>
    <xf numFmtId="0" fontId="4" fillId="0" borderId="1" xfId="3" applyNumberFormat="1" applyFont="1" applyFill="1" applyBorder="1" applyAlignment="1">
      <alignment horizontal="center"/>
    </xf>
    <xf numFmtId="0" fontId="4" fillId="0" borderId="3" xfId="3" applyNumberFormat="1" applyFont="1" applyFill="1" applyBorder="1" applyAlignment="1">
      <alignment horizontal="center"/>
    </xf>
    <xf numFmtId="0" fontId="17" fillId="5" borderId="5" xfId="1" applyFont="1" applyFill="1" applyBorder="1" applyAlignment="1">
      <alignment horizontal="center" vertical="center" wrapText="1"/>
    </xf>
    <xf numFmtId="0" fontId="17" fillId="5" borderId="0" xfId="1" applyFont="1" applyFill="1" applyAlignment="1">
      <alignment horizontal="center" vertical="center" wrapText="1"/>
    </xf>
    <xf numFmtId="0" fontId="6" fillId="4" borderId="24" xfId="1" applyFont="1" applyFill="1" applyBorder="1" applyAlignment="1">
      <alignment horizontal="center"/>
    </xf>
    <xf numFmtId="0" fontId="6" fillId="4" borderId="25" xfId="1" applyFont="1" applyFill="1" applyBorder="1" applyAlignment="1">
      <alignment horizontal="center"/>
    </xf>
    <xf numFmtId="0" fontId="6" fillId="4" borderId="23" xfId="1" applyFont="1" applyFill="1" applyBorder="1" applyAlignment="1">
      <alignment horizontal="center"/>
    </xf>
    <xf numFmtId="0" fontId="6" fillId="4" borderId="4" xfId="1" applyFont="1" applyFill="1" applyBorder="1" applyAlignment="1">
      <alignment horizontal="center"/>
    </xf>
    <xf numFmtId="0" fontId="5" fillId="4" borderId="24" xfId="1" applyFont="1" applyFill="1" applyBorder="1" applyAlignment="1">
      <alignment horizontal="center"/>
    </xf>
    <xf numFmtId="0" fontId="5" fillId="4" borderId="23" xfId="1" applyFont="1" applyFill="1" applyBorder="1" applyAlignment="1">
      <alignment horizontal="center"/>
    </xf>
    <xf numFmtId="0" fontId="5" fillId="0" borderId="28" xfId="1" applyFont="1" applyBorder="1" applyAlignment="1">
      <alignment horizontal="center" wrapText="1"/>
    </xf>
    <xf numFmtId="0" fontId="5" fillId="0" borderId="29" xfId="1" applyFont="1" applyBorder="1" applyAlignment="1">
      <alignment horizontal="center" wrapText="1"/>
    </xf>
    <xf numFmtId="1" fontId="4" fillId="0" borderId="4" xfId="1" applyNumberFormat="1" applyFont="1" applyBorder="1" applyAlignment="1">
      <alignment horizontal="center"/>
    </xf>
    <xf numFmtId="0" fontId="5" fillId="0" borderId="29" xfId="1" applyFont="1" applyBorder="1" applyAlignment="1">
      <alignment horizontal="center" wrapText="1"/>
    </xf>
    <xf numFmtId="1" fontId="4" fillId="7" borderId="17" xfId="1" applyNumberFormat="1" applyFont="1" applyFill="1" applyBorder="1" applyAlignment="1">
      <alignment horizontal="center"/>
    </xf>
    <xf numFmtId="167" fontId="5" fillId="0" borderId="15" xfId="1" applyNumberFormat="1" applyFont="1" applyBorder="1"/>
    <xf numFmtId="0" fontId="8" fillId="0" borderId="28" xfId="1" applyFont="1" applyBorder="1" applyAlignment="1">
      <alignment horizontal="center" vertical="center" wrapText="1"/>
    </xf>
    <xf numFmtId="0" fontId="4" fillId="0" borderId="16" xfId="1" applyFont="1" applyBorder="1" applyAlignment="1">
      <alignment wrapText="1"/>
    </xf>
    <xf numFmtId="166" fontId="4" fillId="0" borderId="16" xfId="1" applyNumberFormat="1" applyFont="1" applyBorder="1"/>
    <xf numFmtId="9" fontId="4" fillId="0" borderId="16" xfId="3" applyFont="1" applyFill="1" applyBorder="1" applyAlignment="1">
      <alignment horizontal="center"/>
    </xf>
    <xf numFmtId="1" fontId="4" fillId="0" borderId="16" xfId="1" applyNumberFormat="1" applyFont="1" applyBorder="1" applyAlignment="1">
      <alignment horizontal="center"/>
    </xf>
    <xf numFmtId="166" fontId="4" fillId="6" borderId="16" xfId="1" applyNumberFormat="1" applyFont="1" applyFill="1" applyBorder="1"/>
    <xf numFmtId="0" fontId="4" fillId="7" borderId="17" xfId="1" applyFont="1" applyFill="1" applyBorder="1" applyAlignment="1">
      <alignment horizontal="center"/>
    </xf>
    <xf numFmtId="167" fontId="4" fillId="6" borderId="15" xfId="1" applyNumberFormat="1" applyFont="1" applyFill="1" applyBorder="1"/>
    <xf numFmtId="44" fontId="4" fillId="0" borderId="0" xfId="1" applyNumberFormat="1" applyFont="1"/>
    <xf numFmtId="169" fontId="4" fillId="0" borderId="0" xfId="4" applyFont="1" applyBorder="1"/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1" fontId="4" fillId="8" borderId="1" xfId="1" applyNumberFormat="1" applyFont="1" applyFill="1" applyBorder="1" applyAlignment="1">
      <alignment horizontal="center"/>
    </xf>
    <xf numFmtId="167" fontId="4" fillId="0" borderId="0" xfId="1" applyNumberFormat="1" applyFont="1" applyAlignment="1">
      <alignment horizontal="center"/>
    </xf>
  </cellXfs>
  <cellStyles count="6">
    <cellStyle name="Moneda 2" xfId="4" xr:uid="{39FAA2E7-D78F-47FF-A06A-2EB8126168A1}"/>
    <cellStyle name="Normal" xfId="0" builtinId="0"/>
    <cellStyle name="Normal 2" xfId="1" xr:uid="{6DC06FD9-4815-4774-B983-E055F023D2F6}"/>
    <cellStyle name="Normal 3" xfId="2" xr:uid="{40C87029-D0FB-498F-9626-E79AF9218F03}"/>
    <cellStyle name="Normal 5 16" xfId="5" xr:uid="{7E600E82-23E1-43CB-9C1D-87DF0A27B0A0}"/>
    <cellStyle name="Porcentaje 2" xfId="3" xr:uid="{9941F9F6-0A02-4A34-AEFF-43CFDD5B76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9523</xdr:colOff>
      <xdr:row>2</xdr:row>
      <xdr:rowOff>319088</xdr:rowOff>
    </xdr:from>
    <xdr:to>
      <xdr:col>1</xdr:col>
      <xdr:colOff>2857500</xdr:colOff>
      <xdr:row>2</xdr:row>
      <xdr:rowOff>1550082</xdr:rowOff>
    </xdr:to>
    <xdr:pic>
      <xdr:nvPicPr>
        <xdr:cNvPr id="2" name="Imagen 20" descr="LogoHorizontal">
          <a:extLst>
            <a:ext uri="{FF2B5EF4-FFF2-40B4-BE49-F238E27FC236}">
              <a16:creationId xmlns:a16="http://schemas.microsoft.com/office/drawing/2014/main" id="{9198770C-949B-486C-BE7B-4CC6E15F7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5748" y="1166813"/>
          <a:ext cx="2847977" cy="1230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338666</xdr:rowOff>
    </xdr:from>
    <xdr:to>
      <xdr:col>0</xdr:col>
      <xdr:colOff>2846916</xdr:colOff>
      <xdr:row>2</xdr:row>
      <xdr:rowOff>1524000</xdr:rowOff>
    </xdr:to>
    <xdr:pic>
      <xdr:nvPicPr>
        <xdr:cNvPr id="2" name="Imagen 20" descr="LogoHorizontal">
          <a:extLst>
            <a:ext uri="{FF2B5EF4-FFF2-40B4-BE49-F238E27FC236}">
              <a16:creationId xmlns:a16="http://schemas.microsoft.com/office/drawing/2014/main" id="{0BAD7C40-075E-4814-B142-E55C0E990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05416"/>
          <a:ext cx="2846916" cy="1185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96307</xdr:colOff>
      <xdr:row>2</xdr:row>
      <xdr:rowOff>328083</xdr:rowOff>
    </xdr:from>
    <xdr:to>
      <xdr:col>1</xdr:col>
      <xdr:colOff>2667000</xdr:colOff>
      <xdr:row>2</xdr:row>
      <xdr:rowOff>1439226</xdr:rowOff>
    </xdr:to>
    <xdr:pic>
      <xdr:nvPicPr>
        <xdr:cNvPr id="2" name="Imagen 20" descr="LogoHorizontal">
          <a:extLst>
            <a:ext uri="{FF2B5EF4-FFF2-40B4-BE49-F238E27FC236}">
              <a16:creationId xmlns:a16="http://schemas.microsoft.com/office/drawing/2014/main" id="{7EFE0A8B-B1C7-4F6B-812E-4E160E100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67757" y="994833"/>
          <a:ext cx="2570693" cy="1111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0B285-23E0-4331-92F8-EAF962CDE031}">
  <dimension ref="B1:Y60"/>
  <sheetViews>
    <sheetView showGridLines="0" topLeftCell="A36" zoomScale="80" zoomScaleNormal="80" workbookViewId="0">
      <selection activeCell="L50" sqref="L50"/>
    </sheetView>
  </sheetViews>
  <sheetFormatPr baseColWidth="10" defaultColWidth="11.42578125" defaultRowHeight="16.5"/>
  <cols>
    <col min="1" max="1" width="4.140625" style="1" customWidth="1"/>
    <col min="2" max="2" width="43.5703125" style="1" customWidth="1"/>
    <col min="3" max="3" width="71.5703125" style="1" customWidth="1"/>
    <col min="4" max="4" width="20" style="1" customWidth="1"/>
    <col min="5" max="5" width="22.7109375" style="1" customWidth="1"/>
    <col min="6" max="6" width="20.28515625" style="1" customWidth="1"/>
    <col min="7" max="7" width="7.28515625" style="1" customWidth="1"/>
    <col min="8" max="8" width="16.85546875" style="1" customWidth="1"/>
    <col min="9" max="9" width="19.140625" style="1" customWidth="1"/>
    <col min="10" max="10" width="14.5703125" style="1" customWidth="1"/>
    <col min="11" max="11" width="17" style="1" customWidth="1"/>
    <col min="12" max="12" width="37.5703125" style="2" customWidth="1"/>
    <col min="13" max="13" width="24.140625" style="1" customWidth="1"/>
    <col min="14" max="14" width="20.140625" style="1" customWidth="1"/>
    <col min="15" max="15" width="18.42578125" style="1" customWidth="1"/>
    <col min="16" max="16" width="26.7109375" style="1" customWidth="1"/>
    <col min="17" max="17" width="16.140625" style="1" bestFit="1" customWidth="1"/>
    <col min="18" max="16384" width="11.42578125" style="1"/>
  </cols>
  <sheetData>
    <row r="1" spans="2:12" ht="37.5" customHeight="1" thickBot="1">
      <c r="B1" s="135" t="s">
        <v>0</v>
      </c>
      <c r="C1" s="136"/>
      <c r="D1" s="136"/>
      <c r="E1" s="136"/>
      <c r="F1" s="137"/>
    </row>
    <row r="2" spans="2:12" ht="29.25" customHeight="1" thickBot="1"/>
    <row r="3" spans="2:12" ht="144" customHeight="1" thickBot="1">
      <c r="B3" s="3"/>
      <c r="C3" s="138" t="s">
        <v>1</v>
      </c>
      <c r="D3" s="139"/>
      <c r="E3" s="139"/>
      <c r="F3" s="140"/>
    </row>
    <row r="4" spans="2:12" ht="60" customHeight="1" thickBot="1">
      <c r="B4" s="141" t="s">
        <v>2</v>
      </c>
      <c r="C4" s="142"/>
      <c r="D4" s="142"/>
      <c r="E4" s="142"/>
      <c r="F4" s="143"/>
      <c r="G4" s="4"/>
    </row>
    <row r="5" spans="2:12" s="8" customFormat="1" ht="42" customHeight="1" thickBot="1">
      <c r="B5" s="144" t="s">
        <v>3</v>
      </c>
      <c r="C5" s="145"/>
      <c r="D5" s="146"/>
      <c r="E5" s="147">
        <v>1750905</v>
      </c>
      <c r="F5" s="148"/>
      <c r="G5" s="5"/>
      <c r="H5" s="149" t="s">
        <v>4</v>
      </c>
      <c r="I5" s="150"/>
      <c r="J5" s="151"/>
      <c r="K5" s="6">
        <v>1500</v>
      </c>
      <c r="L5" s="7"/>
    </row>
    <row r="6" spans="2:12" ht="25.5" customHeight="1" thickBot="1">
      <c r="B6" s="122" t="s">
        <v>5</v>
      </c>
      <c r="C6" s="123"/>
      <c r="D6" s="124"/>
      <c r="E6" s="125">
        <v>10.210000000000001</v>
      </c>
      <c r="F6" s="126"/>
      <c r="G6" s="9"/>
    </row>
    <row r="7" spans="2:12" ht="25.5" customHeight="1" thickBot="1">
      <c r="B7" s="122" t="s">
        <v>6</v>
      </c>
      <c r="C7" s="123"/>
      <c r="D7" s="124"/>
      <c r="E7" s="127">
        <f>ROUND(E5*E6,2)+K5</f>
        <v>17878240.050000001</v>
      </c>
      <c r="F7" s="128"/>
      <c r="G7" s="10"/>
    </row>
    <row r="8" spans="2:12">
      <c r="B8" s="11"/>
      <c r="C8" s="12"/>
      <c r="D8" s="12"/>
      <c r="E8" s="10"/>
      <c r="F8" s="13"/>
      <c r="G8" s="10"/>
    </row>
    <row r="9" spans="2:12" ht="17.25" thickBot="1">
      <c r="B9" s="11"/>
      <c r="C9" s="12"/>
      <c r="D9" s="12"/>
      <c r="E9" s="10"/>
      <c r="F9" s="13"/>
      <c r="G9" s="10"/>
    </row>
    <row r="10" spans="2:12" ht="19.5" thickBot="1">
      <c r="B10" s="129" t="s">
        <v>7</v>
      </c>
      <c r="C10" s="130"/>
      <c r="D10" s="130"/>
      <c r="E10" s="130"/>
      <c r="F10" s="131"/>
      <c r="G10" s="14"/>
    </row>
    <row r="11" spans="2:12" s="17" customFormat="1" ht="24.75" customHeight="1" thickBot="1">
      <c r="B11" s="15" t="s">
        <v>8</v>
      </c>
      <c r="C11" s="16" t="s">
        <v>9</v>
      </c>
      <c r="D11" s="16" t="s">
        <v>10</v>
      </c>
      <c r="E11" s="16" t="s">
        <v>11</v>
      </c>
      <c r="F11" s="16" t="s">
        <v>12</v>
      </c>
      <c r="L11" s="18"/>
    </row>
    <row r="12" spans="2:12" ht="33">
      <c r="B12" s="19" t="s">
        <v>13</v>
      </c>
      <c r="C12" s="20">
        <f>$E$7</f>
        <v>17878240.050000001</v>
      </c>
      <c r="D12" s="21">
        <v>0.08</v>
      </c>
      <c r="E12" s="22">
        <f>ROUND(C12*D12,2)</f>
        <v>1430259.2</v>
      </c>
      <c r="F12" s="22">
        <f>ROUND(C12+E12,2)</f>
        <v>19308499.25</v>
      </c>
      <c r="G12" s="23"/>
    </row>
    <row r="13" spans="2:12" ht="33.75" thickBot="1">
      <c r="B13" s="24" t="s">
        <v>14</v>
      </c>
      <c r="C13" s="25">
        <f>$E$7</f>
        <v>17878240.050000001</v>
      </c>
      <c r="D13" s="26">
        <v>0.1</v>
      </c>
      <c r="E13" s="27">
        <f>ROUND(C13*D13,2)</f>
        <v>1787824.01</v>
      </c>
      <c r="F13" s="27">
        <f>ROUND(C13+E13,2)</f>
        <v>19666064.059999999</v>
      </c>
      <c r="G13" s="23"/>
    </row>
    <row r="14" spans="2:12">
      <c r="B14" s="28"/>
      <c r="C14" s="23"/>
      <c r="D14" s="29"/>
      <c r="E14" s="23"/>
      <c r="F14" s="23"/>
      <c r="G14" s="23"/>
    </row>
    <row r="16" spans="2:12" ht="43.5" customHeight="1" thickBot="1">
      <c r="B16" s="132" t="s">
        <v>15</v>
      </c>
      <c r="C16" s="133"/>
      <c r="D16" s="133"/>
      <c r="E16" s="133"/>
      <c r="F16" s="134"/>
      <c r="G16" s="4"/>
    </row>
    <row r="17" spans="2:12" ht="17.25" thickBot="1">
      <c r="B17" s="111" t="s">
        <v>16</v>
      </c>
      <c r="C17" s="114"/>
      <c r="D17" s="112"/>
      <c r="E17" s="111">
        <v>20</v>
      </c>
      <c r="F17" s="112"/>
      <c r="G17" s="2"/>
    </row>
    <row r="18" spans="2:12" ht="17.25" thickBot="1">
      <c r="B18" s="111" t="s">
        <v>17</v>
      </c>
      <c r="C18" s="114"/>
      <c r="D18" s="112"/>
      <c r="E18" s="111">
        <v>22</v>
      </c>
      <c r="F18" s="112"/>
      <c r="G18" s="2"/>
    </row>
    <row r="19" spans="2:12" ht="17.25" thickBot="1">
      <c r="B19" s="111" t="s">
        <v>18</v>
      </c>
      <c r="C19" s="114"/>
      <c r="D19" s="112"/>
      <c r="E19" s="111">
        <v>24</v>
      </c>
      <c r="F19" s="112"/>
      <c r="G19" s="2"/>
    </row>
    <row r="20" spans="2:12" ht="17.25" thickBot="1">
      <c r="B20" s="111" t="s">
        <v>19</v>
      </c>
      <c r="C20" s="114"/>
      <c r="D20" s="112"/>
      <c r="E20" s="111">
        <v>26</v>
      </c>
      <c r="F20" s="112"/>
      <c r="G20" s="2"/>
    </row>
    <row r="21" spans="2:12" ht="17.25" thickBot="1">
      <c r="B21" s="111" t="s">
        <v>20</v>
      </c>
      <c r="C21" s="114"/>
      <c r="D21" s="112"/>
      <c r="E21" s="111">
        <v>2</v>
      </c>
      <c r="F21" s="112"/>
      <c r="G21" s="2"/>
    </row>
    <row r="22" spans="2:12" ht="17.25" thickBot="1">
      <c r="B22" s="111" t="s">
        <v>21</v>
      </c>
      <c r="C22" s="114"/>
      <c r="D22" s="112"/>
      <c r="E22" s="111">
        <v>8</v>
      </c>
      <c r="F22" s="112"/>
      <c r="G22" s="2"/>
    </row>
    <row r="23" spans="2:12" ht="17.25" thickBot="1">
      <c r="B23" s="111" t="s">
        <v>22</v>
      </c>
      <c r="C23" s="114"/>
      <c r="D23" s="112"/>
      <c r="E23" s="111">
        <v>10</v>
      </c>
      <c r="F23" s="112"/>
      <c r="G23" s="2"/>
    </row>
    <row r="24" spans="2:12">
      <c r="B24" s="2"/>
      <c r="C24" s="2"/>
      <c r="D24" s="2"/>
      <c r="E24" s="115"/>
      <c r="F24" s="115"/>
      <c r="G24" s="2"/>
    </row>
    <row r="25" spans="2:12" ht="17.25" thickBot="1"/>
    <row r="26" spans="2:12" ht="53.25" customHeight="1" thickBot="1">
      <c r="B26" s="116" t="s">
        <v>23</v>
      </c>
      <c r="C26" s="117"/>
      <c r="D26" s="117"/>
      <c r="E26" s="117"/>
      <c r="F26" s="118"/>
      <c r="G26" s="31"/>
    </row>
    <row r="27" spans="2:12" s="8" customFormat="1" ht="43.5" customHeight="1" thickBot="1">
      <c r="B27" s="119" t="s">
        <v>24</v>
      </c>
      <c r="C27" s="120"/>
      <c r="D27" s="119" t="s">
        <v>25</v>
      </c>
      <c r="E27" s="121"/>
      <c r="F27" s="120"/>
      <c r="G27" s="32"/>
      <c r="H27" s="155" t="s">
        <v>26</v>
      </c>
      <c r="I27" s="156"/>
      <c r="J27" s="156"/>
      <c r="K27" s="156"/>
      <c r="L27" s="157"/>
    </row>
    <row r="28" spans="2:12" ht="17.25" customHeight="1" thickBot="1">
      <c r="B28" s="102" t="s">
        <v>27</v>
      </c>
      <c r="C28" s="102"/>
      <c r="D28" s="103">
        <v>0.47589999999999999</v>
      </c>
      <c r="E28" s="104"/>
      <c r="F28" s="105"/>
      <c r="G28" s="2"/>
      <c r="H28" s="109" t="s">
        <v>28</v>
      </c>
      <c r="I28" s="109"/>
      <c r="J28" s="109"/>
      <c r="K28" s="109"/>
      <c r="L28" s="109"/>
    </row>
    <row r="29" spans="2:12" ht="17.25" customHeight="1" thickBot="1">
      <c r="B29" s="102" t="s">
        <v>29</v>
      </c>
      <c r="C29" s="102"/>
      <c r="D29" s="106"/>
      <c r="E29" s="107"/>
      <c r="F29" s="108"/>
      <c r="G29" s="2"/>
      <c r="H29" s="110"/>
      <c r="I29" s="110"/>
      <c r="J29" s="110"/>
      <c r="K29" s="110"/>
      <c r="L29" s="110"/>
    </row>
    <row r="30" spans="2:12" ht="17.25" customHeight="1" thickBot="1">
      <c r="B30" s="111" t="s">
        <v>30</v>
      </c>
      <c r="C30" s="112"/>
      <c r="D30" s="113">
        <v>0.52410000000000001</v>
      </c>
      <c r="E30" s="114"/>
      <c r="F30" s="112"/>
      <c r="G30" s="2"/>
      <c r="H30" s="110" t="s">
        <v>31</v>
      </c>
      <c r="I30" s="110"/>
      <c r="J30" s="110"/>
      <c r="K30" s="110"/>
      <c r="L30" s="110"/>
    </row>
    <row r="31" spans="2:12" ht="17.25" customHeight="1" thickBot="1">
      <c r="H31" s="95" t="s">
        <v>32</v>
      </c>
      <c r="I31" s="95"/>
      <c r="J31" s="95"/>
      <c r="K31" s="95"/>
      <c r="L31" s="95"/>
    </row>
    <row r="32" spans="2:12" ht="68.25" customHeight="1" thickBot="1">
      <c r="B32" s="96" t="s">
        <v>33</v>
      </c>
      <c r="C32" s="97"/>
      <c r="D32" s="97"/>
      <c r="E32" s="97"/>
      <c r="F32" s="98"/>
      <c r="G32" s="31"/>
    </row>
    <row r="33" spans="2:20" ht="60" customHeight="1" thickBot="1">
      <c r="B33" s="99" t="s">
        <v>34</v>
      </c>
      <c r="C33" s="100"/>
      <c r="D33" s="100"/>
      <c r="E33" s="100"/>
      <c r="F33" s="101"/>
      <c r="G33" s="33"/>
    </row>
    <row r="34" spans="2:20" ht="30.75" customHeight="1">
      <c r="B34" s="34"/>
      <c r="C34" s="33"/>
      <c r="D34" s="33"/>
      <c r="E34" s="33"/>
      <c r="F34" s="33"/>
      <c r="G34" s="33"/>
    </row>
    <row r="35" spans="2:20" ht="31.5" customHeight="1" thickBot="1">
      <c r="B35" s="34"/>
      <c r="C35" s="33"/>
      <c r="D35" s="33"/>
      <c r="E35" s="33"/>
      <c r="F35" s="33"/>
      <c r="G35" s="33"/>
    </row>
    <row r="36" spans="2:20" ht="26.25" customHeight="1" thickBot="1">
      <c r="B36" s="88" t="s">
        <v>35</v>
      </c>
      <c r="C36" s="89"/>
      <c r="D36" s="89"/>
      <c r="E36" s="89"/>
      <c r="F36" s="89"/>
      <c r="G36" s="89"/>
      <c r="H36" s="89"/>
      <c r="I36" s="90"/>
      <c r="J36" s="35"/>
      <c r="K36" s="35"/>
      <c r="L36" s="91" t="s">
        <v>36</v>
      </c>
      <c r="M36" s="92"/>
    </row>
    <row r="37" spans="2:20" s="41" customFormat="1" ht="77.25" customHeight="1" thickBot="1">
      <c r="B37" s="158" t="s">
        <v>37</v>
      </c>
      <c r="C37" s="158" t="s">
        <v>26</v>
      </c>
      <c r="D37" s="159" t="s">
        <v>38</v>
      </c>
      <c r="E37" s="159" t="s">
        <v>39</v>
      </c>
      <c r="F37" s="159" t="s">
        <v>40</v>
      </c>
      <c r="G37" s="160"/>
      <c r="H37" s="159" t="s">
        <v>41</v>
      </c>
      <c r="I37" s="159" t="s">
        <v>42</v>
      </c>
      <c r="J37" s="159" t="s">
        <v>43</v>
      </c>
      <c r="K37" s="159" t="s">
        <v>44</v>
      </c>
      <c r="L37" s="159" t="s">
        <v>45</v>
      </c>
      <c r="M37" s="40" t="s">
        <v>46</v>
      </c>
    </row>
    <row r="38" spans="2:20" ht="20.25" customHeight="1" thickBot="1">
      <c r="B38" s="42" t="s">
        <v>47</v>
      </c>
      <c r="C38" s="42" t="s">
        <v>48</v>
      </c>
      <c r="D38" s="43">
        <v>30</v>
      </c>
      <c r="E38" s="44">
        <f>+C12</f>
        <v>17878240.050000001</v>
      </c>
      <c r="F38" s="45">
        <v>0.1</v>
      </c>
      <c r="G38" s="161"/>
      <c r="H38" s="47">
        <f>ROUND(E38*F38,1.5)</f>
        <v>1787824</v>
      </c>
      <c r="I38" s="47">
        <f>ROUND(E38+H38,2)</f>
        <v>19666064.050000001</v>
      </c>
      <c r="J38" s="47">
        <f>ROUND(I38*10%*19%,2)</f>
        <v>373655.22</v>
      </c>
      <c r="K38" s="47">
        <f>ROUND(I38+J38,2)</f>
        <v>20039719.27</v>
      </c>
      <c r="L38" s="43">
        <v>63</v>
      </c>
      <c r="M38" s="48">
        <f>ROUND(L38*K38,1)*1</f>
        <v>1262502314</v>
      </c>
      <c r="Q38" s="49"/>
    </row>
    <row r="39" spans="2:20" ht="20.25" customHeight="1" thickBot="1">
      <c r="B39" s="42" t="s">
        <v>49</v>
      </c>
      <c r="C39" s="42" t="s">
        <v>48</v>
      </c>
      <c r="D39" s="43">
        <v>30</v>
      </c>
      <c r="E39" s="44">
        <f>ROUND($E$7*$D$28/30*D39/13*12,2)</f>
        <v>7853773.3300000001</v>
      </c>
      <c r="F39" s="50">
        <v>0.1</v>
      </c>
      <c r="G39" s="161"/>
      <c r="H39" s="47">
        <f>ROUND(E39*F39,1)</f>
        <v>785377.3</v>
      </c>
      <c r="I39" s="47">
        <f>ROUND(E39+H39,2)</f>
        <v>8639150.6300000008</v>
      </c>
      <c r="J39" s="47">
        <f>ROUND(I39*10%*19%,2)</f>
        <v>164143.85999999999</v>
      </c>
      <c r="K39" s="47">
        <f>ROUND(I39+J39,2)</f>
        <v>8803294.4900000002</v>
      </c>
      <c r="L39" s="43">
        <v>8</v>
      </c>
      <c r="M39" s="48">
        <f>ROUND(L39*K39,1)*1</f>
        <v>70426355.900000006</v>
      </c>
    </row>
    <row r="40" spans="2:20" ht="23.25" customHeight="1" thickBot="1">
      <c r="B40" s="42" t="s">
        <v>50</v>
      </c>
      <c r="C40" s="42" t="s">
        <v>51</v>
      </c>
      <c r="D40" s="43">
        <v>20</v>
      </c>
      <c r="E40" s="44">
        <f>ROUND($E$7*$D$28/30*D40/13*12,2)</f>
        <v>5235848.8899999997</v>
      </c>
      <c r="F40" s="50">
        <v>0.1</v>
      </c>
      <c r="G40" s="161"/>
      <c r="H40" s="47">
        <f>ROUND(E40*F40,1)</f>
        <v>523584.9</v>
      </c>
      <c r="I40" s="47">
        <f>ROUND(E40+H40,2)</f>
        <v>5759433.79</v>
      </c>
      <c r="J40" s="47">
        <f>ROUND(I40*10%*19%,2)</f>
        <v>109429.24</v>
      </c>
      <c r="K40" s="47">
        <f>ROUND(I40+J40,2)</f>
        <v>5868863.0300000003</v>
      </c>
      <c r="L40" s="43">
        <v>56</v>
      </c>
      <c r="M40" s="48">
        <f>ROUND(L40*K40,2)*1</f>
        <v>328656329.68000001</v>
      </c>
    </row>
    <row r="41" spans="2:20" ht="27" customHeight="1" thickBot="1">
      <c r="B41" s="42" t="s">
        <v>52</v>
      </c>
      <c r="C41" s="42" t="s">
        <v>51</v>
      </c>
      <c r="D41" s="43">
        <v>20</v>
      </c>
      <c r="E41" s="44">
        <f>ROUND($E$7*$D$28/30*D41/13*12,2)</f>
        <v>5235848.8899999997</v>
      </c>
      <c r="F41" s="50">
        <v>0.08</v>
      </c>
      <c r="G41" s="161"/>
      <c r="H41" s="44">
        <f>ROUND(E41*F41,2)</f>
        <v>418867.91</v>
      </c>
      <c r="I41" s="44">
        <f>ROUND(E41+H41,2)</f>
        <v>5654716.7999999998</v>
      </c>
      <c r="J41" s="44">
        <f>ROUND(I41*10%*19%,2)</f>
        <v>107439.62</v>
      </c>
      <c r="K41" s="44">
        <f>ROUND(I41+J41,2)</f>
        <v>5762156.4199999999</v>
      </c>
      <c r="L41" s="43">
        <v>13</v>
      </c>
      <c r="M41" s="48">
        <f>ROUND(L41*K41,2)*1</f>
        <v>74908033.459999993</v>
      </c>
    </row>
    <row r="42" spans="2:20" ht="28.5" customHeight="1" thickBot="1">
      <c r="B42" s="42" t="s">
        <v>50</v>
      </c>
      <c r="C42" s="42" t="s">
        <v>17</v>
      </c>
      <c r="D42" s="43">
        <v>22</v>
      </c>
      <c r="E42" s="44">
        <f>ROUND($E$7*$D$28/30*D42/13*12,2)</f>
        <v>5759433.7699999996</v>
      </c>
      <c r="F42" s="50">
        <v>0.1</v>
      </c>
      <c r="G42" s="46"/>
      <c r="H42" s="44">
        <f>ROUND(E42*F42,1)</f>
        <v>575943.4</v>
      </c>
      <c r="I42" s="44">
        <f>ROUND(E42+H42,2)</f>
        <v>6335377.1699999999</v>
      </c>
      <c r="J42" s="44">
        <f>ROUND(I42*10%*19%,2)</f>
        <v>120372.17</v>
      </c>
      <c r="K42" s="44">
        <f>ROUND(I42+J42,2)</f>
        <v>6455749.3399999999</v>
      </c>
      <c r="L42" s="43">
        <v>5</v>
      </c>
      <c r="M42" s="48">
        <f>ROUND(L42*K42,2)*1</f>
        <v>32278746.699999999</v>
      </c>
    </row>
    <row r="43" spans="2:20" ht="17.25" thickBot="1">
      <c r="H43" s="51"/>
      <c r="I43" s="51"/>
      <c r="J43" s="51"/>
      <c r="K43" s="51"/>
      <c r="L43" s="52">
        <f>SUM(L38:L42)</f>
        <v>145</v>
      </c>
      <c r="M43" s="53">
        <f>ROUND(SUM(M38:M42),2)</f>
        <v>1768771779.74</v>
      </c>
      <c r="N43" s="49"/>
      <c r="O43" s="54"/>
    </row>
    <row r="44" spans="2:20" ht="17.25" thickBot="1">
      <c r="N44" s="23"/>
      <c r="P44" s="54"/>
    </row>
    <row r="45" spans="2:20" ht="19.5" thickBot="1">
      <c r="B45" s="88" t="s">
        <v>53</v>
      </c>
      <c r="C45" s="89"/>
      <c r="D45" s="89"/>
      <c r="E45" s="89"/>
      <c r="F45" s="89"/>
      <c r="G45" s="89"/>
      <c r="H45" s="89"/>
      <c r="I45" s="90"/>
      <c r="J45" s="35"/>
      <c r="K45" s="35"/>
      <c r="L45" s="91" t="s">
        <v>36</v>
      </c>
      <c r="M45" s="92"/>
      <c r="N45" s="23"/>
    </row>
    <row r="46" spans="2:20" s="57" customFormat="1" ht="75.75" customHeight="1" thickBot="1">
      <c r="B46" s="158" t="s">
        <v>37</v>
      </c>
      <c r="C46" s="158" t="s">
        <v>26</v>
      </c>
      <c r="D46" s="159" t="s">
        <v>38</v>
      </c>
      <c r="E46" s="159" t="s">
        <v>39</v>
      </c>
      <c r="F46" s="159" t="s">
        <v>40</v>
      </c>
      <c r="G46" s="93"/>
      <c r="H46" s="159" t="s">
        <v>41</v>
      </c>
      <c r="I46" s="159" t="s">
        <v>42</v>
      </c>
      <c r="J46" s="159" t="s">
        <v>43</v>
      </c>
      <c r="K46" s="159" t="s">
        <v>44</v>
      </c>
      <c r="L46" s="159" t="s">
        <v>45</v>
      </c>
      <c r="M46" s="40" t="s">
        <v>54</v>
      </c>
      <c r="N46" s="56"/>
      <c r="O46" s="56"/>
      <c r="P46" s="56"/>
      <c r="Q46" s="56"/>
      <c r="R46" s="56"/>
      <c r="S46" s="56"/>
      <c r="T46" s="56"/>
    </row>
    <row r="47" spans="2:20" s="57" customFormat="1" ht="17.25" thickBot="1">
      <c r="B47" s="58" t="s">
        <v>47</v>
      </c>
      <c r="C47" s="42" t="s">
        <v>48</v>
      </c>
      <c r="D47" s="30">
        <v>30</v>
      </c>
      <c r="E47" s="44">
        <f>+E7</f>
        <v>17878240.050000001</v>
      </c>
      <c r="F47" s="50">
        <v>0.1</v>
      </c>
      <c r="G47" s="94"/>
      <c r="H47" s="44">
        <f>ROUND(E47*F47,)</f>
        <v>1787824</v>
      </c>
      <c r="I47" s="59">
        <f>ROUND(E47+H47,)</f>
        <v>19666064</v>
      </c>
      <c r="J47" s="59">
        <f>ROUND(I47*10%*19%,1)</f>
        <v>373655.2</v>
      </c>
      <c r="K47" s="59">
        <f>ROUND(I47+J47,2)</f>
        <v>20039719.199999999</v>
      </c>
      <c r="L47" s="60">
        <v>5</v>
      </c>
      <c r="M47" s="48">
        <f>ROUND(L47*K47,2)*1</f>
        <v>100198596</v>
      </c>
      <c r="N47" s="56"/>
      <c r="O47" s="56"/>
      <c r="P47" s="56"/>
      <c r="Q47" s="56"/>
      <c r="R47" s="56"/>
      <c r="S47" s="56"/>
      <c r="T47" s="56"/>
    </row>
    <row r="48" spans="2:20" ht="17.25" thickBot="1">
      <c r="L48" s="52">
        <f>SUM(L47:L47)</f>
        <v>5</v>
      </c>
      <c r="M48" s="61">
        <f>ROUND(SUM(M47:M47),2)</f>
        <v>100198596</v>
      </c>
      <c r="O48" s="49"/>
      <c r="P48" s="54"/>
    </row>
    <row r="49" spans="2:25" ht="17.25" thickBot="1">
      <c r="P49" s="54"/>
    </row>
    <row r="50" spans="2:25" ht="17.25" customHeight="1" thickBot="1">
      <c r="B50" s="12"/>
      <c r="C50" s="12"/>
      <c r="D50" s="62"/>
      <c r="E50" s="49"/>
      <c r="F50" s="49"/>
      <c r="G50" s="49"/>
      <c r="H50" s="49"/>
      <c r="I50" s="49"/>
      <c r="J50" s="49"/>
      <c r="K50" s="49"/>
      <c r="L50" s="63">
        <f>L43+L48</f>
        <v>150</v>
      </c>
      <c r="M50" s="64">
        <f>M43+M48</f>
        <v>1868970375.74</v>
      </c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</row>
    <row r="51" spans="2:25">
      <c r="B51" s="84" t="s">
        <v>62</v>
      </c>
      <c r="C51" s="84"/>
      <c r="D51" s="84"/>
      <c r="E51" s="85"/>
      <c r="F51" s="85"/>
      <c r="G51" s="85"/>
    </row>
    <row r="52" spans="2:25">
      <c r="B52" s="84" t="s">
        <v>63</v>
      </c>
      <c r="C52" s="84"/>
      <c r="D52" s="84"/>
      <c r="E52" s="85"/>
      <c r="F52" s="85"/>
      <c r="G52" s="85"/>
    </row>
    <row r="53" spans="2:25">
      <c r="B53" s="84" t="s">
        <v>64</v>
      </c>
      <c r="C53" s="84"/>
      <c r="D53" s="84"/>
      <c r="E53" s="85"/>
      <c r="F53" s="85"/>
      <c r="G53" s="85"/>
    </row>
    <row r="54" spans="2:25">
      <c r="B54" s="84" t="s">
        <v>65</v>
      </c>
      <c r="C54" s="84"/>
      <c r="D54" s="84"/>
      <c r="E54" s="85"/>
      <c r="F54" s="85"/>
      <c r="G54" s="85"/>
    </row>
    <row r="55" spans="2:25">
      <c r="B55" s="84" t="s">
        <v>66</v>
      </c>
      <c r="C55" s="84"/>
      <c r="D55" s="84"/>
      <c r="E55" s="85"/>
      <c r="F55" s="85"/>
      <c r="G55" s="85"/>
    </row>
    <row r="56" spans="2:25">
      <c r="B56" s="84" t="s">
        <v>67</v>
      </c>
      <c r="C56" s="84"/>
      <c r="D56" s="84"/>
      <c r="E56" s="85"/>
      <c r="F56" s="85"/>
      <c r="G56" s="85"/>
    </row>
    <row r="57" spans="2:25">
      <c r="B57" s="86" t="s">
        <v>68</v>
      </c>
      <c r="C57" s="86"/>
      <c r="D57" s="86"/>
      <c r="E57" s="87"/>
      <c r="F57" s="87"/>
      <c r="G57" s="87"/>
    </row>
    <row r="58" spans="2:25">
      <c r="B58" s="86"/>
      <c r="C58" s="86"/>
      <c r="D58" s="86"/>
      <c r="E58" s="87"/>
      <c r="F58" s="87"/>
      <c r="G58" s="87"/>
    </row>
    <row r="59" spans="2:25">
      <c r="B59" s="86"/>
      <c r="C59" s="86"/>
      <c r="D59" s="86"/>
      <c r="E59" s="87"/>
      <c r="F59" s="87"/>
      <c r="G59" s="87"/>
    </row>
    <row r="60" spans="2:25">
      <c r="B60" s="86"/>
      <c r="C60" s="86"/>
      <c r="D60" s="86"/>
      <c r="E60" s="87"/>
      <c r="F60" s="87"/>
      <c r="G60" s="87"/>
    </row>
  </sheetData>
  <mergeCells count="61">
    <mergeCell ref="B56:D56"/>
    <mergeCell ref="E56:G56"/>
    <mergeCell ref="B57:D60"/>
    <mergeCell ref="E57:G60"/>
    <mergeCell ref="B53:D53"/>
    <mergeCell ref="E53:G53"/>
    <mergeCell ref="B54:D54"/>
    <mergeCell ref="E54:G54"/>
    <mergeCell ref="B55:D55"/>
    <mergeCell ref="E55:G55"/>
    <mergeCell ref="B45:I45"/>
    <mergeCell ref="L45:M45"/>
    <mergeCell ref="G46:G47"/>
    <mergeCell ref="B51:D51"/>
    <mergeCell ref="E51:G51"/>
    <mergeCell ref="B52:D52"/>
    <mergeCell ref="E52:G52"/>
    <mergeCell ref="H31:L31"/>
    <mergeCell ref="B32:F32"/>
    <mergeCell ref="B33:F33"/>
    <mergeCell ref="B36:I36"/>
    <mergeCell ref="L36:M36"/>
    <mergeCell ref="G37:G41"/>
    <mergeCell ref="H27:L27"/>
    <mergeCell ref="B28:C28"/>
    <mergeCell ref="D28:F29"/>
    <mergeCell ref="H28:L29"/>
    <mergeCell ref="B29:C29"/>
    <mergeCell ref="B30:C30"/>
    <mergeCell ref="D30:F30"/>
    <mergeCell ref="H30:L30"/>
    <mergeCell ref="B23:D23"/>
    <mergeCell ref="E23:F23"/>
    <mergeCell ref="E24:F24"/>
    <mergeCell ref="B26:F26"/>
    <mergeCell ref="B27:C27"/>
    <mergeCell ref="D27:F27"/>
    <mergeCell ref="B20:D20"/>
    <mergeCell ref="E20:F20"/>
    <mergeCell ref="B21:D21"/>
    <mergeCell ref="E21:F21"/>
    <mergeCell ref="B22:D22"/>
    <mergeCell ref="E22:F22"/>
    <mergeCell ref="B17:D17"/>
    <mergeCell ref="E17:F17"/>
    <mergeCell ref="B18:D18"/>
    <mergeCell ref="E18:F18"/>
    <mergeCell ref="B19:D19"/>
    <mergeCell ref="E19:F19"/>
    <mergeCell ref="B6:D6"/>
    <mergeCell ref="E6:F6"/>
    <mergeCell ref="B7:D7"/>
    <mergeCell ref="E7:F7"/>
    <mergeCell ref="B10:F10"/>
    <mergeCell ref="B16:F16"/>
    <mergeCell ref="B1:F1"/>
    <mergeCell ref="C3:F3"/>
    <mergeCell ref="B4:F4"/>
    <mergeCell ref="B5:D5"/>
    <mergeCell ref="E5:F5"/>
    <mergeCell ref="H5:J5"/>
  </mergeCells>
  <pageMargins left="0.70866141732283472" right="0.70866141732283472" top="0.74803149606299213" bottom="0.74803149606299213" header="0.31496062992125984" footer="0.31496062992125984"/>
  <pageSetup paperSize="14" scale="50" orientation="landscape" horizontalDpi="4294967294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654E-BCA2-4E00-B4FA-37597A4E0180}">
  <dimension ref="A1:X86"/>
  <sheetViews>
    <sheetView showGridLines="0" topLeftCell="A62" zoomScale="84" zoomScaleNormal="84" workbookViewId="0">
      <selection activeCell="L74" sqref="L74"/>
    </sheetView>
  </sheetViews>
  <sheetFormatPr baseColWidth="10" defaultColWidth="11.42578125" defaultRowHeight="16.5"/>
  <cols>
    <col min="1" max="1" width="43.5703125" style="1" customWidth="1"/>
    <col min="2" max="2" width="30" style="1" customWidth="1"/>
    <col min="3" max="3" width="17.7109375" style="2" customWidth="1"/>
    <col min="4" max="4" width="16" style="1" customWidth="1"/>
    <col min="5" max="5" width="23.85546875" style="1" customWidth="1"/>
    <col min="6" max="6" width="1.85546875" style="1" customWidth="1"/>
    <col min="7" max="7" width="17.7109375" style="1" customWidth="1"/>
    <col min="8" max="8" width="15.85546875" style="1" customWidth="1"/>
    <col min="9" max="9" width="13" style="1" customWidth="1"/>
    <col min="10" max="10" width="19.42578125" style="1" customWidth="1"/>
    <col min="11" max="11" width="14.140625" style="1" customWidth="1"/>
    <col min="12" max="12" width="26.7109375" style="1" customWidth="1"/>
    <col min="13" max="13" width="11.42578125" style="1"/>
    <col min="14" max="14" width="15.28515625" style="1" bestFit="1" customWidth="1"/>
    <col min="15" max="16" width="11.42578125" style="1"/>
    <col min="17" max="17" width="21.140625" style="1" customWidth="1"/>
    <col min="18" max="16384" width="11.42578125" style="1"/>
  </cols>
  <sheetData>
    <row r="1" spans="1:11" ht="37.5" customHeight="1" thickBot="1">
      <c r="A1" s="135" t="s">
        <v>55</v>
      </c>
      <c r="B1" s="136"/>
      <c r="C1" s="136"/>
      <c r="D1" s="136"/>
      <c r="E1" s="137"/>
      <c r="J1" s="2"/>
    </row>
    <row r="2" spans="1:11" ht="15" customHeight="1" thickBot="1">
      <c r="C2" s="1"/>
    </row>
    <row r="3" spans="1:11" ht="144" customHeight="1" thickBot="1">
      <c r="A3" s="3"/>
      <c r="B3" s="138" t="s">
        <v>1</v>
      </c>
      <c r="C3" s="139"/>
      <c r="D3" s="139"/>
      <c r="E3" s="140"/>
    </row>
    <row r="4" spans="1:11" ht="60" customHeight="1" thickBot="1">
      <c r="A4" s="141" t="s">
        <v>2</v>
      </c>
      <c r="B4" s="142"/>
      <c r="C4" s="142"/>
      <c r="D4" s="142"/>
      <c r="E4" s="143"/>
      <c r="F4" s="4"/>
    </row>
    <row r="5" spans="1:11" s="8" customFormat="1" ht="31.5" customHeight="1" thickBot="1">
      <c r="A5" s="144" t="s">
        <v>3</v>
      </c>
      <c r="B5" s="145"/>
      <c r="C5" s="146"/>
      <c r="D5" s="147">
        <f>(1750905+(1750905*4.4%))</f>
        <v>1827944.82</v>
      </c>
      <c r="E5" s="148"/>
      <c r="F5" s="5"/>
      <c r="H5" s="149" t="s">
        <v>4</v>
      </c>
      <c r="I5" s="150"/>
      <c r="J5" s="151"/>
      <c r="K5" s="6">
        <v>1500</v>
      </c>
    </row>
    <row r="6" spans="1:11" ht="17.25" thickBot="1">
      <c r="A6" s="122" t="s">
        <v>5</v>
      </c>
      <c r="B6" s="123"/>
      <c r="C6" s="124"/>
      <c r="D6" s="162">
        <v>10.210000000000001</v>
      </c>
      <c r="E6" s="163"/>
      <c r="F6" s="9"/>
    </row>
    <row r="7" spans="1:11" ht="17.25" thickBot="1">
      <c r="A7" s="122" t="s">
        <v>6</v>
      </c>
      <c r="B7" s="123"/>
      <c r="C7" s="124"/>
      <c r="D7" s="127">
        <f>ROUND(D5*D6,2)+K5</f>
        <v>18664816.609999999</v>
      </c>
      <c r="E7" s="128"/>
      <c r="F7" s="10"/>
    </row>
    <row r="8" spans="1:11" ht="17.25" thickBot="1">
      <c r="A8" s="11"/>
      <c r="B8" s="12"/>
      <c r="C8" s="12"/>
      <c r="D8" s="68"/>
      <c r="E8" s="69"/>
      <c r="F8" s="10"/>
    </row>
    <row r="9" spans="1:11" ht="17.25" thickBot="1">
      <c r="A9" s="144" t="s">
        <v>3</v>
      </c>
      <c r="B9" s="145"/>
      <c r="C9" s="146"/>
      <c r="D9" s="147">
        <f>(1750905+(1750905*4.4%))</f>
        <v>1827944.82</v>
      </c>
      <c r="E9" s="148"/>
      <c r="F9" s="10"/>
    </row>
    <row r="10" spans="1:11" ht="17.25" thickBot="1">
      <c r="A10" s="122" t="s">
        <v>5</v>
      </c>
      <c r="B10" s="123"/>
      <c r="C10" s="124"/>
      <c r="D10" s="162">
        <v>10.38</v>
      </c>
      <c r="E10" s="163"/>
      <c r="F10" s="10"/>
    </row>
    <row r="11" spans="1:11" ht="17.25" thickBot="1">
      <c r="A11" s="122" t="s">
        <v>6</v>
      </c>
      <c r="B11" s="123"/>
      <c r="C11" s="124"/>
      <c r="D11" s="127">
        <f>ROUND(D9*D10,2)+K5</f>
        <v>18975567.23</v>
      </c>
      <c r="E11" s="128"/>
      <c r="F11" s="10"/>
    </row>
    <row r="12" spans="1:11">
      <c r="A12" s="11"/>
      <c r="B12" s="12"/>
      <c r="C12" s="12"/>
      <c r="D12" s="68"/>
      <c r="E12" s="69"/>
      <c r="F12" s="10"/>
    </row>
    <row r="13" spans="1:11" ht="17.25" thickBot="1">
      <c r="A13" s="11"/>
      <c r="B13" s="12"/>
      <c r="C13" s="12"/>
      <c r="D13" s="68"/>
      <c r="E13" s="69"/>
      <c r="F13" s="10"/>
    </row>
    <row r="14" spans="1:11" ht="19.5" thickBot="1">
      <c r="A14" s="129" t="s">
        <v>7</v>
      </c>
      <c r="B14" s="130"/>
      <c r="C14" s="130"/>
      <c r="D14" s="130"/>
      <c r="E14" s="131"/>
      <c r="F14" s="14"/>
    </row>
    <row r="15" spans="1:11" s="17" customFormat="1" ht="24.75" customHeight="1" thickBot="1">
      <c r="A15" s="15" t="s">
        <v>8</v>
      </c>
      <c r="B15" s="16" t="s">
        <v>9</v>
      </c>
      <c r="C15" s="16" t="s">
        <v>10</v>
      </c>
      <c r="D15" s="16" t="s">
        <v>11</v>
      </c>
      <c r="E15" s="16" t="s">
        <v>12</v>
      </c>
    </row>
    <row r="16" spans="1:11" ht="33">
      <c r="A16" s="19" t="s">
        <v>13</v>
      </c>
      <c r="B16" s="20">
        <f>$D$7</f>
        <v>18664816.609999999</v>
      </c>
      <c r="C16" s="21">
        <v>0.08</v>
      </c>
      <c r="D16" s="20">
        <f>ROUND(B16*C16,2)</f>
        <v>1493185.33</v>
      </c>
      <c r="E16" s="20">
        <f>ROUND(B16+D16,2)</f>
        <v>20158001.940000001</v>
      </c>
      <c r="F16" s="23"/>
    </row>
    <row r="17" spans="1:11" ht="33.75" thickBot="1">
      <c r="A17" s="24" t="s">
        <v>14</v>
      </c>
      <c r="B17" s="25">
        <f>$D$7</f>
        <v>18664816.609999999</v>
      </c>
      <c r="C17" s="26">
        <v>0.1</v>
      </c>
      <c r="D17" s="20">
        <f>ROUND(B17*C17,2)</f>
        <v>1866481.66</v>
      </c>
      <c r="E17" s="20">
        <f>ROUND(B17+D17,2)</f>
        <v>20531298.27</v>
      </c>
      <c r="F17" s="23"/>
    </row>
    <row r="18" spans="1:11">
      <c r="A18" s="28"/>
      <c r="B18" s="23"/>
      <c r="C18" s="70"/>
      <c r="D18" s="23"/>
      <c r="E18" s="23"/>
      <c r="F18" s="23"/>
    </row>
    <row r="20" spans="1:11" ht="43.5" customHeight="1" thickBot="1">
      <c r="A20" s="132" t="s">
        <v>56</v>
      </c>
      <c r="B20" s="133"/>
      <c r="C20" s="133"/>
      <c r="D20" s="133"/>
      <c r="E20" s="134"/>
      <c r="F20" s="4"/>
    </row>
    <row r="21" spans="1:11" ht="17.25" thickBot="1">
      <c r="A21" s="111" t="s">
        <v>16</v>
      </c>
      <c r="B21" s="114"/>
      <c r="C21" s="112"/>
      <c r="D21" s="111">
        <v>20</v>
      </c>
      <c r="E21" s="112"/>
      <c r="F21" s="2"/>
    </row>
    <row r="22" spans="1:11" ht="17.25" thickBot="1">
      <c r="A22" s="111" t="s">
        <v>17</v>
      </c>
      <c r="B22" s="114"/>
      <c r="C22" s="112"/>
      <c r="D22" s="111">
        <v>22</v>
      </c>
      <c r="E22" s="112"/>
      <c r="F22" s="2"/>
    </row>
    <row r="23" spans="1:11" ht="17.25" thickBot="1">
      <c r="A23" s="111" t="s">
        <v>18</v>
      </c>
      <c r="B23" s="114"/>
      <c r="C23" s="112"/>
      <c r="D23" s="111">
        <v>24</v>
      </c>
      <c r="E23" s="112"/>
      <c r="F23" s="2"/>
    </row>
    <row r="24" spans="1:11" ht="17.25" thickBot="1">
      <c r="A24" s="111" t="s">
        <v>19</v>
      </c>
      <c r="B24" s="114"/>
      <c r="C24" s="112"/>
      <c r="D24" s="111">
        <v>26</v>
      </c>
      <c r="E24" s="112"/>
      <c r="F24" s="2"/>
    </row>
    <row r="25" spans="1:11" ht="17.25" thickBot="1">
      <c r="A25" s="111" t="s">
        <v>20</v>
      </c>
      <c r="B25" s="114"/>
      <c r="C25" s="112"/>
      <c r="D25" s="111">
        <v>2</v>
      </c>
      <c r="E25" s="112"/>
      <c r="F25" s="2"/>
    </row>
    <row r="26" spans="1:11" ht="17.25" thickBot="1">
      <c r="A26" s="111" t="s">
        <v>21</v>
      </c>
      <c r="B26" s="114"/>
      <c r="C26" s="112"/>
      <c r="D26" s="111">
        <v>8</v>
      </c>
      <c r="E26" s="112"/>
      <c r="F26" s="2"/>
    </row>
    <row r="27" spans="1:11" ht="17.25" thickBot="1">
      <c r="A27" s="111" t="s">
        <v>22</v>
      </c>
      <c r="B27" s="114"/>
      <c r="C27" s="112"/>
      <c r="D27" s="111">
        <v>10</v>
      </c>
      <c r="E27" s="112"/>
      <c r="F27" s="2"/>
    </row>
    <row r="28" spans="1:11">
      <c r="A28" s="2"/>
      <c r="B28" s="2"/>
      <c r="D28" s="2"/>
      <c r="E28" s="2"/>
      <c r="F28" s="2"/>
    </row>
    <row r="30" spans="1:11" ht="53.25" customHeight="1" thickBot="1">
      <c r="A30" s="116" t="s">
        <v>23</v>
      </c>
      <c r="B30" s="117"/>
      <c r="C30" s="117"/>
      <c r="D30" s="117"/>
      <c r="E30" s="118"/>
      <c r="F30" s="31"/>
    </row>
    <row r="31" spans="1:11" s="8" customFormat="1" ht="43.5" customHeight="1" thickBot="1">
      <c r="A31" s="119" t="s">
        <v>24</v>
      </c>
      <c r="B31" s="120"/>
      <c r="C31" s="119" t="s">
        <v>25</v>
      </c>
      <c r="D31" s="121"/>
      <c r="E31" s="120"/>
      <c r="F31" s="32"/>
      <c r="G31" s="155" t="s">
        <v>26</v>
      </c>
      <c r="H31" s="156"/>
      <c r="I31" s="156"/>
      <c r="J31" s="156"/>
      <c r="K31" s="157"/>
    </row>
    <row r="32" spans="1:11" ht="17.25" customHeight="1" thickBot="1">
      <c r="A32" s="102" t="s">
        <v>27</v>
      </c>
      <c r="B32" s="102"/>
      <c r="C32" s="103">
        <v>0.47589999999999999</v>
      </c>
      <c r="D32" s="104"/>
      <c r="E32" s="105"/>
      <c r="F32" s="2"/>
      <c r="G32" s="109" t="s">
        <v>28</v>
      </c>
      <c r="H32" s="109"/>
      <c r="I32" s="109"/>
      <c r="J32" s="109"/>
      <c r="K32" s="109"/>
    </row>
    <row r="33" spans="1:14" ht="17.25" customHeight="1" thickBot="1">
      <c r="A33" s="102" t="s">
        <v>29</v>
      </c>
      <c r="B33" s="102"/>
      <c r="C33" s="106"/>
      <c r="D33" s="107"/>
      <c r="E33" s="108"/>
      <c r="F33" s="2"/>
      <c r="G33" s="110"/>
      <c r="H33" s="110"/>
      <c r="I33" s="110"/>
      <c r="J33" s="110"/>
      <c r="K33" s="110"/>
    </row>
    <row r="34" spans="1:14" ht="17.25" customHeight="1" thickBot="1">
      <c r="A34" s="111" t="s">
        <v>30</v>
      </c>
      <c r="B34" s="112"/>
      <c r="C34" s="113">
        <v>0.52410000000000001</v>
      </c>
      <c r="D34" s="114"/>
      <c r="E34" s="112"/>
      <c r="F34" s="2"/>
      <c r="G34" s="110" t="s">
        <v>57</v>
      </c>
      <c r="H34" s="110"/>
      <c r="I34" s="110"/>
      <c r="J34" s="110"/>
      <c r="K34" s="110"/>
    </row>
    <row r="35" spans="1:14" ht="17.25" customHeight="1" thickBot="1">
      <c r="G35" s="95" t="s">
        <v>32</v>
      </c>
      <c r="H35" s="95"/>
      <c r="I35" s="95"/>
      <c r="J35" s="95"/>
      <c r="K35" s="95"/>
    </row>
    <row r="36" spans="1:14" ht="61.5" customHeight="1" thickBot="1">
      <c r="A36" s="96" t="s">
        <v>33</v>
      </c>
      <c r="B36" s="97"/>
      <c r="C36" s="97"/>
      <c r="D36" s="97"/>
      <c r="E36" s="98"/>
      <c r="F36" s="31"/>
    </row>
    <row r="37" spans="1:14" ht="60" customHeight="1" thickBot="1">
      <c r="A37" s="99" t="s">
        <v>34</v>
      </c>
      <c r="B37" s="100"/>
      <c r="C37" s="100"/>
      <c r="D37" s="100"/>
      <c r="E37" s="101"/>
      <c r="F37" s="33"/>
    </row>
    <row r="38" spans="1:14" ht="30.75" customHeight="1">
      <c r="A38" s="34"/>
      <c r="B38" s="33"/>
      <c r="C38" s="46"/>
      <c r="D38" s="33"/>
      <c r="E38" s="33"/>
      <c r="F38" s="33"/>
    </row>
    <row r="39" spans="1:14" ht="31.5" customHeight="1" thickBot="1">
      <c r="A39" s="164" t="s">
        <v>69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</row>
    <row r="40" spans="1:14" ht="26.25" customHeight="1" thickBot="1">
      <c r="A40" s="166" t="s">
        <v>58</v>
      </c>
      <c r="B40" s="167"/>
      <c r="C40" s="167"/>
      <c r="D40" s="167"/>
      <c r="E40" s="167"/>
      <c r="F40" s="167"/>
      <c r="G40" s="167"/>
      <c r="H40" s="168"/>
      <c r="I40" s="169"/>
      <c r="J40" s="169"/>
      <c r="K40" s="170" t="s">
        <v>36</v>
      </c>
      <c r="L40" s="171"/>
    </row>
    <row r="41" spans="1:14" s="41" customFormat="1" ht="77.25" customHeight="1" thickBot="1">
      <c r="A41" s="158" t="s">
        <v>37</v>
      </c>
      <c r="B41" s="158" t="s">
        <v>26</v>
      </c>
      <c r="C41" s="159" t="s">
        <v>38</v>
      </c>
      <c r="D41" s="159" t="s">
        <v>39</v>
      </c>
      <c r="E41" s="159" t="s">
        <v>40</v>
      </c>
      <c r="F41" s="172"/>
      <c r="G41" s="159" t="s">
        <v>41</v>
      </c>
      <c r="H41" s="159" t="s">
        <v>42</v>
      </c>
      <c r="I41" s="159" t="s">
        <v>43</v>
      </c>
      <c r="J41" s="159" t="s">
        <v>44</v>
      </c>
      <c r="K41" s="159" t="s">
        <v>45</v>
      </c>
      <c r="L41" s="40" t="s">
        <v>59</v>
      </c>
    </row>
    <row r="42" spans="1:14" ht="17.25" thickBot="1">
      <c r="A42" s="42" t="s">
        <v>47</v>
      </c>
      <c r="B42" s="42" t="s">
        <v>48</v>
      </c>
      <c r="C42" s="43">
        <v>30</v>
      </c>
      <c r="D42" s="44">
        <f>+B16</f>
        <v>18664816.609999999</v>
      </c>
      <c r="E42" s="50">
        <v>0.1</v>
      </c>
      <c r="F42" s="173"/>
      <c r="G42" s="44">
        <f>ROUND(D42*E42,2)</f>
        <v>1866481.66</v>
      </c>
      <c r="H42" s="44">
        <f>ROUND(D42+G42,2)</f>
        <v>20531298.27</v>
      </c>
      <c r="I42" s="44">
        <f>ROUND(H42*10%*19%,2)</f>
        <v>390094.67</v>
      </c>
      <c r="J42" s="44">
        <f>ROUND(H42+I42,2)</f>
        <v>20921392.940000001</v>
      </c>
      <c r="K42" s="174">
        <v>63</v>
      </c>
      <c r="L42" s="44">
        <f>ROUND(((K42*J42)*6),2)</f>
        <v>7908286531.3199997</v>
      </c>
    </row>
    <row r="43" spans="1:14" ht="17.25" thickBot="1">
      <c r="A43" s="42" t="s">
        <v>49</v>
      </c>
      <c r="B43" s="42" t="s">
        <v>48</v>
      </c>
      <c r="C43" s="43">
        <v>30</v>
      </c>
      <c r="D43" s="44">
        <f>ROUND($D$7*$C$32/30*C43/13*12,2)</f>
        <v>8199310.3600000003</v>
      </c>
      <c r="E43" s="50">
        <v>0.1</v>
      </c>
      <c r="F43" s="173"/>
      <c r="G43" s="44">
        <f>ROUND(D43*E43,2)</f>
        <v>819931.04</v>
      </c>
      <c r="H43" s="44">
        <f t="shared" ref="H43:H45" si="0">ROUND(D43+G43,2)</f>
        <v>9019241.4000000004</v>
      </c>
      <c r="I43" s="44">
        <f t="shared" ref="I43:I45" si="1">ROUND(H43*10%*19%,2)</f>
        <v>171365.59</v>
      </c>
      <c r="J43" s="44">
        <f t="shared" ref="J43:J45" si="2">ROUND(H43+I43,2)</f>
        <v>9190606.9900000002</v>
      </c>
      <c r="K43" s="174">
        <v>8</v>
      </c>
      <c r="L43" s="44">
        <f t="shared" ref="L43:L46" si="3">ROUND(((K43*J43)*6),2)</f>
        <v>441149135.51999998</v>
      </c>
    </row>
    <row r="44" spans="1:14" ht="23.25" customHeight="1" thickBot="1">
      <c r="A44" s="42" t="s">
        <v>50</v>
      </c>
      <c r="B44" s="42" t="s">
        <v>51</v>
      </c>
      <c r="C44" s="43">
        <v>20</v>
      </c>
      <c r="D44" s="44">
        <f>ROUND($D$7*$C$32/30*C44/13*12,2)</f>
        <v>5466206.9100000001</v>
      </c>
      <c r="E44" s="50">
        <v>0.1</v>
      </c>
      <c r="F44" s="173"/>
      <c r="G44" s="44">
        <f>ROUND(D44*E44,2)</f>
        <v>546620.68999999994</v>
      </c>
      <c r="H44" s="44">
        <f t="shared" si="0"/>
        <v>6012827.5999999996</v>
      </c>
      <c r="I44" s="44">
        <f t="shared" si="1"/>
        <v>114243.72</v>
      </c>
      <c r="J44" s="44">
        <f t="shared" si="2"/>
        <v>6127071.3200000003</v>
      </c>
      <c r="K44" s="174">
        <v>56</v>
      </c>
      <c r="L44" s="44">
        <f t="shared" si="3"/>
        <v>2058695963.52</v>
      </c>
    </row>
    <row r="45" spans="1:14" ht="17.25" thickBot="1">
      <c r="A45" s="42" t="s">
        <v>52</v>
      </c>
      <c r="B45" s="42" t="s">
        <v>51</v>
      </c>
      <c r="C45" s="43">
        <v>20</v>
      </c>
      <c r="D45" s="44">
        <f>ROUND($D$7*$C$32/30*C45/13*12,2)</f>
        <v>5466206.9100000001</v>
      </c>
      <c r="E45" s="50">
        <v>0.08</v>
      </c>
      <c r="F45" s="173"/>
      <c r="G45" s="44">
        <f>ROUND(D45*E45,2)</f>
        <v>437296.55</v>
      </c>
      <c r="H45" s="44">
        <f t="shared" si="0"/>
        <v>5903503.46</v>
      </c>
      <c r="I45" s="44">
        <f t="shared" si="1"/>
        <v>112166.57</v>
      </c>
      <c r="J45" s="44">
        <f t="shared" si="2"/>
        <v>6015670.0300000003</v>
      </c>
      <c r="K45" s="174">
        <v>13</v>
      </c>
      <c r="L45" s="44">
        <f t="shared" si="3"/>
        <v>469222262.33999997</v>
      </c>
    </row>
    <row r="46" spans="1:14" ht="33.75" thickBot="1">
      <c r="A46" s="42" t="s">
        <v>50</v>
      </c>
      <c r="B46" s="42" t="s">
        <v>17</v>
      </c>
      <c r="C46" s="43">
        <v>22</v>
      </c>
      <c r="D46" s="44">
        <f>ROUND($D$7*$C$32/30*C46/13*12,2)</f>
        <v>6012827.5999999996</v>
      </c>
      <c r="E46" s="50">
        <v>0.1</v>
      </c>
      <c r="F46" s="175"/>
      <c r="G46" s="44">
        <f>ROUND(D46*E46,2)</f>
        <v>601282.76</v>
      </c>
      <c r="H46" s="44">
        <f>ROUND(D46+G46,2)</f>
        <v>6614110.3600000003</v>
      </c>
      <c r="I46" s="44">
        <f>ROUND(H46*10%*19%,2)</f>
        <v>125668.1</v>
      </c>
      <c r="J46" s="44">
        <f>ROUND(H46+I46,2)</f>
        <v>6739778.46</v>
      </c>
      <c r="K46" s="174">
        <v>5</v>
      </c>
      <c r="L46" s="44">
        <f t="shared" si="3"/>
        <v>202193353.80000001</v>
      </c>
    </row>
    <row r="47" spans="1:14" ht="17.25" thickBot="1">
      <c r="K47" s="176">
        <f>SUM(K42:K46)</f>
        <v>145</v>
      </c>
      <c r="L47" s="177">
        <f>ROUND(SUM(L42:L46),2)</f>
        <v>11079547246.5</v>
      </c>
      <c r="N47" s="49"/>
    </row>
    <row r="48" spans="1:14" ht="17.25" thickBot="1"/>
    <row r="49" spans="1:14" ht="19.5" thickBot="1">
      <c r="A49" s="88" t="s">
        <v>53</v>
      </c>
      <c r="B49" s="89"/>
      <c r="C49" s="89"/>
      <c r="D49" s="89"/>
      <c r="E49" s="89"/>
      <c r="F49" s="89"/>
      <c r="G49" s="89"/>
      <c r="H49" s="90"/>
      <c r="I49" s="169"/>
      <c r="J49" s="169"/>
      <c r="K49" s="91" t="s">
        <v>36</v>
      </c>
      <c r="L49" s="92"/>
    </row>
    <row r="50" spans="1:14" ht="51.75" thickBot="1">
      <c r="A50" s="76" t="s">
        <v>37</v>
      </c>
      <c r="B50" s="76" t="s">
        <v>26</v>
      </c>
      <c r="C50" s="178" t="s">
        <v>38</v>
      </c>
      <c r="D50" s="39" t="s">
        <v>39</v>
      </c>
      <c r="E50" s="39" t="s">
        <v>40</v>
      </c>
      <c r="F50" s="94"/>
      <c r="G50" s="39" t="s">
        <v>41</v>
      </c>
      <c r="H50" s="39" t="s">
        <v>42</v>
      </c>
      <c r="I50" s="39" t="s">
        <v>43</v>
      </c>
      <c r="J50" s="178" t="s">
        <v>44</v>
      </c>
      <c r="K50" s="39" t="s">
        <v>45</v>
      </c>
      <c r="L50" s="40" t="s">
        <v>54</v>
      </c>
    </row>
    <row r="51" spans="1:14">
      <c r="A51" s="179" t="s">
        <v>47</v>
      </c>
      <c r="B51" s="179" t="s">
        <v>48</v>
      </c>
      <c r="C51" s="72">
        <v>30</v>
      </c>
      <c r="D51" s="180">
        <f>+D7</f>
        <v>18664816.609999999</v>
      </c>
      <c r="E51" s="181">
        <v>0.1</v>
      </c>
      <c r="F51" s="94"/>
      <c r="G51" s="180">
        <f>ROUND(D51*E51,2)</f>
        <v>1866481.66</v>
      </c>
      <c r="H51" s="180">
        <f>ROUND(D51+G51,2)</f>
        <v>20531298.27</v>
      </c>
      <c r="I51" s="180">
        <f>ROUND(H51*10%*19%,2)</f>
        <v>390094.67</v>
      </c>
      <c r="J51" s="73">
        <f>ROUND(H51+I51,2)</f>
        <v>20921392.940000001</v>
      </c>
      <c r="K51" s="182">
        <v>5</v>
      </c>
      <c r="L51" s="183">
        <f>ROUND(K51*J51,2)*6</f>
        <v>627641788.20000005</v>
      </c>
    </row>
    <row r="52" spans="1:14" ht="17.25" thickBot="1">
      <c r="C52" s="1"/>
      <c r="K52" s="184">
        <f>SUM(K51:K51)</f>
        <v>5</v>
      </c>
      <c r="L52" s="185">
        <f>ROUND(SUM(L51:L51),2)</f>
        <v>627641788.20000005</v>
      </c>
    </row>
    <row r="53" spans="1:14" ht="17.25" thickBot="1">
      <c r="C53" s="1"/>
      <c r="K53" s="2"/>
    </row>
    <row r="54" spans="1:14" ht="17.25" thickBot="1">
      <c r="A54" s="12"/>
      <c r="B54" s="12"/>
      <c r="C54" s="62"/>
      <c r="D54" s="49"/>
      <c r="E54" s="49"/>
      <c r="F54" s="49"/>
      <c r="G54" s="49"/>
      <c r="H54" s="49"/>
      <c r="I54" s="49"/>
      <c r="J54" s="49"/>
      <c r="K54" s="63">
        <f>K47+K52</f>
        <v>150</v>
      </c>
      <c r="L54" s="64">
        <f>L47+L52</f>
        <v>11707189034.700001</v>
      </c>
    </row>
    <row r="56" spans="1:14" ht="31.5" customHeight="1" thickBot="1">
      <c r="A56" s="164" t="s">
        <v>70</v>
      </c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</row>
    <row r="57" spans="1:14" ht="26.25" customHeight="1" thickBot="1">
      <c r="A57" s="166" t="s">
        <v>58</v>
      </c>
      <c r="B57" s="167"/>
      <c r="C57" s="167"/>
      <c r="D57" s="167"/>
      <c r="E57" s="167"/>
      <c r="F57" s="167"/>
      <c r="G57" s="167"/>
      <c r="H57" s="168"/>
      <c r="I57" s="169"/>
      <c r="J57" s="169"/>
      <c r="K57" s="170" t="s">
        <v>36</v>
      </c>
      <c r="L57" s="171"/>
    </row>
    <row r="58" spans="1:14" s="41" customFormat="1" ht="77.25" customHeight="1" thickBot="1">
      <c r="A58" s="158" t="s">
        <v>37</v>
      </c>
      <c r="B58" s="158" t="s">
        <v>26</v>
      </c>
      <c r="C58" s="159" t="s">
        <v>38</v>
      </c>
      <c r="D58" s="159" t="s">
        <v>39</v>
      </c>
      <c r="E58" s="159" t="s">
        <v>40</v>
      </c>
      <c r="F58" s="172"/>
      <c r="G58" s="159" t="s">
        <v>41</v>
      </c>
      <c r="H58" s="159" t="s">
        <v>42</v>
      </c>
      <c r="I58" s="159" t="s">
        <v>43</v>
      </c>
      <c r="J58" s="159" t="s">
        <v>44</v>
      </c>
      <c r="K58" s="159" t="s">
        <v>45</v>
      </c>
      <c r="L58" s="40" t="s">
        <v>59</v>
      </c>
    </row>
    <row r="59" spans="1:14" ht="17.25" thickBot="1">
      <c r="A59" s="42" t="s">
        <v>47</v>
      </c>
      <c r="B59" s="42" t="s">
        <v>48</v>
      </c>
      <c r="C59" s="43">
        <v>30</v>
      </c>
      <c r="D59" s="44">
        <f>D11</f>
        <v>18975567.23</v>
      </c>
      <c r="E59" s="50">
        <v>0.1</v>
      </c>
      <c r="F59" s="173"/>
      <c r="G59" s="44">
        <f>ROUND(D59*E59,2)</f>
        <v>1897556.72</v>
      </c>
      <c r="H59" s="44">
        <f>ROUND(D59+G59,2)</f>
        <v>20873123.949999999</v>
      </c>
      <c r="I59" s="44">
        <f>ROUND(H59*10%*19%,2)</f>
        <v>396589.36</v>
      </c>
      <c r="J59" s="44">
        <f>ROUND(H59+I59,2)</f>
        <v>21269713.309999999</v>
      </c>
      <c r="K59" s="174">
        <v>63</v>
      </c>
      <c r="L59" s="44">
        <f>ROUND(((K59*J59)*6),2)</f>
        <v>8039951631.1800003</v>
      </c>
    </row>
    <row r="60" spans="1:14" ht="17.25" thickBot="1">
      <c r="A60" s="42" t="s">
        <v>49</v>
      </c>
      <c r="B60" s="42" t="s">
        <v>48</v>
      </c>
      <c r="C60" s="43">
        <v>30</v>
      </c>
      <c r="D60" s="44">
        <f>ROUND($D$11*$C$32/30*C60/13*12,2)</f>
        <v>8335820.7199999997</v>
      </c>
      <c r="E60" s="50">
        <v>0.1</v>
      </c>
      <c r="F60" s="173"/>
      <c r="G60" s="44">
        <f>ROUND(D60*E60,2)</f>
        <v>833582.07</v>
      </c>
      <c r="H60" s="44">
        <f t="shared" ref="H60:H62" si="4">ROUND(D60+G60,2)</f>
        <v>9169402.7899999991</v>
      </c>
      <c r="I60" s="44">
        <f t="shared" ref="I60:I62" si="5">ROUND(H60*10%*19%,2)</f>
        <v>174218.65</v>
      </c>
      <c r="J60" s="44">
        <f t="shared" ref="J60:J62" si="6">ROUND(H60+I60,2)</f>
        <v>9343621.4399999995</v>
      </c>
      <c r="K60" s="174">
        <v>8</v>
      </c>
      <c r="L60" s="44">
        <f t="shared" ref="L60:L63" si="7">ROUND(((K60*J60)*6),2)</f>
        <v>448493829.12</v>
      </c>
    </row>
    <row r="61" spans="1:14" ht="23.25" customHeight="1" thickBot="1">
      <c r="A61" s="42" t="s">
        <v>50</v>
      </c>
      <c r="B61" s="42" t="s">
        <v>51</v>
      </c>
      <c r="C61" s="43">
        <v>20</v>
      </c>
      <c r="D61" s="44">
        <f>ROUND($D$11*$C$32/30*C61/13*12,2)</f>
        <v>5557213.8099999996</v>
      </c>
      <c r="E61" s="50">
        <v>0.1</v>
      </c>
      <c r="F61" s="173"/>
      <c r="G61" s="44">
        <f>ROUND(D61*E61,2)</f>
        <v>555721.38</v>
      </c>
      <c r="H61" s="44">
        <f t="shared" si="4"/>
        <v>6112935.1900000004</v>
      </c>
      <c r="I61" s="44">
        <f t="shared" si="5"/>
        <v>116145.77</v>
      </c>
      <c r="J61" s="44">
        <f t="shared" si="6"/>
        <v>6229080.96</v>
      </c>
      <c r="K61" s="174">
        <v>56</v>
      </c>
      <c r="L61" s="44">
        <f t="shared" si="7"/>
        <v>2092971202.5599999</v>
      </c>
    </row>
    <row r="62" spans="1:14" ht="17.25" thickBot="1">
      <c r="A62" s="42" t="s">
        <v>52</v>
      </c>
      <c r="B62" s="42" t="s">
        <v>51</v>
      </c>
      <c r="C62" s="43">
        <v>20</v>
      </c>
      <c r="D62" s="44">
        <f>ROUND($D$11*$C$32/30*C62/13*12,2)</f>
        <v>5557213.8099999996</v>
      </c>
      <c r="E62" s="50">
        <v>0.08</v>
      </c>
      <c r="F62" s="173"/>
      <c r="G62" s="44">
        <f>ROUND(D62*E62,2)</f>
        <v>444577.1</v>
      </c>
      <c r="H62" s="44">
        <f t="shared" si="4"/>
        <v>6001790.9100000001</v>
      </c>
      <c r="I62" s="44">
        <f t="shared" si="5"/>
        <v>114034.03</v>
      </c>
      <c r="J62" s="44">
        <f t="shared" si="6"/>
        <v>6115824.9400000004</v>
      </c>
      <c r="K62" s="174">
        <v>13</v>
      </c>
      <c r="L62" s="44">
        <f t="shared" si="7"/>
        <v>477034345.31999999</v>
      </c>
    </row>
    <row r="63" spans="1:14" ht="33.75" thickBot="1">
      <c r="A63" s="42" t="s">
        <v>50</v>
      </c>
      <c r="B63" s="42" t="s">
        <v>17</v>
      </c>
      <c r="C63" s="43">
        <v>22</v>
      </c>
      <c r="D63" s="44">
        <f>ROUND($D$11*$C$32/30*C63/13*12,2)</f>
        <v>6112935.1900000004</v>
      </c>
      <c r="E63" s="50">
        <v>0.1</v>
      </c>
      <c r="F63" s="175"/>
      <c r="G63" s="44">
        <f>ROUND(D63*E63,2)</f>
        <v>611293.52</v>
      </c>
      <c r="H63" s="44">
        <f>ROUND(D63+G63,2)</f>
        <v>6724228.71</v>
      </c>
      <c r="I63" s="44">
        <f>ROUND(H63*10%*19%,2)</f>
        <v>127760.35</v>
      </c>
      <c r="J63" s="44">
        <f>ROUND(H63+I63,2)</f>
        <v>6851989.0599999996</v>
      </c>
      <c r="K63" s="174">
        <v>5</v>
      </c>
      <c r="L63" s="44">
        <f t="shared" si="7"/>
        <v>205559671.80000001</v>
      </c>
    </row>
    <row r="64" spans="1:14" ht="17.25" thickBot="1">
      <c r="K64" s="176">
        <f>SUM(K59:K63)</f>
        <v>145</v>
      </c>
      <c r="L64" s="177">
        <f>ROUND(SUM(L59:L63),2)</f>
        <v>11264010679.98</v>
      </c>
      <c r="N64" s="49"/>
    </row>
    <row r="65" spans="1:24" ht="17.25" thickBot="1"/>
    <row r="66" spans="1:24" ht="19.5" thickBot="1">
      <c r="A66" s="88" t="s">
        <v>53</v>
      </c>
      <c r="B66" s="89"/>
      <c r="C66" s="89"/>
      <c r="D66" s="89"/>
      <c r="E66" s="89"/>
      <c r="F66" s="89"/>
      <c r="G66" s="89"/>
      <c r="H66" s="90"/>
      <c r="I66" s="35"/>
      <c r="J66" s="35"/>
      <c r="K66" s="91" t="s">
        <v>36</v>
      </c>
      <c r="L66" s="92"/>
    </row>
    <row r="67" spans="1:24" ht="51.75" thickBot="1">
      <c r="A67" s="36" t="s">
        <v>37</v>
      </c>
      <c r="B67" s="37" t="s">
        <v>26</v>
      </c>
      <c r="C67" s="55" t="s">
        <v>38</v>
      </c>
      <c r="D67" s="38" t="s">
        <v>39</v>
      </c>
      <c r="E67" s="38" t="s">
        <v>40</v>
      </c>
      <c r="F67" s="93"/>
      <c r="G67" s="38" t="s">
        <v>41</v>
      </c>
      <c r="H67" s="38" t="s">
        <v>42</v>
      </c>
      <c r="I67" s="38" t="s">
        <v>43</v>
      </c>
      <c r="J67" s="38" t="s">
        <v>44</v>
      </c>
      <c r="K67" s="39" t="s">
        <v>45</v>
      </c>
      <c r="L67" s="40" t="s">
        <v>54</v>
      </c>
    </row>
    <row r="68" spans="1:24" ht="17.25" thickBot="1">
      <c r="A68" s="58" t="s">
        <v>47</v>
      </c>
      <c r="B68" s="42" t="s">
        <v>48</v>
      </c>
      <c r="C68" s="30">
        <v>30</v>
      </c>
      <c r="D68" s="44">
        <f>+D11</f>
        <v>18975567.23</v>
      </c>
      <c r="E68" s="50">
        <v>0.1</v>
      </c>
      <c r="F68" s="94"/>
      <c r="G68" s="44">
        <f>ROUND(D68*E68,2)</f>
        <v>1897556.72</v>
      </c>
      <c r="H68" s="59">
        <f>ROUND(D68+G68,2)</f>
        <v>20873123.949999999</v>
      </c>
      <c r="I68" s="59">
        <f>ROUND(H68*10%*19%,2)</f>
        <v>396589.36</v>
      </c>
      <c r="J68" s="59">
        <f>ROUND(H68+I68,2)</f>
        <v>21269713.309999999</v>
      </c>
      <c r="K68" s="60">
        <v>5</v>
      </c>
      <c r="L68" s="48">
        <f>ROUND(K68*J68,2)*6</f>
        <v>638091399.29999995</v>
      </c>
    </row>
    <row r="69" spans="1:24" ht="17.25" thickBot="1">
      <c r="C69" s="1"/>
      <c r="K69" s="52">
        <f>SUM(K68:K68)</f>
        <v>5</v>
      </c>
      <c r="L69" s="61">
        <f>ROUND(SUM(L68:L68),2)</f>
        <v>638091399.29999995</v>
      </c>
    </row>
    <row r="70" spans="1:24">
      <c r="C70" s="1"/>
      <c r="K70" s="2"/>
    </row>
    <row r="71" spans="1:24">
      <c r="A71" s="12"/>
      <c r="B71" s="12"/>
      <c r="C71" s="62"/>
      <c r="D71" s="49"/>
      <c r="E71" s="49"/>
      <c r="F71" s="49"/>
      <c r="G71" s="49"/>
      <c r="H71" s="49"/>
      <c r="I71" s="49"/>
      <c r="J71" s="49"/>
    </row>
    <row r="72" spans="1:24" ht="17.25" thickBot="1"/>
    <row r="73" spans="1:24" ht="17.25" thickBot="1">
      <c r="A73" s="12"/>
      <c r="K73" s="63">
        <v>145</v>
      </c>
      <c r="L73" s="64">
        <f>L64+L47</f>
        <v>22343557926.48</v>
      </c>
    </row>
    <row r="74" spans="1:24" ht="17.25" thickBot="1">
      <c r="A74" s="65"/>
      <c r="K74" s="23"/>
    </row>
    <row r="75" spans="1:24" ht="17.25" customHeight="1" thickBot="1">
      <c r="A75" s="84" t="s">
        <v>62</v>
      </c>
      <c r="B75" s="84"/>
      <c r="C75" s="84"/>
      <c r="D75" s="85"/>
      <c r="E75" s="85"/>
      <c r="F75" s="85"/>
      <c r="G75" s="49"/>
      <c r="I75" s="49"/>
      <c r="J75" s="49"/>
      <c r="K75" s="63">
        <v>5</v>
      </c>
      <c r="L75" s="64">
        <f>L69+L52</f>
        <v>1265733187.5</v>
      </c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</row>
    <row r="76" spans="1:24" ht="17.25" thickBot="1">
      <c r="A76" s="84" t="s">
        <v>63</v>
      </c>
      <c r="B76" s="84"/>
      <c r="C76" s="84"/>
      <c r="D76" s="85"/>
      <c r="E76" s="85"/>
      <c r="F76" s="85"/>
      <c r="G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</row>
    <row r="77" spans="1:24" s="66" customFormat="1" ht="17.25" thickBot="1">
      <c r="A77" s="84" t="s">
        <v>64</v>
      </c>
      <c r="B77" s="84"/>
      <c r="C77" s="84"/>
      <c r="D77" s="85"/>
      <c r="E77" s="85"/>
      <c r="F77" s="85"/>
      <c r="K77" s="63">
        <f>K64+K69</f>
        <v>150</v>
      </c>
      <c r="L77" s="64">
        <f>L75+L73</f>
        <v>23609291113.98</v>
      </c>
    </row>
    <row r="78" spans="1:24">
      <c r="A78" s="84" t="s">
        <v>65</v>
      </c>
      <c r="B78" s="84"/>
      <c r="C78" s="84"/>
      <c r="D78" s="85"/>
      <c r="E78" s="85"/>
      <c r="F78" s="85"/>
      <c r="L78" s="2"/>
    </row>
    <row r="79" spans="1:24">
      <c r="A79" s="84" t="s">
        <v>66</v>
      </c>
      <c r="B79" s="84"/>
      <c r="C79" s="84"/>
      <c r="D79" s="85"/>
      <c r="E79" s="85"/>
      <c r="F79" s="85"/>
      <c r="L79" s="2"/>
    </row>
    <row r="80" spans="1:24">
      <c r="A80" s="84" t="s">
        <v>67</v>
      </c>
      <c r="B80" s="84"/>
      <c r="C80" s="84"/>
      <c r="D80" s="85"/>
      <c r="E80" s="85"/>
      <c r="F80" s="85"/>
      <c r="L80" s="2"/>
    </row>
    <row r="81" spans="1:12">
      <c r="A81" s="86" t="s">
        <v>68</v>
      </c>
      <c r="B81" s="86"/>
      <c r="C81" s="86"/>
      <c r="D81" s="87"/>
      <c r="E81" s="87"/>
      <c r="F81" s="87"/>
      <c r="L81" s="2"/>
    </row>
    <row r="82" spans="1:12">
      <c r="A82" s="86"/>
      <c r="B82" s="86"/>
      <c r="C82" s="86"/>
      <c r="D82" s="87"/>
      <c r="E82" s="87"/>
      <c r="F82" s="87"/>
      <c r="L82" s="2"/>
    </row>
    <row r="83" spans="1:12">
      <c r="A83" s="86"/>
      <c r="B83" s="86"/>
      <c r="C83" s="86"/>
      <c r="D83" s="87"/>
      <c r="E83" s="87"/>
      <c r="F83" s="87"/>
      <c r="L83" s="186"/>
    </row>
    <row r="84" spans="1:12">
      <c r="A84" s="86"/>
      <c r="B84" s="86"/>
      <c r="C84" s="86"/>
      <c r="D84" s="87"/>
      <c r="E84" s="87"/>
      <c r="F84" s="87"/>
    </row>
    <row r="85" spans="1:12">
      <c r="L85" s="187"/>
    </row>
    <row r="86" spans="1:12">
      <c r="L86" s="67"/>
    </row>
  </sheetData>
  <mergeCells count="74">
    <mergeCell ref="A79:C79"/>
    <mergeCell ref="D79:F79"/>
    <mergeCell ref="A80:C80"/>
    <mergeCell ref="D80:F80"/>
    <mergeCell ref="A81:C84"/>
    <mergeCell ref="D81:F84"/>
    <mergeCell ref="A76:C76"/>
    <mergeCell ref="D76:F76"/>
    <mergeCell ref="A77:C77"/>
    <mergeCell ref="D77:F77"/>
    <mergeCell ref="A78:C78"/>
    <mergeCell ref="D78:F78"/>
    <mergeCell ref="F58:F62"/>
    <mergeCell ref="A66:H66"/>
    <mergeCell ref="K66:L66"/>
    <mergeCell ref="F67:F68"/>
    <mergeCell ref="A75:C75"/>
    <mergeCell ref="D75:F75"/>
    <mergeCell ref="F41:F45"/>
    <mergeCell ref="A49:H49"/>
    <mergeCell ref="K49:L49"/>
    <mergeCell ref="F50:F51"/>
    <mergeCell ref="A56:L56"/>
    <mergeCell ref="A57:H57"/>
    <mergeCell ref="K57:L57"/>
    <mergeCell ref="G35:K35"/>
    <mergeCell ref="A36:E36"/>
    <mergeCell ref="A37:E37"/>
    <mergeCell ref="A39:L39"/>
    <mergeCell ref="A40:H40"/>
    <mergeCell ref="K40:L40"/>
    <mergeCell ref="A32:B32"/>
    <mergeCell ref="C32:E33"/>
    <mergeCell ref="G32:K33"/>
    <mergeCell ref="A33:B33"/>
    <mergeCell ref="A34:B34"/>
    <mergeCell ref="C34:E34"/>
    <mergeCell ref="G34:K34"/>
    <mergeCell ref="A27:C27"/>
    <mergeCell ref="D27:E27"/>
    <mergeCell ref="A30:E30"/>
    <mergeCell ref="A31:B31"/>
    <mergeCell ref="C31:E31"/>
    <mergeCell ref="G31:K31"/>
    <mergeCell ref="A24:C24"/>
    <mergeCell ref="D24:E24"/>
    <mergeCell ref="A25:C25"/>
    <mergeCell ref="D25:E25"/>
    <mergeCell ref="A26:C26"/>
    <mergeCell ref="D26:E26"/>
    <mergeCell ref="A21:C21"/>
    <mergeCell ref="D21:E21"/>
    <mergeCell ref="A22:C22"/>
    <mergeCell ref="D22:E22"/>
    <mergeCell ref="A23:C23"/>
    <mergeCell ref="D23:E23"/>
    <mergeCell ref="A10:C10"/>
    <mergeCell ref="D10:E10"/>
    <mergeCell ref="A11:C11"/>
    <mergeCell ref="D11:E11"/>
    <mergeCell ref="A14:E14"/>
    <mergeCell ref="A20:E20"/>
    <mergeCell ref="A6:C6"/>
    <mergeCell ref="D6:E6"/>
    <mergeCell ref="A7:C7"/>
    <mergeCell ref="D7:E7"/>
    <mergeCell ref="A9:C9"/>
    <mergeCell ref="D9:E9"/>
    <mergeCell ref="A1:E1"/>
    <mergeCell ref="B3:E3"/>
    <mergeCell ref="A4:E4"/>
    <mergeCell ref="A5:C5"/>
    <mergeCell ref="D5:E5"/>
    <mergeCell ref="H5:J5"/>
  </mergeCells>
  <pageMargins left="0.70866141732283472" right="0.70866141732283472" top="0.74803149606299213" bottom="0.74803149606299213" header="0.31496062992125984" footer="0.31496062992125984"/>
  <pageSetup paperSize="14" scale="5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84171-A803-4C77-8DEB-B956D138F8EB}">
  <dimension ref="A1:Z63"/>
  <sheetViews>
    <sheetView showGridLines="0" tabSelected="1" topLeftCell="A16" zoomScale="90" zoomScaleNormal="90" workbookViewId="0">
      <selection activeCell="O47" sqref="O47"/>
    </sheetView>
  </sheetViews>
  <sheetFormatPr baseColWidth="10" defaultColWidth="11.42578125" defaultRowHeight="16.5"/>
  <cols>
    <col min="1" max="1" width="2.5703125" style="1" customWidth="1"/>
    <col min="2" max="2" width="40.5703125" style="1" customWidth="1"/>
    <col min="3" max="3" width="32.7109375" style="1" customWidth="1"/>
    <col min="4" max="4" width="17.7109375" style="1" customWidth="1"/>
    <col min="5" max="5" width="19.140625" style="1" customWidth="1"/>
    <col min="6" max="6" width="20" style="1" customWidth="1"/>
    <col min="7" max="7" width="1.85546875" style="1" customWidth="1"/>
    <col min="8" max="8" width="20.42578125" style="1" customWidth="1"/>
    <col min="9" max="9" width="16" style="1" customWidth="1"/>
    <col min="10" max="10" width="15.7109375" style="1" customWidth="1"/>
    <col min="11" max="11" width="16.7109375" style="1" customWidth="1"/>
    <col min="12" max="12" width="14.140625" style="1" customWidth="1"/>
    <col min="13" max="13" width="25.28515625" style="1" customWidth="1"/>
    <col min="14" max="14" width="14.7109375" style="1" customWidth="1"/>
    <col min="15" max="15" width="17.28515625" style="1" bestFit="1" customWidth="1"/>
    <col min="16" max="16384" width="11.42578125" style="1"/>
  </cols>
  <sheetData>
    <row r="1" spans="1:12" ht="37.5" customHeight="1" thickBot="1">
      <c r="A1" s="152" t="s">
        <v>60</v>
      </c>
      <c r="B1" s="153"/>
      <c r="C1" s="153"/>
      <c r="D1" s="153"/>
      <c r="E1" s="153"/>
      <c r="F1" s="154"/>
      <c r="L1" s="2"/>
    </row>
    <row r="2" spans="1:12" ht="15" customHeight="1" thickBot="1"/>
    <row r="3" spans="1:12" ht="138" customHeight="1" thickBot="1">
      <c r="B3" s="3"/>
      <c r="C3" s="138" t="s">
        <v>1</v>
      </c>
      <c r="D3" s="139"/>
      <c r="E3" s="139"/>
      <c r="F3" s="140"/>
    </row>
    <row r="4" spans="1:12" ht="60" customHeight="1" thickBot="1">
      <c r="B4" s="141" t="s">
        <v>2</v>
      </c>
      <c r="C4" s="142"/>
      <c r="D4" s="142"/>
      <c r="E4" s="142"/>
      <c r="F4" s="143"/>
      <c r="G4" s="4"/>
    </row>
    <row r="5" spans="1:12" s="8" customFormat="1" ht="42" customHeight="1" thickBot="1">
      <c r="B5" s="144" t="s">
        <v>3</v>
      </c>
      <c r="C5" s="145"/>
      <c r="D5" s="146"/>
      <c r="E5" s="147">
        <f>1827945+(1827945*3%)</f>
        <v>1882783.35</v>
      </c>
      <c r="F5" s="148"/>
      <c r="G5" s="5"/>
      <c r="I5" s="149" t="s">
        <v>4</v>
      </c>
      <c r="J5" s="150"/>
      <c r="K5" s="151"/>
      <c r="L5" s="6">
        <v>1500</v>
      </c>
    </row>
    <row r="6" spans="1:12" ht="17.25" thickBot="1">
      <c r="B6" s="122" t="s">
        <v>5</v>
      </c>
      <c r="C6" s="123"/>
      <c r="D6" s="124"/>
      <c r="E6" s="162">
        <v>10.38</v>
      </c>
      <c r="F6" s="163"/>
      <c r="G6" s="9"/>
    </row>
    <row r="7" spans="1:12" ht="17.25" thickBot="1">
      <c r="B7" s="122" t="s">
        <v>6</v>
      </c>
      <c r="C7" s="123"/>
      <c r="D7" s="124"/>
      <c r="E7" s="127">
        <f>ROUND(E5*E6,2)+L5</f>
        <v>19544791.170000002</v>
      </c>
      <c r="F7" s="128"/>
      <c r="G7" s="10"/>
    </row>
    <row r="8" spans="1:12">
      <c r="B8" s="11"/>
      <c r="C8" s="12"/>
      <c r="D8" s="12"/>
      <c r="E8" s="10"/>
      <c r="F8" s="13"/>
      <c r="G8" s="10"/>
    </row>
    <row r="9" spans="1:12" ht="17.25" thickBot="1">
      <c r="B9" s="11"/>
      <c r="C9" s="12"/>
      <c r="D9" s="12"/>
      <c r="E9" s="10"/>
      <c r="F9" s="13"/>
      <c r="G9" s="10"/>
    </row>
    <row r="10" spans="1:12" ht="19.5" thickBot="1">
      <c r="B10" s="129" t="s">
        <v>7</v>
      </c>
      <c r="C10" s="130"/>
      <c r="D10" s="130"/>
      <c r="E10" s="130"/>
      <c r="F10" s="131"/>
      <c r="G10" s="14"/>
    </row>
    <row r="11" spans="1:12" s="17" customFormat="1" ht="24.75" customHeight="1" thickBot="1">
      <c r="B11" s="15" t="s">
        <v>8</v>
      </c>
      <c r="C11" s="16" t="s">
        <v>9</v>
      </c>
      <c r="D11" s="16" t="s">
        <v>10</v>
      </c>
      <c r="E11" s="16" t="s">
        <v>11</v>
      </c>
      <c r="F11" s="16" t="s">
        <v>12</v>
      </c>
    </row>
    <row r="12" spans="1:12" ht="33">
      <c r="B12" s="19" t="s">
        <v>13</v>
      </c>
      <c r="C12" s="74">
        <f>$E$7</f>
        <v>19544791.170000002</v>
      </c>
      <c r="D12" s="21">
        <v>0.08</v>
      </c>
      <c r="E12" s="20">
        <f>ROUND(C12*D12,2)</f>
        <v>1563583.29</v>
      </c>
      <c r="F12" s="20">
        <f>ROUND(C12+E12,2)</f>
        <v>21108374.460000001</v>
      </c>
      <c r="G12" s="23"/>
    </row>
    <row r="13" spans="1:12" ht="33.75" thickBot="1">
      <c r="B13" s="24" t="s">
        <v>14</v>
      </c>
      <c r="C13" s="75">
        <f>$E$7</f>
        <v>19544791.170000002</v>
      </c>
      <c r="D13" s="26">
        <v>0.1</v>
      </c>
      <c r="E13" s="25">
        <f>ROUND(C13*D13,0)</f>
        <v>1954479</v>
      </c>
      <c r="F13" s="25">
        <f>ROUND(C13+E13,2)</f>
        <v>21499270.170000002</v>
      </c>
      <c r="G13" s="23"/>
    </row>
    <row r="14" spans="1:12">
      <c r="B14" s="28"/>
      <c r="C14" s="23"/>
      <c r="D14" s="29"/>
      <c r="E14" s="23"/>
      <c r="F14" s="23"/>
      <c r="G14" s="23"/>
    </row>
    <row r="16" spans="1:12" ht="43.5" customHeight="1" thickBot="1">
      <c r="B16" s="132" t="s">
        <v>56</v>
      </c>
      <c r="C16" s="133"/>
      <c r="D16" s="133"/>
      <c r="E16" s="133"/>
      <c r="F16" s="134"/>
      <c r="G16" s="4"/>
    </row>
    <row r="17" spans="2:12" ht="17.25" thickBot="1">
      <c r="B17" s="111" t="s">
        <v>16</v>
      </c>
      <c r="C17" s="114"/>
      <c r="D17" s="112"/>
      <c r="E17" s="111">
        <v>20</v>
      </c>
      <c r="F17" s="112"/>
      <c r="G17" s="2"/>
    </row>
    <row r="18" spans="2:12" ht="17.25" thickBot="1">
      <c r="B18" s="111" t="s">
        <v>17</v>
      </c>
      <c r="C18" s="114"/>
      <c r="D18" s="112"/>
      <c r="E18" s="111">
        <v>22</v>
      </c>
      <c r="F18" s="112"/>
      <c r="G18" s="2"/>
    </row>
    <row r="19" spans="2:12" ht="17.25" thickBot="1">
      <c r="B19" s="111" t="s">
        <v>18</v>
      </c>
      <c r="C19" s="114"/>
      <c r="D19" s="112"/>
      <c r="E19" s="111">
        <v>24</v>
      </c>
      <c r="F19" s="112"/>
      <c r="G19" s="2"/>
    </row>
    <row r="20" spans="2:12" ht="17.25" thickBot="1">
      <c r="B20" s="111" t="s">
        <v>19</v>
      </c>
      <c r="C20" s="114"/>
      <c r="D20" s="112"/>
      <c r="E20" s="111">
        <v>26</v>
      </c>
      <c r="F20" s="112"/>
      <c r="G20" s="2"/>
    </row>
    <row r="21" spans="2:12" ht="17.25" thickBot="1">
      <c r="B21" s="111" t="s">
        <v>20</v>
      </c>
      <c r="C21" s="114"/>
      <c r="D21" s="112"/>
      <c r="E21" s="111">
        <v>2</v>
      </c>
      <c r="F21" s="112"/>
      <c r="G21" s="2"/>
    </row>
    <row r="22" spans="2:12" ht="17.25" thickBot="1">
      <c r="B22" s="111" t="s">
        <v>21</v>
      </c>
      <c r="C22" s="114"/>
      <c r="D22" s="112"/>
      <c r="E22" s="111">
        <v>8</v>
      </c>
      <c r="F22" s="112"/>
      <c r="G22" s="2"/>
    </row>
    <row r="23" spans="2:12" ht="17.25" thickBot="1">
      <c r="B23" s="111" t="s">
        <v>22</v>
      </c>
      <c r="C23" s="114"/>
      <c r="D23" s="112"/>
      <c r="E23" s="111">
        <v>10</v>
      </c>
      <c r="F23" s="112"/>
      <c r="G23" s="2"/>
    </row>
    <row r="24" spans="2:12">
      <c r="B24" s="2"/>
      <c r="C24" s="2"/>
      <c r="D24" s="2"/>
      <c r="E24" s="2"/>
      <c r="F24" s="2"/>
      <c r="G24" s="2"/>
    </row>
    <row r="26" spans="2:12" ht="53.25" customHeight="1" thickBot="1">
      <c r="B26" s="116" t="s">
        <v>23</v>
      </c>
      <c r="C26" s="117"/>
      <c r="D26" s="117"/>
      <c r="E26" s="117"/>
      <c r="F26" s="118"/>
      <c r="G26" s="31"/>
    </row>
    <row r="27" spans="2:12" s="8" customFormat="1" ht="43.5" customHeight="1" thickBot="1">
      <c r="B27" s="119" t="s">
        <v>24</v>
      </c>
      <c r="C27" s="120"/>
      <c r="D27" s="119" t="s">
        <v>25</v>
      </c>
      <c r="E27" s="121"/>
      <c r="F27" s="120"/>
      <c r="G27" s="32"/>
      <c r="H27" s="155" t="s">
        <v>26</v>
      </c>
      <c r="I27" s="156"/>
      <c r="J27" s="156"/>
      <c r="K27" s="156"/>
      <c r="L27" s="157"/>
    </row>
    <row r="28" spans="2:12" ht="17.25" customHeight="1" thickBot="1">
      <c r="B28" s="102" t="s">
        <v>27</v>
      </c>
      <c r="C28" s="102"/>
      <c r="D28" s="103">
        <v>0.47589999999999999</v>
      </c>
      <c r="E28" s="104"/>
      <c r="F28" s="105"/>
      <c r="G28" s="2"/>
      <c r="H28" s="109" t="s">
        <v>28</v>
      </c>
      <c r="I28" s="109"/>
      <c r="J28" s="109"/>
      <c r="K28" s="109"/>
      <c r="L28" s="109"/>
    </row>
    <row r="29" spans="2:12" ht="17.25" customHeight="1" thickBot="1">
      <c r="B29" s="102" t="s">
        <v>29</v>
      </c>
      <c r="C29" s="102"/>
      <c r="D29" s="106"/>
      <c r="E29" s="107"/>
      <c r="F29" s="108"/>
      <c r="G29" s="2"/>
      <c r="H29" s="110"/>
      <c r="I29" s="110"/>
      <c r="J29" s="110"/>
      <c r="K29" s="110"/>
      <c r="L29" s="110"/>
    </row>
    <row r="30" spans="2:12" ht="17.25" customHeight="1" thickBot="1">
      <c r="B30" s="111" t="s">
        <v>30</v>
      </c>
      <c r="C30" s="112"/>
      <c r="D30" s="113">
        <v>0.52410000000000001</v>
      </c>
      <c r="E30" s="114"/>
      <c r="F30" s="112"/>
      <c r="G30" s="2"/>
      <c r="H30" s="110" t="s">
        <v>31</v>
      </c>
      <c r="I30" s="110"/>
      <c r="J30" s="110"/>
      <c r="K30" s="110"/>
      <c r="L30" s="110"/>
    </row>
    <row r="31" spans="2:12" ht="17.25" customHeight="1" thickBot="1">
      <c r="H31" s="95" t="s">
        <v>32</v>
      </c>
      <c r="I31" s="95"/>
      <c r="J31" s="95"/>
      <c r="K31" s="95"/>
      <c r="L31" s="95"/>
    </row>
    <row r="32" spans="2:12" ht="82.5" customHeight="1" thickBot="1">
      <c r="B32" s="188" t="s">
        <v>33</v>
      </c>
      <c r="C32" s="189"/>
      <c r="D32" s="189"/>
      <c r="E32" s="189"/>
      <c r="F32" s="190"/>
      <c r="G32" s="31"/>
    </row>
    <row r="33" spans="2:14" ht="60" customHeight="1" thickBot="1">
      <c r="B33" s="99" t="s">
        <v>34</v>
      </c>
      <c r="C33" s="100"/>
      <c r="D33" s="100"/>
      <c r="E33" s="100"/>
      <c r="F33" s="101"/>
      <c r="G33" s="33"/>
    </row>
    <row r="34" spans="2:14" ht="30.75" customHeight="1">
      <c r="B34" s="34"/>
      <c r="C34" s="33"/>
      <c r="D34" s="33"/>
      <c r="E34" s="33"/>
      <c r="F34" s="33"/>
      <c r="G34" s="33"/>
    </row>
    <row r="35" spans="2:14" ht="31.5" customHeight="1" thickBot="1">
      <c r="B35" s="34"/>
      <c r="C35" s="33"/>
      <c r="D35" s="33"/>
      <c r="E35" s="33"/>
      <c r="F35" s="33"/>
      <c r="G35" s="33"/>
    </row>
    <row r="36" spans="2:14" ht="26.25" customHeight="1" thickBot="1">
      <c r="B36" s="88" t="s">
        <v>58</v>
      </c>
      <c r="C36" s="89"/>
      <c r="D36" s="89"/>
      <c r="E36" s="89"/>
      <c r="F36" s="89"/>
      <c r="G36" s="89"/>
      <c r="H36" s="89"/>
      <c r="I36" s="90"/>
      <c r="J36" s="35"/>
      <c r="K36" s="35"/>
      <c r="L36" s="91" t="s">
        <v>36</v>
      </c>
      <c r="M36" s="92"/>
    </row>
    <row r="37" spans="2:14" s="41" customFormat="1" ht="77.25" customHeight="1" thickBot="1">
      <c r="B37" s="76" t="s">
        <v>37</v>
      </c>
      <c r="C37" s="76" t="s">
        <v>26</v>
      </c>
      <c r="D37" s="77" t="s">
        <v>38</v>
      </c>
      <c r="E37" s="39" t="s">
        <v>39</v>
      </c>
      <c r="F37" s="39" t="s">
        <v>40</v>
      </c>
      <c r="G37" s="93"/>
      <c r="H37" s="38" t="s">
        <v>41</v>
      </c>
      <c r="I37" s="38" t="s">
        <v>42</v>
      </c>
      <c r="J37" s="38" t="s">
        <v>43</v>
      </c>
      <c r="K37" s="38" t="s">
        <v>44</v>
      </c>
      <c r="L37" s="39" t="s">
        <v>45</v>
      </c>
      <c r="M37" s="40" t="s">
        <v>61</v>
      </c>
    </row>
    <row r="38" spans="2:14" ht="17.25" thickBot="1">
      <c r="B38" s="47" t="s">
        <v>47</v>
      </c>
      <c r="C38" s="71" t="s">
        <v>48</v>
      </c>
      <c r="D38" s="78">
        <v>30</v>
      </c>
      <c r="E38" s="47">
        <f>+C12</f>
        <v>19544791.170000002</v>
      </c>
      <c r="F38" s="79">
        <v>0.1</v>
      </c>
      <c r="G38" s="94"/>
      <c r="H38" s="47">
        <f>ROUND(E38*F38,2)</f>
        <v>1954479.12</v>
      </c>
      <c r="I38" s="71">
        <f>ROUND(E38+H38,2)</f>
        <v>21499270.289999999</v>
      </c>
      <c r="J38" s="71">
        <f>ROUND(I38*10%*19%,2)</f>
        <v>408486.14</v>
      </c>
      <c r="K38" s="71">
        <f>ROUND(I38+J38,2)</f>
        <v>21907756.43</v>
      </c>
      <c r="L38" s="60">
        <v>63</v>
      </c>
      <c r="M38" s="71">
        <f>ROUND(L38*K38,2)*11</f>
        <v>15182075205.99</v>
      </c>
    </row>
    <row r="39" spans="2:14" ht="17.25" thickBot="1">
      <c r="B39" s="47" t="s">
        <v>49</v>
      </c>
      <c r="C39" s="71" t="s">
        <v>48</v>
      </c>
      <c r="D39" s="78">
        <v>30</v>
      </c>
      <c r="E39" s="47">
        <f>ROUND($E$7*$D$28/30*D39/13*12,0)</f>
        <v>8585876</v>
      </c>
      <c r="F39" s="79">
        <v>0.1</v>
      </c>
      <c r="G39" s="94"/>
      <c r="H39" s="47">
        <f t="shared" ref="H39:H42" si="0">ROUND(E39*F39,2)</f>
        <v>858587.6</v>
      </c>
      <c r="I39" s="71">
        <f t="shared" ref="I39:I42" si="1">ROUND(E39+H39,2)</f>
        <v>9444463.5999999996</v>
      </c>
      <c r="J39" s="71">
        <f t="shared" ref="J39:J42" si="2">ROUND(I39*10%*19%,2)</f>
        <v>179444.81</v>
      </c>
      <c r="K39" s="71">
        <f t="shared" ref="K39:K42" si="3">ROUND(I39+J39,2)</f>
        <v>9623908.4100000001</v>
      </c>
      <c r="L39" s="60">
        <v>8</v>
      </c>
      <c r="M39" s="71">
        <f t="shared" ref="M39:M42" si="4">ROUND(L39*K39,2)*11</f>
        <v>846903940.08000004</v>
      </c>
    </row>
    <row r="40" spans="2:14" ht="23.25" customHeight="1" thickBot="1">
      <c r="B40" s="47" t="s">
        <v>50</v>
      </c>
      <c r="C40" s="71" t="s">
        <v>51</v>
      </c>
      <c r="D40" s="78">
        <v>20</v>
      </c>
      <c r="E40" s="47">
        <f>ROUND($E$7*$D$28/30*D40/13*12,0)</f>
        <v>5723918</v>
      </c>
      <c r="F40" s="79">
        <v>0.1</v>
      </c>
      <c r="G40" s="94"/>
      <c r="H40" s="47">
        <f t="shared" si="0"/>
        <v>572391.80000000005</v>
      </c>
      <c r="I40" s="71">
        <f t="shared" si="1"/>
        <v>6296309.7999999998</v>
      </c>
      <c r="J40" s="71">
        <f t="shared" si="2"/>
        <v>119629.89</v>
      </c>
      <c r="K40" s="71">
        <f t="shared" si="3"/>
        <v>6415939.6900000004</v>
      </c>
      <c r="L40" s="60">
        <v>56</v>
      </c>
      <c r="M40" s="71">
        <f t="shared" si="4"/>
        <v>3952218849.04</v>
      </c>
    </row>
    <row r="41" spans="2:14" ht="20.25" customHeight="1" thickBot="1">
      <c r="B41" s="80" t="s">
        <v>52</v>
      </c>
      <c r="C41" s="81" t="s">
        <v>51</v>
      </c>
      <c r="D41" s="82">
        <v>20</v>
      </c>
      <c r="E41" s="47">
        <f>ROUND($E$7*$D$28/30*D41/13*12,0)</f>
        <v>5723918</v>
      </c>
      <c r="F41" s="79">
        <v>0.08</v>
      </c>
      <c r="G41" s="94"/>
      <c r="H41" s="47">
        <f>ROUND(E41*F41,2)</f>
        <v>457913.44</v>
      </c>
      <c r="I41" s="71">
        <f>ROUND(E41+H41,2)</f>
        <v>6181831.4400000004</v>
      </c>
      <c r="J41" s="71">
        <f t="shared" si="2"/>
        <v>117454.8</v>
      </c>
      <c r="K41" s="71">
        <f t="shared" si="3"/>
        <v>6299286.2400000002</v>
      </c>
      <c r="L41" s="60">
        <v>13</v>
      </c>
      <c r="M41" s="71">
        <f t="shared" si="4"/>
        <v>900797932.32000005</v>
      </c>
    </row>
    <row r="42" spans="2:14" ht="20.25" customHeight="1" thickBot="1">
      <c r="B42" s="44" t="s">
        <v>50</v>
      </c>
      <c r="C42" s="59" t="s">
        <v>17</v>
      </c>
      <c r="D42" s="83">
        <v>22</v>
      </c>
      <c r="E42" s="47">
        <f>ROUND($E$7*$D$28/30*D42/13*12,0)</f>
        <v>6296309</v>
      </c>
      <c r="F42" s="79">
        <v>0.1</v>
      </c>
      <c r="G42" s="46"/>
      <c r="H42" s="47">
        <f t="shared" si="0"/>
        <v>629630.9</v>
      </c>
      <c r="I42" s="71">
        <f t="shared" si="1"/>
        <v>6925939.9000000004</v>
      </c>
      <c r="J42" s="71">
        <f t="shared" si="2"/>
        <v>131592.85999999999</v>
      </c>
      <c r="K42" s="71">
        <f t="shared" si="3"/>
        <v>7057532.7599999998</v>
      </c>
      <c r="L42" s="60">
        <v>5</v>
      </c>
      <c r="M42" s="71">
        <f t="shared" si="4"/>
        <v>388164301.79999995</v>
      </c>
    </row>
    <row r="43" spans="2:14" ht="17.25" thickBot="1">
      <c r="L43" s="191">
        <f>SUM(L38:L42)</f>
        <v>145</v>
      </c>
      <c r="M43" s="64">
        <f>ROUND(SUM(M38:M42),2)</f>
        <v>21270160229.23</v>
      </c>
      <c r="N43" s="23"/>
    </row>
    <row r="44" spans="2:14">
      <c r="N44" s="23"/>
    </row>
    <row r="45" spans="2:14" ht="17.25" thickBot="1">
      <c r="N45" s="23"/>
    </row>
    <row r="46" spans="2:14" ht="19.5" thickBot="1">
      <c r="B46" s="88" t="s">
        <v>53</v>
      </c>
      <c r="C46" s="89"/>
      <c r="D46" s="89"/>
      <c r="E46" s="89"/>
      <c r="F46" s="89"/>
      <c r="G46" s="89"/>
      <c r="H46" s="89"/>
      <c r="I46" s="90"/>
      <c r="J46" s="35"/>
      <c r="K46" s="35"/>
      <c r="L46" s="91" t="s">
        <v>36</v>
      </c>
      <c r="M46" s="92"/>
      <c r="N46" s="23"/>
    </row>
    <row r="47" spans="2:14" ht="51.75" thickBot="1">
      <c r="B47" s="36" t="s">
        <v>37</v>
      </c>
      <c r="C47" s="37" t="s">
        <v>26</v>
      </c>
      <c r="D47" s="55" t="s">
        <v>38</v>
      </c>
      <c r="E47" s="38" t="s">
        <v>39</v>
      </c>
      <c r="F47" s="38" t="s">
        <v>40</v>
      </c>
      <c r="G47" s="93"/>
      <c r="H47" s="38" t="s">
        <v>41</v>
      </c>
      <c r="I47" s="38" t="s">
        <v>42</v>
      </c>
      <c r="J47" s="38" t="s">
        <v>43</v>
      </c>
      <c r="K47" s="38" t="s">
        <v>44</v>
      </c>
      <c r="L47" s="39" t="s">
        <v>45</v>
      </c>
      <c r="M47" s="40" t="s">
        <v>54</v>
      </c>
      <c r="N47" s="23"/>
    </row>
    <row r="48" spans="2:14" ht="17.25" thickBot="1">
      <c r="B48" s="58" t="s">
        <v>47</v>
      </c>
      <c r="C48" s="42" t="s">
        <v>48</v>
      </c>
      <c r="D48" s="30">
        <v>30</v>
      </c>
      <c r="E48" s="44">
        <f>+E7</f>
        <v>19544791.170000002</v>
      </c>
      <c r="F48" s="50">
        <v>0.1</v>
      </c>
      <c r="G48" s="94"/>
      <c r="H48" s="44">
        <f>ROUND(E48*F48,2)</f>
        <v>1954479.12</v>
      </c>
      <c r="I48" s="59">
        <f>ROUND(E48+H48,2)</f>
        <v>21499270.289999999</v>
      </c>
      <c r="J48" s="59">
        <f>ROUND(I48*10%*19%,2)</f>
        <v>408486.14</v>
      </c>
      <c r="K48" s="59">
        <f>ROUND(I48+J48,2)</f>
        <v>21907756.43</v>
      </c>
      <c r="L48" s="60">
        <v>5</v>
      </c>
      <c r="M48" s="48">
        <f>ROUND(L48*K48,2)*11</f>
        <v>1204926603.6500001</v>
      </c>
      <c r="N48" s="23"/>
    </row>
    <row r="49" spans="2:26" ht="17.25" thickBot="1">
      <c r="L49" s="52">
        <f>SUM(L48:L48)</f>
        <v>5</v>
      </c>
      <c r="M49" s="61">
        <f>ROUND(SUM(M48:M48),2)</f>
        <v>1204926603.6500001</v>
      </c>
      <c r="N49" s="23"/>
    </row>
    <row r="50" spans="2:26" ht="17.25" thickBot="1">
      <c r="L50" s="2"/>
      <c r="N50" s="23"/>
    </row>
    <row r="51" spans="2:26" ht="17.25" thickBot="1">
      <c r="B51" s="12"/>
      <c r="C51" s="12"/>
      <c r="D51" s="62"/>
      <c r="E51" s="49"/>
      <c r="F51" s="49"/>
      <c r="G51" s="49"/>
      <c r="H51" s="49"/>
      <c r="I51" s="49"/>
      <c r="J51" s="49"/>
      <c r="K51" s="49"/>
      <c r="L51" s="63">
        <f>L49+L43</f>
        <v>150</v>
      </c>
      <c r="M51" s="64">
        <f>M43+M49</f>
        <v>22475086832.880001</v>
      </c>
      <c r="N51" s="23"/>
      <c r="O51" s="49"/>
    </row>
    <row r="52" spans="2:26">
      <c r="B52" s="84" t="s">
        <v>62</v>
      </c>
      <c r="C52" s="84"/>
      <c r="D52" s="84"/>
      <c r="E52" s="85"/>
      <c r="F52" s="85"/>
      <c r="G52" s="85"/>
      <c r="N52" s="23"/>
    </row>
    <row r="53" spans="2:26" ht="17.25" customHeight="1">
      <c r="B53" s="84" t="s">
        <v>63</v>
      </c>
      <c r="C53" s="84"/>
      <c r="D53" s="84"/>
      <c r="E53" s="85"/>
      <c r="F53" s="85"/>
      <c r="G53" s="85"/>
      <c r="H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</row>
    <row r="54" spans="2:26">
      <c r="B54" s="84" t="s">
        <v>64</v>
      </c>
      <c r="C54" s="84"/>
      <c r="D54" s="84"/>
      <c r="E54" s="85"/>
      <c r="F54" s="85"/>
      <c r="G54" s="85"/>
      <c r="H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2:26">
      <c r="B55" s="84" t="s">
        <v>65</v>
      </c>
      <c r="C55" s="84"/>
      <c r="D55" s="84"/>
      <c r="E55" s="85"/>
      <c r="F55" s="85"/>
      <c r="G55" s="85"/>
      <c r="M55" s="2"/>
      <c r="N55" s="67"/>
    </row>
    <row r="56" spans="2:26">
      <c r="B56" s="84" t="s">
        <v>66</v>
      </c>
      <c r="C56" s="84"/>
      <c r="D56" s="84"/>
      <c r="E56" s="85"/>
      <c r="F56" s="85"/>
      <c r="G56" s="85"/>
      <c r="M56" s="192"/>
    </row>
    <row r="57" spans="2:26">
      <c r="B57" s="84" t="s">
        <v>67</v>
      </c>
      <c r="C57" s="84"/>
      <c r="D57" s="84"/>
      <c r="E57" s="85"/>
      <c r="F57" s="85"/>
      <c r="G57" s="85"/>
      <c r="M57" s="2"/>
    </row>
    <row r="58" spans="2:26">
      <c r="B58" s="86" t="s">
        <v>68</v>
      </c>
      <c r="C58" s="86"/>
      <c r="D58" s="86"/>
      <c r="E58" s="87"/>
      <c r="F58" s="87"/>
      <c r="G58" s="87"/>
      <c r="M58" s="2"/>
    </row>
    <row r="59" spans="2:26">
      <c r="B59" s="86"/>
      <c r="C59" s="86"/>
      <c r="D59" s="86"/>
      <c r="E59" s="87"/>
      <c r="F59" s="87"/>
      <c r="G59" s="87"/>
      <c r="M59" s="2"/>
    </row>
    <row r="60" spans="2:26">
      <c r="B60" s="86"/>
      <c r="C60" s="86"/>
      <c r="D60" s="86"/>
      <c r="E60" s="87"/>
      <c r="F60" s="87"/>
      <c r="G60" s="87"/>
      <c r="M60" s="2"/>
    </row>
    <row r="61" spans="2:26">
      <c r="B61" s="86"/>
      <c r="C61" s="86"/>
      <c r="D61" s="86"/>
      <c r="E61" s="87"/>
      <c r="F61" s="87"/>
      <c r="G61" s="87"/>
      <c r="M61" s="186"/>
    </row>
    <row r="62" spans="2:26">
      <c r="M62" s="187"/>
    </row>
    <row r="63" spans="2:26">
      <c r="M63" s="67"/>
    </row>
  </sheetData>
  <mergeCells count="60">
    <mergeCell ref="B57:D57"/>
    <mergeCell ref="E57:G57"/>
    <mergeCell ref="B58:D61"/>
    <mergeCell ref="E58:G61"/>
    <mergeCell ref="B54:D54"/>
    <mergeCell ref="E54:G54"/>
    <mergeCell ref="B55:D55"/>
    <mergeCell ref="E55:G55"/>
    <mergeCell ref="B56:D56"/>
    <mergeCell ref="E56:G56"/>
    <mergeCell ref="B46:I46"/>
    <mergeCell ref="L46:M46"/>
    <mergeCell ref="G47:G48"/>
    <mergeCell ref="B52:D52"/>
    <mergeCell ref="E52:G52"/>
    <mergeCell ref="B53:D53"/>
    <mergeCell ref="E53:G53"/>
    <mergeCell ref="H31:L31"/>
    <mergeCell ref="B32:F32"/>
    <mergeCell ref="B33:F33"/>
    <mergeCell ref="B36:I36"/>
    <mergeCell ref="L36:M36"/>
    <mergeCell ref="G37:G41"/>
    <mergeCell ref="B28:C28"/>
    <mergeCell ref="D28:F29"/>
    <mergeCell ref="H28:L29"/>
    <mergeCell ref="B29:C29"/>
    <mergeCell ref="B30:C30"/>
    <mergeCell ref="D30:F30"/>
    <mergeCell ref="H30:L30"/>
    <mergeCell ref="B23:D23"/>
    <mergeCell ref="E23:F23"/>
    <mergeCell ref="B26:F26"/>
    <mergeCell ref="B27:C27"/>
    <mergeCell ref="D27:F27"/>
    <mergeCell ref="H27:L27"/>
    <mergeCell ref="B20:D20"/>
    <mergeCell ref="E20:F20"/>
    <mergeCell ref="B21:D21"/>
    <mergeCell ref="E21:F21"/>
    <mergeCell ref="B22:D22"/>
    <mergeCell ref="E22:F22"/>
    <mergeCell ref="B17:D17"/>
    <mergeCell ref="E17:F17"/>
    <mergeCell ref="B18:D18"/>
    <mergeCell ref="E18:F18"/>
    <mergeCell ref="B19:D19"/>
    <mergeCell ref="E19:F19"/>
    <mergeCell ref="B6:D6"/>
    <mergeCell ref="E6:F6"/>
    <mergeCell ref="B7:D7"/>
    <mergeCell ref="E7:F7"/>
    <mergeCell ref="B10:F10"/>
    <mergeCell ref="B16:F16"/>
    <mergeCell ref="A1:F1"/>
    <mergeCell ref="C3:F3"/>
    <mergeCell ref="B4:F4"/>
    <mergeCell ref="B5:D5"/>
    <mergeCell ref="E5:F5"/>
    <mergeCell ref="I5:K5"/>
  </mergeCells>
  <pageMargins left="0.70866141732283472" right="0.70866141732283472" top="0.74803149606299213" bottom="0.74803149606299213" header="0.31496062992125984" footer="0.31496062992125984"/>
  <pageSetup paperSize="14" scale="50" orientation="landscape" horizontalDpi="4294967294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1. VALOR 2026 (1 MES)</vt:lpstr>
      <vt:lpstr>ANEXO 1.1.VALOR 2027 (12 MESES)</vt:lpstr>
      <vt:lpstr>ANEXO 1.2.VALOR 2028 (11 MESES)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Henao Orrego</dc:creator>
  <cp:lastModifiedBy>Katherine Henao Orrego</cp:lastModifiedBy>
  <dcterms:created xsi:type="dcterms:W3CDTF">2026-10-19T20:32:02Z</dcterms:created>
  <dcterms:modified xsi:type="dcterms:W3CDTF">2026-10-21T19:12:15Z</dcterms:modified>
</cp:coreProperties>
</file>