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metrodebogotagovco-my.sharepoint.com/personal/oficina_ti_metrodebogota_gov_co/Documents/OTI/Contractual/Equipos/2026 PAA 033 Alquiler/1. Precontractual/Control de cambio Marco/"/>
    </mc:Choice>
  </mc:AlternateContent>
  <xr:revisionPtr revIDLastSave="1258" documentId="8_{B5E786B7-DCDF-41D0-8F57-EFCE95235163}" xr6:coauthVersionLast="47" xr6:coauthVersionMax="47" xr10:uidLastSave="{D14F56C0-CB4C-4038-9827-FDC4C3F2A38B}"/>
  <bookViews>
    <workbookView xWindow="-120" yWindow="-120" windowWidth="38640" windowHeight="21120" activeTab="3" xr2:uid="{00000000-000D-0000-FFFF-FFFF00000000}"/>
  </bookViews>
  <sheets>
    <sheet name="cuestionario 1860" sheetId="4" r:id="rId1"/>
    <sheet name="Valores Históricos" sheetId="5" r:id="rId2"/>
    <sheet name="Análisis Atípicos" sheetId="3" r:id="rId3"/>
    <sheet name="Análisis comparativo" sheetId="2"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53" i="3" l="1"/>
  <c r="W52" i="3"/>
  <c r="W51" i="3"/>
  <c r="W50" i="3"/>
  <c r="W49" i="3"/>
  <c r="W48" i="3"/>
  <c r="W47" i="3"/>
  <c r="W46" i="3"/>
  <c r="W45" i="3"/>
  <c r="W44" i="3"/>
  <c r="W43" i="3"/>
  <c r="W42" i="3"/>
  <c r="W41" i="3"/>
  <c r="W40" i="3"/>
  <c r="W39" i="3"/>
  <c r="W38" i="3"/>
  <c r="V38" i="3"/>
  <c r="V53" i="3"/>
  <c r="V52" i="3"/>
  <c r="V51" i="3"/>
  <c r="V50" i="3"/>
  <c r="V49" i="3"/>
  <c r="V48" i="3"/>
  <c r="V47" i="3"/>
  <c r="V46" i="3"/>
  <c r="V45" i="3"/>
  <c r="V44" i="3"/>
  <c r="V43" i="3"/>
  <c r="V42" i="3"/>
  <c r="V41" i="3"/>
  <c r="V40" i="3"/>
  <c r="V39" i="3"/>
  <c r="U38" i="3"/>
  <c r="U53" i="3"/>
  <c r="U52" i="3"/>
  <c r="U51" i="3"/>
  <c r="U50" i="3"/>
  <c r="U49" i="3"/>
  <c r="U48" i="3"/>
  <c r="U47" i="3"/>
  <c r="U46" i="3"/>
  <c r="U45" i="3"/>
  <c r="U44" i="3"/>
  <c r="U43" i="3"/>
  <c r="U42" i="3"/>
  <c r="U41" i="3"/>
  <c r="U40" i="3"/>
  <c r="U39" i="3"/>
  <c r="T53" i="3"/>
  <c r="T52" i="3"/>
  <c r="T51" i="3"/>
  <c r="T50" i="3"/>
  <c r="T49" i="3"/>
  <c r="T48" i="3"/>
  <c r="T47" i="3"/>
  <c r="T46" i="3"/>
  <c r="T45" i="3"/>
  <c r="T44" i="3"/>
  <c r="T43" i="3"/>
  <c r="T42" i="3"/>
  <c r="T41" i="3"/>
  <c r="T40" i="3"/>
  <c r="T39" i="3"/>
  <c r="S53" i="3"/>
  <c r="S52" i="3"/>
  <c r="S51" i="3"/>
  <c r="S50" i="3"/>
  <c r="S49" i="3"/>
  <c r="S48" i="3"/>
  <c r="S47" i="3"/>
  <c r="S46" i="3"/>
  <c r="S45" i="3"/>
  <c r="S44" i="3"/>
  <c r="S43" i="3"/>
  <c r="S42" i="3"/>
  <c r="S41" i="3"/>
  <c r="S40" i="3"/>
  <c r="S39" i="3"/>
  <c r="Q50" i="3"/>
  <c r="H54" i="3"/>
  <c r="H50" i="3"/>
  <c r="H49" i="3"/>
  <c r="H48" i="3"/>
  <c r="H47" i="3"/>
  <c r="H46" i="3"/>
  <c r="H45" i="3"/>
  <c r="H44" i="3"/>
  <c r="H43" i="3"/>
  <c r="H42" i="3"/>
  <c r="H41" i="3"/>
  <c r="H40" i="3"/>
  <c r="H39" i="3"/>
  <c r="H38" i="3"/>
  <c r="G54" i="3"/>
  <c r="F54" i="3"/>
  <c r="F53" i="3"/>
  <c r="F51" i="3"/>
  <c r="E54" i="3"/>
  <c r="E51" i="3"/>
  <c r="M19" i="3"/>
  <c r="M21" i="3"/>
  <c r="M23" i="3"/>
  <c r="M25" i="3"/>
  <c r="M13" i="3"/>
  <c r="M15" i="3"/>
  <c r="M17" i="3"/>
  <c r="M9" i="3"/>
  <c r="L21" i="3"/>
  <c r="L23" i="3"/>
  <c r="L25" i="3"/>
  <c r="L13" i="3"/>
  <c r="L15" i="3"/>
  <c r="L17" i="3"/>
  <c r="L9" i="3"/>
  <c r="O31" i="2"/>
  <c r="O30" i="2"/>
  <c r="O29" i="2"/>
  <c r="O28" i="2"/>
  <c r="O27" i="2"/>
  <c r="Q27" i="2" s="1"/>
  <c r="O26" i="2"/>
  <c r="O25" i="2"/>
  <c r="O24" i="2"/>
  <c r="Q24" i="2" s="1"/>
  <c r="K31" i="2"/>
  <c r="K30" i="2"/>
  <c r="K29" i="2"/>
  <c r="K28" i="2"/>
  <c r="K27" i="2"/>
  <c r="K26" i="2"/>
  <c r="K25" i="2"/>
  <c r="K24" i="2"/>
  <c r="J31" i="2"/>
  <c r="H31" i="2"/>
  <c r="H30" i="2"/>
  <c r="F30" i="2"/>
  <c r="J29" i="2"/>
  <c r="H29" i="2"/>
  <c r="F29" i="2"/>
  <c r="H28" i="2"/>
  <c r="F28" i="2"/>
  <c r="J27" i="2"/>
  <c r="H27" i="2"/>
  <c r="J26" i="2"/>
  <c r="H26" i="2"/>
  <c r="H25" i="2"/>
  <c r="F25" i="2"/>
  <c r="J24" i="2"/>
  <c r="H24" i="2"/>
  <c r="Q38" i="3"/>
  <c r="R38" i="3"/>
  <c r="P38" i="3"/>
  <c r="O38" i="3"/>
  <c r="N38" i="3"/>
  <c r="Q53" i="3"/>
  <c r="Q52" i="3"/>
  <c r="Q51" i="3"/>
  <c r="Q49" i="3"/>
  <c r="Q48" i="3"/>
  <c r="Q47" i="3"/>
  <c r="Q46" i="3"/>
  <c r="Q45" i="3"/>
  <c r="Q44" i="3"/>
  <c r="Q43" i="3"/>
  <c r="Q42" i="3"/>
  <c r="Q41" i="3"/>
  <c r="Q40" i="3"/>
  <c r="Q39" i="3"/>
  <c r="P53" i="3"/>
  <c r="O53" i="3"/>
  <c r="N53" i="3"/>
  <c r="P52" i="3"/>
  <c r="O52" i="3"/>
  <c r="N52" i="3"/>
  <c r="P51" i="3"/>
  <c r="O51" i="3"/>
  <c r="N51" i="3"/>
  <c r="P50" i="3"/>
  <c r="O50" i="3"/>
  <c r="N50" i="3"/>
  <c r="P49" i="3"/>
  <c r="O49" i="3"/>
  <c r="N49" i="3"/>
  <c r="P48" i="3"/>
  <c r="O48" i="3"/>
  <c r="N48" i="3"/>
  <c r="P47" i="3"/>
  <c r="O47" i="3"/>
  <c r="N47" i="3"/>
  <c r="P46" i="3"/>
  <c r="O46" i="3"/>
  <c r="N46" i="3"/>
  <c r="P45" i="3"/>
  <c r="O45" i="3"/>
  <c r="N45" i="3"/>
  <c r="P44" i="3"/>
  <c r="O44" i="3"/>
  <c r="N44" i="3"/>
  <c r="P43" i="3"/>
  <c r="O43" i="3"/>
  <c r="N43" i="3"/>
  <c r="P42" i="3"/>
  <c r="O42" i="3"/>
  <c r="N42" i="3"/>
  <c r="P41" i="3"/>
  <c r="O41" i="3"/>
  <c r="N41" i="3"/>
  <c r="P40" i="3"/>
  <c r="O40" i="3"/>
  <c r="N40" i="3"/>
  <c r="P39" i="3"/>
  <c r="O39" i="3"/>
  <c r="N39" i="3"/>
  <c r="L53" i="3"/>
  <c r="L51" i="3"/>
  <c r="L49" i="3"/>
  <c r="L47" i="3"/>
  <c r="L54" i="3" s="1"/>
  <c r="L45" i="3"/>
  <c r="L43" i="3"/>
  <c r="L41" i="3"/>
  <c r="L39" i="3"/>
  <c r="K53" i="3"/>
  <c r="K51" i="3"/>
  <c r="K49" i="3"/>
  <c r="K47" i="3"/>
  <c r="K45" i="3"/>
  <c r="K43" i="3"/>
  <c r="K41" i="3"/>
  <c r="K39" i="3"/>
  <c r="K54" i="3" s="1"/>
  <c r="J53" i="3"/>
  <c r="J51" i="3"/>
  <c r="J54" i="3" s="1"/>
  <c r="J49" i="3"/>
  <c r="J47" i="3"/>
  <c r="J45" i="3"/>
  <c r="J43" i="3"/>
  <c r="J41" i="3"/>
  <c r="J39" i="3"/>
  <c r="F43" i="3"/>
  <c r="Q26" i="2" l="1"/>
  <c r="M28" i="2"/>
  <c r="F24" i="2"/>
  <c r="F27" i="2"/>
  <c r="Q30" i="2"/>
  <c r="Q25" i="2"/>
  <c r="J25" i="2"/>
  <c r="Q31" i="2"/>
  <c r="H32" i="2"/>
  <c r="M24" i="2"/>
  <c r="F26" i="2"/>
  <c r="F31" i="2"/>
  <c r="M27" i="2"/>
  <c r="M29" i="2"/>
  <c r="Q29" i="2"/>
  <c r="Q28" i="2"/>
  <c r="M31" i="2"/>
  <c r="M26" i="2"/>
  <c r="J28" i="2"/>
  <c r="J30" i="2"/>
  <c r="M25" i="2"/>
  <c r="M30" i="2"/>
  <c r="T38" i="3"/>
  <c r="AD22" i="5"/>
  <c r="AE22" i="5" s="1"/>
  <c r="AG22" i="5" s="1"/>
  <c r="AD4" i="5"/>
  <c r="J32" i="2" l="1"/>
  <c r="Q32" i="2"/>
  <c r="F32" i="2"/>
  <c r="M32" i="2"/>
  <c r="S38" i="3"/>
  <c r="AE4" i="5"/>
  <c r="AF4" i="5" s="1"/>
  <c r="V23" i="5"/>
  <c r="V22" i="5"/>
  <c r="K22" i="5"/>
  <c r="S23" i="5"/>
  <c r="T23" i="5" s="1"/>
  <c r="S22" i="5"/>
  <c r="T22" i="5" s="1"/>
  <c r="U5" i="5"/>
  <c r="U4" i="5"/>
  <c r="T4" i="5"/>
  <c r="S5" i="5"/>
  <c r="T5" i="5" s="1"/>
  <c r="S4" i="5"/>
  <c r="I29" i="5"/>
  <c r="K29" i="5" s="1"/>
  <c r="I24" i="5"/>
  <c r="K24" i="5" s="1"/>
  <c r="K6" i="2"/>
  <c r="K12" i="2"/>
  <c r="K11" i="2"/>
  <c r="K10" i="2"/>
  <c r="K9" i="2"/>
  <c r="G28" i="5"/>
  <c r="H28" i="5" s="1"/>
  <c r="G27" i="5"/>
  <c r="H27" i="5" s="1"/>
  <c r="G25" i="5"/>
  <c r="H25" i="5" s="1"/>
  <c r="G30" i="5"/>
  <c r="H30" i="5" s="1"/>
  <c r="G29" i="5"/>
  <c r="H29" i="5" s="1"/>
  <c r="G26" i="5"/>
  <c r="H26" i="5" s="1"/>
  <c r="I26" i="5" s="1"/>
  <c r="K26" i="5" s="1"/>
  <c r="G24" i="5"/>
  <c r="H24" i="5" s="1"/>
  <c r="G22" i="5"/>
  <c r="G23" i="5"/>
  <c r="H23" i="5" s="1"/>
  <c r="G5" i="5"/>
  <c r="H5" i="5" s="1"/>
  <c r="I5" i="5" s="1"/>
  <c r="G6" i="5"/>
  <c r="H6" i="5" s="1"/>
  <c r="I6" i="5" s="1"/>
  <c r="G7" i="5"/>
  <c r="H7" i="5" s="1"/>
  <c r="I7" i="5" s="1"/>
  <c r="G8" i="5"/>
  <c r="H8" i="5" s="1"/>
  <c r="I8" i="5" s="1"/>
  <c r="G9" i="5"/>
  <c r="H9" i="5" s="1"/>
  <c r="I9" i="5" s="1"/>
  <c r="G10" i="5"/>
  <c r="H10" i="5" s="1"/>
  <c r="I10" i="5" s="1"/>
  <c r="G11" i="5"/>
  <c r="H11" i="5" s="1"/>
  <c r="I11" i="5" s="1"/>
  <c r="G12" i="5"/>
  <c r="H12" i="5" s="1"/>
  <c r="I12" i="5" s="1"/>
  <c r="G13" i="5"/>
  <c r="H13" i="5" s="1"/>
  <c r="I13" i="5" s="1"/>
  <c r="G14" i="5"/>
  <c r="H14" i="5" s="1"/>
  <c r="I14" i="5" s="1"/>
  <c r="G4" i="5"/>
  <c r="H4" i="5" s="1"/>
  <c r="I4" i="5" s="1"/>
  <c r="H22" i="5" l="1"/>
  <c r="I22" i="5" s="1"/>
  <c r="H19" i="3" l="1"/>
  <c r="F19" i="3"/>
  <c r="L11" i="2" l="1"/>
  <c r="L10" i="2"/>
  <c r="L9" i="2"/>
  <c r="L8" i="2"/>
  <c r="L7" i="2"/>
  <c r="L6" i="2"/>
  <c r="L12" i="2"/>
  <c r="I9" i="2"/>
  <c r="J9" i="2" s="1"/>
  <c r="I14" i="2"/>
  <c r="J14" i="2" s="1"/>
  <c r="I13" i="2"/>
  <c r="J13" i="2" s="1"/>
  <c r="I12" i="2"/>
  <c r="J12" i="2" s="1"/>
  <c r="I10" i="2"/>
  <c r="J10" i="2" s="1"/>
  <c r="I8" i="2"/>
  <c r="J8" i="2" s="1"/>
  <c r="I7" i="2"/>
  <c r="J7" i="2" s="1"/>
  <c r="I6" i="2"/>
  <c r="J6" i="2" s="1"/>
  <c r="H9" i="2"/>
  <c r="G14" i="2"/>
  <c r="H14" i="2" s="1"/>
  <c r="G13" i="2"/>
  <c r="H13" i="2" s="1"/>
  <c r="G12" i="2"/>
  <c r="H12" i="2" s="1"/>
  <c r="G11" i="2"/>
  <c r="H11" i="2" s="1"/>
  <c r="G10" i="2"/>
  <c r="H10" i="2" s="1"/>
  <c r="G8" i="2"/>
  <c r="H8" i="2" s="1"/>
  <c r="G7" i="2"/>
  <c r="H7" i="2" s="1"/>
  <c r="G6" i="2"/>
  <c r="H6" i="2" s="1"/>
  <c r="E14" i="2"/>
  <c r="F14" i="2" s="1"/>
  <c r="E13" i="2"/>
  <c r="F13" i="2" s="1"/>
  <c r="E12" i="2"/>
  <c r="E10" i="2"/>
  <c r="F10" i="2" s="1"/>
  <c r="E9" i="2"/>
  <c r="F9" i="2" s="1"/>
  <c r="E8" i="2"/>
  <c r="E7" i="2"/>
  <c r="E6" i="2"/>
  <c r="F6" i="2" s="1"/>
  <c r="Y18" i="3"/>
  <c r="X18" i="3"/>
  <c r="W18" i="3"/>
  <c r="V18" i="3"/>
  <c r="T18" i="3"/>
  <c r="U18" i="3"/>
  <c r="S24" i="3"/>
  <c r="S22" i="3"/>
  <c r="S21" i="3"/>
  <c r="S20" i="3"/>
  <c r="S19" i="3"/>
  <c r="S18" i="3"/>
  <c r="S17" i="3"/>
  <c r="S16" i="3"/>
  <c r="S15" i="3"/>
  <c r="S14" i="3"/>
  <c r="S12" i="3"/>
  <c r="I24" i="3"/>
  <c r="I22" i="3"/>
  <c r="I21" i="3"/>
  <c r="I20" i="3"/>
  <c r="I19" i="3"/>
  <c r="I18" i="3"/>
  <c r="I17" i="3"/>
  <c r="I16" i="3"/>
  <c r="I15" i="3"/>
  <c r="I14" i="3"/>
  <c r="I13" i="3"/>
  <c r="I12" i="3"/>
  <c r="I11" i="3"/>
  <c r="I10" i="3"/>
  <c r="I9" i="3"/>
  <c r="I8" i="3"/>
  <c r="H26" i="3"/>
  <c r="E13" i="3"/>
  <c r="R19" i="3"/>
  <c r="Q19" i="3"/>
  <c r="P19" i="3"/>
  <c r="N21" i="3"/>
  <c r="N19" i="3"/>
  <c r="N17" i="3"/>
  <c r="P17" i="3" s="1"/>
  <c r="N15" i="3"/>
  <c r="R15" i="3" s="1"/>
  <c r="N13" i="3"/>
  <c r="S13" i="3" s="1"/>
  <c r="N11" i="3"/>
  <c r="N9" i="3"/>
  <c r="R9" i="3" s="1"/>
  <c r="S10" i="3"/>
  <c r="S8" i="3"/>
  <c r="R24" i="3"/>
  <c r="Q24" i="3"/>
  <c r="P24" i="3"/>
  <c r="R22" i="3"/>
  <c r="Q22" i="3"/>
  <c r="P22" i="3"/>
  <c r="R21" i="3"/>
  <c r="R20" i="3"/>
  <c r="Q20" i="3"/>
  <c r="P20" i="3"/>
  <c r="R18" i="3"/>
  <c r="Q18" i="3"/>
  <c r="P18" i="3"/>
  <c r="R17" i="3"/>
  <c r="Q17" i="3"/>
  <c r="R16" i="3"/>
  <c r="Q16" i="3"/>
  <c r="P16" i="3"/>
  <c r="Q15" i="3"/>
  <c r="R14" i="3"/>
  <c r="Q14" i="3"/>
  <c r="P14" i="3"/>
  <c r="R13" i="3"/>
  <c r="Q13" i="3"/>
  <c r="P13" i="3"/>
  <c r="R12" i="3"/>
  <c r="Q12" i="3"/>
  <c r="P12" i="3"/>
  <c r="R10" i="3"/>
  <c r="Q10" i="3"/>
  <c r="P10" i="3"/>
  <c r="R8" i="3"/>
  <c r="Q8" i="3"/>
  <c r="P8" i="3"/>
  <c r="H9" i="3"/>
  <c r="T19" i="3" l="1"/>
  <c r="U19" i="3" s="1"/>
  <c r="V19" i="3"/>
  <c r="Y19" i="3"/>
  <c r="W19" i="3"/>
  <c r="X19" i="3"/>
  <c r="T12" i="3"/>
  <c r="T24" i="3"/>
  <c r="T22" i="3"/>
  <c r="T20" i="3"/>
  <c r="T17" i="3"/>
  <c r="T16" i="3"/>
  <c r="T8" i="3"/>
  <c r="Q8" i="2"/>
  <c r="S8" i="2" s="1"/>
  <c r="M11" i="2"/>
  <c r="O11" i="2" s="1"/>
  <c r="Q11" i="2"/>
  <c r="S11" i="2" s="1"/>
  <c r="Q6" i="2"/>
  <c r="S6" i="2" s="1"/>
  <c r="Q9" i="2"/>
  <c r="S9" i="2" s="1"/>
  <c r="Q12" i="2"/>
  <c r="S12" i="2" s="1"/>
  <c r="Q7" i="2"/>
  <c r="S7" i="2" s="1"/>
  <c r="Q10" i="2"/>
  <c r="S10" i="2" s="1"/>
  <c r="Q13" i="2"/>
  <c r="S13" i="2" s="1"/>
  <c r="Q14" i="2"/>
  <c r="S14" i="2" s="1"/>
  <c r="M6" i="2"/>
  <c r="O6" i="2" s="1"/>
  <c r="F7" i="2"/>
  <c r="M7" i="2"/>
  <c r="O7" i="2" s="1"/>
  <c r="M10" i="2"/>
  <c r="O10" i="2" s="1"/>
  <c r="M8" i="2"/>
  <c r="O8" i="2" s="1"/>
  <c r="M13" i="2"/>
  <c r="O13" i="2" s="1"/>
  <c r="M9" i="2"/>
  <c r="O9" i="2" s="1"/>
  <c r="F12" i="2"/>
  <c r="M12" i="2"/>
  <c r="O12" i="2" s="1"/>
  <c r="M14" i="2"/>
  <c r="O14" i="2" s="1"/>
  <c r="H15" i="2"/>
  <c r="T13" i="3"/>
  <c r="U13" i="3" s="1"/>
  <c r="T10" i="3"/>
  <c r="V10" i="3" s="1"/>
  <c r="S11" i="3"/>
  <c r="N26" i="3"/>
  <c r="T14" i="3"/>
  <c r="U14" i="3" s="1"/>
  <c r="F8" i="2"/>
  <c r="P9" i="3"/>
  <c r="T9" i="3" s="1"/>
  <c r="Q9" i="3"/>
  <c r="P21" i="3"/>
  <c r="T21" i="3" s="1"/>
  <c r="S9" i="3"/>
  <c r="P15" i="3"/>
  <c r="Q21" i="3"/>
  <c r="U22" i="3" l="1"/>
  <c r="V22" i="3"/>
  <c r="U20" i="3"/>
  <c r="V20" i="3"/>
  <c r="U9" i="3"/>
  <c r="V9" i="3"/>
  <c r="U21" i="3"/>
  <c r="V21" i="3"/>
  <c r="U12" i="3"/>
  <c r="V12" i="3"/>
  <c r="W12" i="3" s="1"/>
  <c r="U24" i="3"/>
  <c r="V24" i="3"/>
  <c r="X22" i="3"/>
  <c r="W22" i="3"/>
  <c r="Y22" i="3"/>
  <c r="X20" i="3"/>
  <c r="Y20" i="3"/>
  <c r="W20" i="3"/>
  <c r="U17" i="3"/>
  <c r="V17" i="3"/>
  <c r="U16" i="3"/>
  <c r="V16" i="3"/>
  <c r="U8" i="3"/>
  <c r="V8" i="3"/>
  <c r="W9" i="3"/>
  <c r="X9" i="3"/>
  <c r="Y9" i="3"/>
  <c r="Y21" i="3"/>
  <c r="W21" i="3"/>
  <c r="X21" i="3"/>
  <c r="S15" i="2"/>
  <c r="F15" i="2"/>
  <c r="V13" i="3"/>
  <c r="W13" i="3" s="1"/>
  <c r="U10" i="3"/>
  <c r="T15" i="3"/>
  <c r="V15" i="3" s="1"/>
  <c r="V14" i="3"/>
  <c r="Y14" i="3" s="1"/>
  <c r="Z18" i="3"/>
  <c r="K25" i="3"/>
  <c r="K23" i="3"/>
  <c r="K21" i="3"/>
  <c r="K19" i="3"/>
  <c r="K17" i="3"/>
  <c r="K15" i="3"/>
  <c r="K13" i="3"/>
  <c r="K11" i="3"/>
  <c r="K9" i="3"/>
  <c r="L19" i="3"/>
  <c r="M11" i="3"/>
  <c r="L11" i="3"/>
  <c r="H21" i="3"/>
  <c r="H17" i="3"/>
  <c r="H15" i="3"/>
  <c r="H13" i="3"/>
  <c r="H11" i="3"/>
  <c r="Y10" i="3" l="1"/>
  <c r="W10" i="3"/>
  <c r="X10" i="3"/>
  <c r="W24" i="3"/>
  <c r="Y24" i="3"/>
  <c r="X24" i="3"/>
  <c r="W17" i="3"/>
  <c r="X17" i="3"/>
  <c r="Y17" i="3"/>
  <c r="Y16" i="3"/>
  <c r="X16" i="3"/>
  <c r="W16" i="3"/>
  <c r="X8" i="3"/>
  <c r="Y8" i="3"/>
  <c r="Z8" i="3"/>
  <c r="W8" i="3"/>
  <c r="X12" i="3"/>
  <c r="Y12" i="3"/>
  <c r="R11" i="3"/>
  <c r="P11" i="3"/>
  <c r="Q11" i="3"/>
  <c r="L15" i="2"/>
  <c r="P25" i="3"/>
  <c r="R25" i="3"/>
  <c r="Q25" i="3"/>
  <c r="S25" i="3"/>
  <c r="L26" i="3"/>
  <c r="Q23" i="3"/>
  <c r="K26" i="3"/>
  <c r="P23" i="3"/>
  <c r="R23" i="3"/>
  <c r="S23" i="3"/>
  <c r="M26" i="3"/>
  <c r="Y13" i="3"/>
  <c r="X13" i="3"/>
  <c r="U15" i="3"/>
  <c r="X14" i="3"/>
  <c r="W14" i="3"/>
  <c r="O15" i="2"/>
  <c r="T11" i="3" l="1"/>
  <c r="T25" i="3"/>
  <c r="V25" i="3" s="1"/>
  <c r="U25" i="3"/>
  <c r="T23" i="3"/>
  <c r="V23" i="3" s="1"/>
  <c r="X15" i="3"/>
  <c r="Y15" i="3"/>
  <c r="W15" i="3"/>
  <c r="U11" i="3" l="1"/>
  <c r="V11" i="3"/>
  <c r="W11" i="3" s="1"/>
  <c r="W25" i="3"/>
  <c r="X25" i="3"/>
  <c r="Y25" i="3"/>
  <c r="U23" i="3"/>
  <c r="R44" i="3"/>
  <c r="R41" i="3"/>
  <c r="R45" i="3"/>
  <c r="R39" i="3"/>
  <c r="R47" i="3"/>
  <c r="R40" i="3"/>
  <c r="R52" i="3"/>
  <c r="R49" i="3"/>
  <c r="R48" i="3"/>
  <c r="R51" i="3"/>
  <c r="R53" i="3"/>
  <c r="R46" i="3"/>
  <c r="R43" i="3"/>
  <c r="R42" i="3"/>
  <c r="R50" i="3"/>
  <c r="X11" i="3" l="1"/>
  <c r="Y11" i="3"/>
  <c r="X23" i="3"/>
  <c r="W23" i="3"/>
  <c r="Y23" i="3"/>
  <c r="J15" i="2"/>
  <c r="Z25" i="3" l="1"/>
  <c r="Z22" i="3"/>
  <c r="Z23" i="3" l="1"/>
  <c r="Z24" i="3"/>
  <c r="Z16" i="3"/>
  <c r="Z17" i="3"/>
  <c r="Z10" i="3"/>
  <c r="Z11" i="3"/>
  <c r="Z15" i="3"/>
  <c r="Z12" i="3"/>
  <c r="Z14" i="3"/>
  <c r="Z20" i="3"/>
  <c r="Z9" i="3"/>
  <c r="Z19" i="3"/>
  <c r="G53" i="3"/>
  <c r="E53" i="3"/>
  <c r="H52" i="3"/>
  <c r="G51" i="3"/>
  <c r="G49" i="3"/>
  <c r="F49" i="3"/>
  <c r="E49" i="3"/>
  <c r="G47" i="3"/>
  <c r="F47" i="3"/>
  <c r="E47" i="3"/>
  <c r="G45" i="3"/>
  <c r="F45" i="3"/>
  <c r="E45" i="3"/>
  <c r="G43" i="3"/>
  <c r="E43" i="3"/>
  <c r="G41" i="3"/>
  <c r="F41" i="3"/>
  <c r="E41" i="3"/>
  <c r="G39" i="3"/>
  <c r="F39" i="3"/>
  <c r="E39" i="3"/>
  <c r="E11" i="3"/>
  <c r="G25" i="3"/>
  <c r="F25" i="3"/>
  <c r="E25" i="3"/>
  <c r="G23" i="3"/>
  <c r="F23" i="3"/>
  <c r="E23" i="3"/>
  <c r="G21" i="3"/>
  <c r="F21" i="3"/>
  <c r="E21" i="3"/>
  <c r="G19" i="3"/>
  <c r="E19" i="3"/>
  <c r="G17" i="3"/>
  <c r="F17" i="3"/>
  <c r="E15" i="3"/>
  <c r="E17" i="3"/>
  <c r="G15" i="3"/>
  <c r="F15" i="3"/>
  <c r="G13" i="3"/>
  <c r="F13" i="3"/>
  <c r="G11" i="3"/>
  <c r="F11" i="3"/>
  <c r="G9" i="3"/>
  <c r="F9" i="3"/>
  <c r="E9" i="3"/>
  <c r="F26" i="3" l="1"/>
  <c r="G26" i="3"/>
  <c r="I25" i="3"/>
  <c r="I23" i="3"/>
  <c r="I26" i="3" s="1"/>
  <c r="E26" i="3"/>
  <c r="Z21" i="3"/>
  <c r="Z13" i="3"/>
  <c r="H51" i="3"/>
  <c r="H53" i="3"/>
</calcChain>
</file>

<file path=xl/sharedStrings.xml><?xml version="1.0" encoding="utf-8"?>
<sst xmlns="http://schemas.openxmlformats.org/spreadsheetml/2006/main" count="301" uniqueCount="93">
  <si>
    <t xml:space="preserve">cuestionario </t>
  </si>
  <si>
    <t>Proveedor 1</t>
  </si>
  <si>
    <t>Proveedor 2</t>
  </si>
  <si>
    <t>Proveedor 3</t>
  </si>
  <si>
    <t>1. Se solicita informar si cumple con alguna de las siguientes condiciones:</t>
  </si>
  <si>
    <t>1.1. Persona Jurídica: Más del cincuenta por ciento (50%) de las acciones, partes de interés o cuotas de participación de la persona jurídica pertenecen a mujeres y los derechos de propiedad hayan pertenecido a estas durante al menos el último año anterior a la fecha de la presente comunicación.</t>
  </si>
  <si>
    <t>No</t>
  </si>
  <si>
    <t>1.2. Persona Jurídica: Por lo menos el cincuenta por ciento (50%) de los empleos del nivel directivo de la persona jurídica hayan sido ejercidos por mujeres y éstas hayan estado vinculadas laboralmente a la empresa durante al menos el último año anterior a la fecha de la presente comunicación en el mismo cargo u otro del mismo nivel.</t>
  </si>
  <si>
    <t>Si</t>
  </si>
  <si>
    <t>1.3. Persona Natural Mujer: Ha ejercido actividades comerciales a través de un establecimiento de comercio durante al menos el último año anterior a la fecha de cierre del proceso de selección.</t>
  </si>
  <si>
    <t>1.4. Asociación o Cooperativa: Más del cincuenta por ciento (50%) de los asociados sean mujeres y la participación haya correspondido a estas durante al menos el último año anterior a la fecha de la presente comunicación.</t>
  </si>
  <si>
    <t>2. De acuerdo con su experiencia en la prestación de servicios similares a los que son objeto de esta cotización, la producción de bienes y servicios ha sido prestada con al menos el 5% del personal con cualquiera de las siguientes características:</t>
  </si>
  <si>
    <t>2.1. Pobreza extrema:</t>
  </si>
  <si>
    <t>2.2. Desplazados por la violencia:</t>
  </si>
  <si>
    <t>2.3. Personas en proceso de reintegración o reincorporación:,</t>
  </si>
  <si>
    <t>2.4. Sujetos de especial protección constitucional (víctimas del conflicto armado interno, mujeres cabeza de familia, adultos mayores, las personas en condición de discapacidad, así como la población de las comunidades indígena, negra, afrocolombiana, raizal, palanquera, Rrom o gitanas, otros):</t>
  </si>
  <si>
    <t>3. Informe su tamaño empresarial de acuerdo con la información registrada en el Certificado de Existencia y Representación Legal y/o en el RUP?</t>
  </si>
  <si>
    <t>Microempresa</t>
  </si>
  <si>
    <t>Pequeña</t>
  </si>
  <si>
    <t xml:space="preserve">Valores Orden de Compra 145945 EQUIPOS DE COMPUTO </t>
  </si>
  <si>
    <t xml:space="preserve">Valores Orden de Compra 145942 IMPRESORAS </t>
  </si>
  <si>
    <t>Valores Orden de Compra 145943 ÉSCANER</t>
  </si>
  <si>
    <t>#</t>
  </si>
  <si>
    <t>Descripción</t>
  </si>
  <si>
    <t>Unidad</t>
  </si>
  <si>
    <t>Cantidad</t>
  </si>
  <si>
    <t xml:space="preserve">Valor unitario antes de IVA </t>
  </si>
  <si>
    <t>Valor IVA  unitario</t>
  </si>
  <si>
    <t>Valor total unitario</t>
  </si>
  <si>
    <t>Valor total Item</t>
  </si>
  <si>
    <t>etp03 - ETP-CCT-76. ETP -- Hasta 18 meses de servicio -- Desktop - Small Form Factor -- 5000 -- NA -- AVANZADO -- NA -- SSD -- 500 GB PCIe -- NA -- 16 GB -- Zona 1</t>
  </si>
  <si>
    <t>UN</t>
  </si>
  <si>
    <t>etp03 - ETP-AI-16. ETP - IMPRESORA LASER O LED - A4 - MULTIFUNCIONAL - BLANCO Y NEGRO - MINIMO 7.000 PAGINAS - MINIMO 40 PPM - ZONA 1</t>
  </si>
  <si>
    <t>etp03 - ETP-AE-9. ETP -- ESCANER A4 -- CAMAPLANA -- Minimo 10.000 paginas -- Minimo 70 ppm -- Zona 1</t>
  </si>
  <si>
    <t>etp03 - ETP-CCT-79. ETP -- Hasta 18 meses de servicio -- Desktop - Small Form Factor -- 5000 -- NA -- AVANZADO -- ADMINISTRACION Y GESTION REMOTA +100 ETP -- SSD -- 500 GB PCIe -- NA -- 32 GB -- Zona 1</t>
  </si>
  <si>
    <t>etp03 - ETP-AI-16-M5. ETP - IMPRESORA LASER O LED - COSTO POR CLIC 5 COBERTURA - A4 - MULTIFUNCIONAL - BLANCO Y NEGRO - MINIMO 7.000 PAGINAS - MINIMO 40 PPM - ZONA 1</t>
  </si>
  <si>
    <t>etp03 - ETP-CCT-116. ETP -- Hasta 18 meses de servicio -- PORTATIL TIPO WORKSTATION 15pulgadas PESO MAXIMO 2,6 KG -- 4000 -- 6 NUCLEOS -- AVANZADO -- NA -- SDD -- 1 TB PCIe -- ECC -- 32 GB -- Zona 1</t>
  </si>
  <si>
    <t>etp03 - ETP-CCT-117. ETP -- Hasta 18 meses de servicio -- PORTATIL TIPO WORKSTATION 17pulgadas PESO MAXIMO 3,5 KG -- 4000 -- 6 NUCLEOS -- AVANZADO -- NA -- SDD -- 2 TB -- ECC -- 64 GB -- Zona 1</t>
  </si>
  <si>
    <t>etp03 - ETP-CCT-121. ETP -- hasta 18 meses de servicio -- Portatil 14 pulgadas PESO MAXIMO 1,8KG -- 4500 -- NA -- AVANZADO -- NA -- SDD -- 512 GB PCIe -- NA -- 16 GB -- Zona 1</t>
  </si>
  <si>
    <t>etp03 - ETP-CCT-122. ETP -- hasta 18 meses de servicio -- Portatil 14 pulgadas PESO MAXIMO 1,8KG -- 4500 -- NA -- AVANZADO -- NA -- SDD -- 1 TB PCIe -- NA -- 16 GB -- Zona 1</t>
  </si>
  <si>
    <t>etp03 - SERVICIO-CCT-422. SERVICIO -- Licenciamiento de Antivirus -- NA -- NA -- NA -- NA -- NA -- NA -- NA -- NA -- NA -- Todas las zonas</t>
  </si>
  <si>
    <t>etp03 - COMPONENTE-CCT-431. COMPONENTE -- Sistema Operativo Windows 10 Profesional -- NA -- NA -- NA -- NA -- NA -- NA -- NA -- NA -- NA -- Todas las zonas</t>
  </si>
  <si>
    <t>etp03 - COMPONENTE-CCT-445. COMPONENTE -- Tarjeta grafica de 8 GB - 4x -- NA -- NA -- NA -- NA -- NA -- NA -- NA -- NA -- NA -- Todas las zonas</t>
  </si>
  <si>
    <t>etp03 - COMPONENTE-CCT-446. COMPONENTE -- Tarjeta grafica de 4 GB - 4x -- NA -- NA -- NA -- NA -- NA -- NA -- NA -- NA -- NA -- Todas las zonas</t>
  </si>
  <si>
    <t>etp03 - COMPONENTE-CCT-447. COMPONENTE -- Ampliacion de memoria al doble -- NA -- NA -- NA -- NA -- NA -- NA -- NA -- NA -- NA -- Todas las zonas</t>
  </si>
  <si>
    <t>Valores historicos</t>
  </si>
  <si>
    <r>
      <t xml:space="preserve">Nota: </t>
    </r>
    <r>
      <rPr>
        <sz val="8"/>
        <color theme="1"/>
        <rFont val="Calibri"/>
        <family val="2"/>
        <scheme val="minor"/>
      </rPr>
      <t>tener en cuenta que para determinar los valores para el nuevo proceso de contratación se le sumaron a los ítem de tarjeta gráfica, antivirus, ampliación de memoria con el fin de poder determinar el valor unitario total de cada uno de los equipos.</t>
    </r>
  </si>
  <si>
    <t xml:space="preserve">Valor Con incremento del IPC 5,1% </t>
  </si>
  <si>
    <t>etp03 - ETP-AE-3. ETP -- ESCANER A4 -- VERTICAL -- Hasta 5.000 paginas -- Minimo 40 ppm -- Zona 1</t>
  </si>
  <si>
    <t xml:space="preserve">ANÁLISIS DE PRECIOS ATÍPICOS DE ACUERDO A LA GUIA DE ANÁLISIS DEL SECTOR Y DEL MERCADO DE CCE PARA ALQUILER DE EQUIPOS </t>
  </si>
  <si>
    <t>Estretegia cardinal</t>
  </si>
  <si>
    <t>TW Group</t>
  </si>
  <si>
    <t>Dotacero</t>
  </si>
  <si>
    <t>Item</t>
  </si>
  <si>
    <t xml:space="preserve">Valor historico </t>
  </si>
  <si>
    <t>PROMEDIO</t>
  </si>
  <si>
    <t>QUARTIL 1</t>
  </si>
  <si>
    <t>QUARTIL 2</t>
  </si>
  <si>
    <t>QUARTIL 3</t>
  </si>
  <si>
    <t>RANGO</t>
  </si>
  <si>
    <t>RANGO IC (RIC)</t>
  </si>
  <si>
    <t>𝐿í𝑚𝑖𝑡𝑒 𝑖𝑛𝑓𝑒𝑟𝑖𝑜𝑟 (𝐿𝑖)</t>
  </si>
  <si>
    <t>𝐿í𝑚𝑖𝑡𝑒 𝑠𝑢𝑝𝑒𝑟𝑖𝑜𝑟 (𝐿𝑠)</t>
  </si>
  <si>
    <t xml:space="preserve">COMPUTADOR DE ESCRITORIO BÁSICO, Conforme el anexo técnico </t>
  </si>
  <si>
    <t xml:space="preserve">COMPUTADOR DE ESCRITORIO ESPECIALIZADO, Conforme el anexo técnico </t>
  </si>
  <si>
    <t>COMPUTADOR PORTÁTIL AVANZADO I, Conforme el anexo técnico</t>
  </si>
  <si>
    <t xml:space="preserve">COMPUTADOR PORTÁTIL AVANZADO II , Conforme el anexo técnico </t>
  </si>
  <si>
    <t>IMPRESORA LÁSER, Conforme el anexo técnico</t>
  </si>
  <si>
    <t>Clic de impresión</t>
  </si>
  <si>
    <t>ESCÁNER A4,  Conforme el anexo técnico</t>
  </si>
  <si>
    <t>TABLETS, Conforme el anexo técnico</t>
  </si>
  <si>
    <t>PANTALLA INTERACTIVA, Conforme el anexo técnico</t>
  </si>
  <si>
    <t xml:space="preserve">ANÁLISIS DE PRECIOS ATÍPICOS DE ACUERDO A LA GUIA DE ANÁLISIS DEL SECTOR Y DEL MERCADO DE CCE PARA COMPRA </t>
  </si>
  <si>
    <t xml:space="preserve">ANÁLISIS COMPARATIVOS PARA ALQUILER DE EQUIPOS </t>
  </si>
  <si>
    <t xml:space="preserve">Información solicitada por la Entidad </t>
  </si>
  <si>
    <t>Ref. Art</t>
  </si>
  <si>
    <t>Precio unitario</t>
  </si>
  <si>
    <t xml:space="preserve">Valor total </t>
  </si>
  <si>
    <t xml:space="preserve">Promedio valor  unitario </t>
  </si>
  <si>
    <t xml:space="preserve">Cantidad </t>
  </si>
  <si>
    <t>Promedio valor  total</t>
  </si>
  <si>
    <t xml:space="preserve">Mediana valor  unitario </t>
  </si>
  <si>
    <t>1</t>
  </si>
  <si>
    <t>2</t>
  </si>
  <si>
    <t>3</t>
  </si>
  <si>
    <t>4</t>
  </si>
  <si>
    <t>5</t>
  </si>
  <si>
    <t>6</t>
  </si>
  <si>
    <t>7</t>
  </si>
  <si>
    <t xml:space="preserve">ANÁLISIS COMPARATIVOS PARA COMPRA DE EQUIPOS </t>
  </si>
  <si>
    <t>Total</t>
  </si>
  <si>
    <t>Mediana</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</si>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</sst>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quot;$&quot;\ #,##0.00"/>
    <numFmt numFmtId="166" formatCode="&quot;$&quot;\ #,##0.000"/>
  </numFmts>
  <fonts count="30"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Verdana"/>
      <family val="2"/>
    </font>
    <font>
      <b/>
      <sz val="10"/>
      <color theme="1"/>
      <name val="Arial"/>
      <family val="2"/>
    </font>
    <font>
      <sz val="10"/>
      <color theme="1"/>
      <name val="Verdana"/>
      <family val="2"/>
    </font>
    <font>
      <b/>
      <sz val="14"/>
      <color theme="1"/>
      <name val="Verdana"/>
      <family val="2"/>
    </font>
    <font>
      <sz val="10"/>
      <color theme="1"/>
      <name val="Arial"/>
      <family val="2"/>
    </font>
    <font>
      <sz val="7"/>
      <color theme="1"/>
      <name val="Calibri"/>
      <family val="2"/>
      <scheme val="minor"/>
    </font>
    <font>
      <b/>
      <sz val="9"/>
      <color theme="1"/>
      <name val="Calibri"/>
      <family val="2"/>
      <scheme val="minor"/>
    </font>
    <font>
      <sz val="11"/>
      <color theme="0"/>
      <name val="Calibri"/>
      <family val="2"/>
      <scheme val="minor"/>
    </font>
    <font>
      <sz val="8"/>
      <name val="Arial"/>
      <family val="2"/>
    </font>
    <font>
      <sz val="8"/>
      <color theme="1"/>
      <name val="Calibri"/>
      <family val="2"/>
      <scheme val="minor"/>
    </font>
    <font>
      <b/>
      <sz val="8"/>
      <color theme="1"/>
      <name val="Calibri"/>
      <family val="2"/>
      <scheme val="minor"/>
    </font>
    <font>
      <b/>
      <sz val="8"/>
      <color theme="0"/>
      <name val="Calibri"/>
      <family val="2"/>
      <scheme val="minor"/>
    </font>
    <font>
      <b/>
      <sz val="8"/>
      <name val="Calibri"/>
      <family val="2"/>
      <scheme val="minor"/>
    </font>
    <font>
      <sz val="8"/>
      <name val="Calibri"/>
      <family val="2"/>
      <scheme val="minor"/>
    </font>
    <font>
      <b/>
      <sz val="7"/>
      <color theme="1"/>
      <name val="Calibri"/>
      <family val="2"/>
      <scheme val="minor"/>
    </font>
    <font>
      <b/>
      <sz val="7"/>
      <color theme="0"/>
      <name val="Calibri"/>
      <family val="2"/>
      <scheme val="minor"/>
    </font>
    <font>
      <sz val="7"/>
      <name val="Calibri"/>
      <family val="2"/>
      <scheme val="minor"/>
    </font>
    <font>
      <b/>
      <u val="singleAccounting"/>
      <sz val="7"/>
      <color theme="1"/>
      <name val="Calibri"/>
      <family val="2"/>
      <scheme val="minor"/>
    </font>
    <font>
      <b/>
      <u/>
      <sz val="8"/>
      <color theme="1"/>
      <name val="Calibri"/>
      <family val="2"/>
      <scheme val="minor"/>
    </font>
    <font>
      <sz val="10"/>
      <color theme="1"/>
      <name val="Calibri"/>
      <family val="2"/>
    </font>
    <font>
      <sz val="5"/>
      <color theme="1"/>
      <name val="Calibri"/>
      <family val="2"/>
    </font>
    <font>
      <sz val="8"/>
      <color theme="0"/>
      <name val="Calibri"/>
      <family val="2"/>
      <scheme val="minor"/>
    </font>
    <font>
      <sz val="8"/>
      <color rgb="FFFF0000"/>
      <name val="Calibri"/>
      <family val="2"/>
      <scheme val="minor"/>
    </font>
    <font>
      <sz val="8"/>
      <color theme="1"/>
      <name val="Calibri"/>
      <family val="2"/>
    </font>
    <font>
      <b/>
      <sz val="9"/>
      <color theme="1"/>
      <name val="Calibri"/>
      <scheme val="minor"/>
    </font>
    <font>
      <b/>
      <sz val="11"/>
      <color rgb="FF00000A"/>
      <name val="Calibri"/>
      <family val="2"/>
    </font>
  </fonts>
  <fills count="24">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theme="0"/>
        <bgColor indexed="64"/>
      </patternFill>
    </fill>
    <fill>
      <patternFill patternType="solid">
        <fgColor rgb="FF00206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rgb="FF92D05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top style="thin">
        <color auto="1"/>
      </top>
      <bottom style="thin">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top/>
      <bottom/>
      <diagonal/>
    </border>
    <border>
      <left style="thin">
        <color theme="0" tint="-0.499984740745262"/>
      </left>
      <right style="thin">
        <color theme="0" tint="-0.499984740745262"/>
      </right>
      <top/>
      <bottom/>
      <diagonal/>
    </border>
    <border>
      <left style="medium">
        <color theme="1" tint="0.34998626667073579"/>
      </left>
      <right style="thin">
        <color theme="0" tint="-0.499984740745262"/>
      </right>
      <top style="medium">
        <color theme="1" tint="0.34998626667073579"/>
      </top>
      <bottom/>
      <diagonal/>
    </border>
    <border>
      <left style="thin">
        <color theme="0" tint="-0.499984740745262"/>
      </left>
      <right style="thin">
        <color theme="0" tint="-0.499984740745262"/>
      </right>
      <top style="medium">
        <color theme="1" tint="0.34998626667073579"/>
      </top>
      <bottom style="thin">
        <color theme="0" tint="-0.499984740745262"/>
      </bottom>
      <diagonal/>
    </border>
    <border>
      <left style="thin">
        <color theme="0" tint="-0.499984740745262"/>
      </left>
      <right style="medium">
        <color theme="1" tint="0.34998626667073579"/>
      </right>
      <top style="medium">
        <color theme="1" tint="0.34998626667073579"/>
      </top>
      <bottom/>
      <diagonal/>
    </border>
    <border>
      <left style="medium">
        <color theme="1" tint="0.34998626667073579"/>
      </left>
      <right style="thin">
        <color theme="0" tint="-0.499984740745262"/>
      </right>
      <top/>
      <bottom style="medium">
        <color theme="1" tint="0.34998626667073579"/>
      </bottom>
      <diagonal/>
    </border>
    <border>
      <left style="thin">
        <color theme="0" tint="-0.499984740745262"/>
      </left>
      <right style="thin">
        <color theme="0" tint="-0.499984740745262"/>
      </right>
      <top style="thin">
        <color theme="0" tint="-0.499984740745262"/>
      </top>
      <bottom style="medium">
        <color theme="1" tint="0.34998626667073579"/>
      </bottom>
      <diagonal/>
    </border>
    <border>
      <left style="thin">
        <color theme="0" tint="-0.499984740745262"/>
      </left>
      <right style="medium">
        <color theme="1" tint="0.34998626667073579"/>
      </right>
      <top/>
      <bottom style="medium">
        <color theme="1" tint="0.34998626667073579"/>
      </bottom>
      <diagonal/>
    </border>
    <border>
      <left style="medium">
        <color theme="1" tint="0.34998626667073579"/>
      </left>
      <right style="thin">
        <color theme="0" tint="-0.499984740745262"/>
      </right>
      <top/>
      <bottom/>
      <diagonal/>
    </border>
    <border>
      <left style="thin">
        <color theme="0" tint="-0.499984740745262"/>
      </left>
      <right style="medium">
        <color theme="1" tint="0.34998626667073579"/>
      </right>
      <top/>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double">
        <color theme="1" tint="0.34998626667073579"/>
      </left>
      <right/>
      <top/>
      <bottom/>
      <diagonal/>
    </border>
  </borders>
  <cellStyleXfs count="34">
    <xf numFmtId="0" fontId="0" fillId="0" borderId="0"/>
    <xf numFmtId="9"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xf numFmtId="41" fontId="8" fillId="0" borderId="0" applyFont="0" applyFill="0" applyBorder="0" applyAlignment="0" applyProtection="0"/>
    <xf numFmtId="0" fontId="7"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6" fillId="5" borderId="0" applyNumberFormat="0" applyBorder="0" applyProtection="0">
      <alignment horizontal="right" vertical="center" wrapText="1"/>
    </xf>
    <xf numFmtId="49" fontId="6"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4" fontId="6" fillId="0" borderId="0" applyFill="0" applyBorder="0" applyProtection="0">
      <alignment horizontal="right" vertical="center"/>
    </xf>
    <xf numFmtId="14" fontId="6" fillId="0" borderId="0" applyFill="0" applyBorder="0" applyProtection="0">
      <alignment horizontal="right" vertical="center"/>
    </xf>
    <xf numFmtId="22" fontId="6" fillId="0" borderId="0" applyFill="0" applyBorder="0" applyProtection="0">
      <alignment horizontal="right" vertical="center"/>
    </xf>
    <xf numFmtId="3" fontId="6" fillId="0" borderId="0" applyFill="0" applyBorder="0" applyProtection="0">
      <alignment horizontal="right" vertical="center"/>
    </xf>
    <xf numFmtId="4" fontId="6" fillId="0" borderId="0" applyFill="0" applyBorder="0" applyProtection="0">
      <alignment horizontal="right" vertical="center"/>
    </xf>
    <xf numFmtId="0" fontId="6" fillId="0" borderId="1" applyNumberFormat="0" applyFill="0" applyProtection="0">
      <alignment horizontal="left" vertical="center"/>
    </xf>
    <xf numFmtId="164" fontId="6" fillId="0" borderId="1" applyFill="0" applyProtection="0">
      <alignment horizontal="right" vertical="center"/>
    </xf>
    <xf numFmtId="3" fontId="6" fillId="0" borderId="1" applyFill="0" applyProtection="0">
      <alignment horizontal="right" vertical="center"/>
    </xf>
    <xf numFmtId="4" fontId="6" fillId="0" borderId="1" applyFill="0" applyProtection="0">
      <alignment horizontal="right" vertical="center"/>
    </xf>
    <xf numFmtId="0" fontId="8" fillId="0" borderId="1" applyNumberFormat="0" applyFont="0" applyFill="0" applyAlignment="0" applyProtection="0"/>
    <xf numFmtId="0" fontId="8" fillId="6" borderId="0" applyNumberFormat="0" applyFont="0" applyBorder="0" applyAlignment="0" applyProtection="0"/>
    <xf numFmtId="0" fontId="8" fillId="7" borderId="0" applyNumberFormat="0" applyFont="0" applyBorder="0" applyProtection="0">
      <alignment horizontal="right"/>
    </xf>
    <xf numFmtId="0" fontId="5" fillId="7" borderId="0" applyNumberFormat="0" applyBorder="0" applyProtection="0">
      <alignment horizontal="right"/>
    </xf>
    <xf numFmtId="0" fontId="8" fillId="8" borderId="0" applyNumberFormat="0" applyFont="0" applyBorder="0" applyProtection="0">
      <alignment horizontal="right"/>
    </xf>
    <xf numFmtId="0" fontId="8" fillId="9" borderId="0" applyNumberFormat="0" applyFont="0" applyBorder="0" applyProtection="0">
      <alignment horizontal="right"/>
    </xf>
    <xf numFmtId="44" fontId="8" fillId="0" borderId="0" applyFont="0" applyFill="0" applyBorder="0" applyAlignment="0" applyProtection="0"/>
    <xf numFmtId="0" fontId="3" fillId="0" borderId="0"/>
    <xf numFmtId="44" fontId="3" fillId="0" borderId="0" applyFont="0" applyFill="0" applyBorder="0" applyAlignment="0" applyProtection="0"/>
  </cellStyleXfs>
  <cellXfs count="128">
    <xf numFmtId="0" fontId="0" fillId="0" borderId="0" xfId="0"/>
    <xf numFmtId="0" fontId="10" fillId="12" borderId="1" xfId="9" applyFont="1" applyFill="1" applyBorder="1">
      <alignment horizontal="center" vertical="center" wrapText="1"/>
    </xf>
    <xf numFmtId="0" fontId="10" fillId="13" borderId="1" xfId="9" applyFont="1" applyFill="1" applyBorder="1">
      <alignment horizontal="center" vertical="center" wrapText="1"/>
    </xf>
    <xf numFmtId="0" fontId="2" fillId="10" borderId="0" xfId="0" applyFont="1" applyFill="1"/>
    <xf numFmtId="0" fontId="11" fillId="11" borderId="1" xfId="0" applyFont="1" applyFill="1" applyBorder="1" applyAlignment="1">
      <alignment horizontal="center" vertical="center" wrapText="1"/>
    </xf>
    <xf numFmtId="165" fontId="9" fillId="0" borderId="1" xfId="31" applyNumberFormat="1" applyFont="1" applyFill="1" applyBorder="1" applyAlignment="1">
      <alignment vertical="center"/>
    </xf>
    <xf numFmtId="0" fontId="13" fillId="10" borderId="0" xfId="32" applyFont="1" applyFill="1" applyAlignment="1">
      <alignment wrapText="1"/>
    </xf>
    <xf numFmtId="44" fontId="13" fillId="10" borderId="0" xfId="32" applyNumberFormat="1" applyFont="1" applyFill="1" applyAlignment="1">
      <alignment wrapText="1"/>
    </xf>
    <xf numFmtId="0" fontId="15" fillId="11" borderId="1" xfId="7" applyFont="1" applyFill="1" applyBorder="1" applyAlignment="1">
      <alignment horizontal="center" vertical="center" wrapText="1"/>
    </xf>
    <xf numFmtId="0" fontId="14" fillId="14" borderId="1" xfId="32" applyFont="1" applyFill="1" applyBorder="1" applyAlignment="1">
      <alignment horizontal="center" vertical="center" wrapText="1"/>
    </xf>
    <xf numFmtId="44" fontId="14" fillId="0" borderId="0" xfId="32" applyNumberFormat="1" applyFont="1" applyAlignment="1">
      <alignment horizontal="center" wrapText="1"/>
    </xf>
    <xf numFmtId="0" fontId="16" fillId="15" borderId="1" xfId="32" applyFont="1" applyFill="1" applyBorder="1" applyAlignment="1">
      <alignment horizontal="center" vertical="center" wrapText="1"/>
    </xf>
    <xf numFmtId="0" fontId="16" fillId="16" borderId="1" xfId="32" applyFont="1" applyFill="1" applyBorder="1" applyAlignment="1">
      <alignment horizontal="center" vertical="center" wrapText="1"/>
    </xf>
    <xf numFmtId="0" fontId="16" fillId="17" borderId="1" xfId="32" applyFont="1" applyFill="1" applyBorder="1" applyAlignment="1">
      <alignment horizontal="center" vertical="center" wrapText="1"/>
    </xf>
    <xf numFmtId="0" fontId="16" fillId="18" borderId="1" xfId="32" applyFont="1" applyFill="1" applyBorder="1" applyAlignment="1">
      <alignment horizontal="center" vertical="center" wrapText="1"/>
    </xf>
    <xf numFmtId="0" fontId="16" fillId="19" borderId="1" xfId="32" applyFont="1" applyFill="1" applyBorder="1" applyAlignment="1">
      <alignment horizontal="center" vertical="center" wrapText="1"/>
    </xf>
    <xf numFmtId="0" fontId="13" fillId="10" borderId="1" xfId="0" applyFont="1" applyFill="1" applyBorder="1" applyAlignment="1">
      <alignment vertical="center" wrapText="1"/>
    </xf>
    <xf numFmtId="165" fontId="13" fillId="0" borderId="1" xfId="31" applyNumberFormat="1" applyFont="1" applyFill="1" applyBorder="1" applyAlignment="1">
      <alignment vertical="center"/>
    </xf>
    <xf numFmtId="165" fontId="13" fillId="0" borderId="0" xfId="32" applyNumberFormat="1" applyFont="1" applyAlignment="1">
      <alignment horizontal="center" vertical="center" wrapText="1"/>
    </xf>
    <xf numFmtId="44" fontId="13" fillId="0" borderId="0" xfId="32" applyNumberFormat="1" applyFont="1" applyAlignment="1">
      <alignment horizontal="center" vertical="center" wrapText="1"/>
    </xf>
    <xf numFmtId="8" fontId="13" fillId="15" borderId="1" xfId="32" applyNumberFormat="1" applyFont="1" applyFill="1" applyBorder="1" applyAlignment="1">
      <alignment horizontal="center" vertical="center" wrapText="1"/>
    </xf>
    <xf numFmtId="8" fontId="13" fillId="16" borderId="1" xfId="32" applyNumberFormat="1" applyFont="1" applyFill="1" applyBorder="1" applyAlignment="1">
      <alignment horizontal="center" vertical="center" wrapText="1"/>
    </xf>
    <xf numFmtId="8" fontId="13" fillId="17" borderId="1" xfId="32" applyNumberFormat="1" applyFont="1" applyFill="1" applyBorder="1" applyAlignment="1">
      <alignment horizontal="center" vertical="center" wrapText="1"/>
    </xf>
    <xf numFmtId="8" fontId="13" fillId="18" borderId="1" xfId="32" applyNumberFormat="1" applyFont="1" applyFill="1" applyBorder="1" applyAlignment="1">
      <alignment horizontal="center" vertical="center" wrapText="1"/>
    </xf>
    <xf numFmtId="44" fontId="13" fillId="19" borderId="1" xfId="32" applyNumberFormat="1" applyFont="1" applyFill="1" applyBorder="1" applyAlignment="1">
      <alignment horizontal="center" vertical="center" wrapText="1"/>
    </xf>
    <xf numFmtId="8" fontId="13" fillId="19" borderId="1" xfId="32" applyNumberFormat="1" applyFont="1" applyFill="1" applyBorder="1" applyAlignment="1">
      <alignment horizontal="center" vertical="center" wrapText="1"/>
    </xf>
    <xf numFmtId="165" fontId="14" fillId="10" borderId="0" xfId="33" applyNumberFormat="1" applyFont="1" applyFill="1" applyAlignment="1">
      <alignment wrapText="1"/>
    </xf>
    <xf numFmtId="44" fontId="14" fillId="10" borderId="0" xfId="33" applyFont="1" applyFill="1" applyAlignment="1">
      <alignment wrapText="1"/>
    </xf>
    <xf numFmtId="0" fontId="9" fillId="10" borderId="0" xfId="0" applyFont="1" applyFill="1"/>
    <xf numFmtId="0" fontId="9" fillId="10" borderId="0" xfId="0" applyFont="1" applyFill="1" applyAlignment="1">
      <alignment horizontal="center" vertical="center" wrapText="1"/>
    </xf>
    <xf numFmtId="0" fontId="19" fillId="11" borderId="1" xfId="7" applyFont="1" applyFill="1" applyBorder="1" applyAlignment="1">
      <alignment horizontal="center" vertical="center" wrapText="1"/>
    </xf>
    <xf numFmtId="165" fontId="19" fillId="11" borderId="3" xfId="7" applyNumberFormat="1" applyFont="1" applyFill="1" applyBorder="1" applyAlignment="1">
      <alignment horizontal="center" vertical="center" wrapText="1"/>
    </xf>
    <xf numFmtId="165" fontId="19" fillId="11" borderId="1" xfId="7" applyNumberFormat="1" applyFont="1" applyFill="1" applyBorder="1" applyAlignment="1">
      <alignment horizontal="center" vertical="center" wrapText="1"/>
    </xf>
    <xf numFmtId="49" fontId="9" fillId="10" borderId="1" xfId="13" applyFont="1" applyFill="1" applyBorder="1" applyAlignment="1">
      <alignment horizontal="center" vertical="center"/>
    </xf>
    <xf numFmtId="165" fontId="9" fillId="10" borderId="1" xfId="0" applyNumberFormat="1" applyFont="1" applyFill="1" applyBorder="1" applyAlignment="1">
      <alignment vertical="center"/>
    </xf>
    <xf numFmtId="165" fontId="20" fillId="10" borderId="1" xfId="0" applyNumberFormat="1" applyFont="1" applyFill="1" applyBorder="1" applyAlignment="1">
      <alignment vertical="center"/>
    </xf>
    <xf numFmtId="44" fontId="9" fillId="10" borderId="0" xfId="0" applyNumberFormat="1" applyFont="1" applyFill="1"/>
    <xf numFmtId="0" fontId="9" fillId="10" borderId="0" xfId="0" applyFont="1" applyFill="1" applyAlignment="1">
      <alignment vertical="center"/>
    </xf>
    <xf numFmtId="0" fontId="9" fillId="10" borderId="0" xfId="0" applyFont="1" applyFill="1" applyAlignment="1">
      <alignment horizontal="center" vertical="center"/>
    </xf>
    <xf numFmtId="165" fontId="9" fillId="10" borderId="0" xfId="0" applyNumberFormat="1" applyFont="1" applyFill="1" applyAlignment="1">
      <alignment vertical="center"/>
    </xf>
    <xf numFmtId="165" fontId="21" fillId="10" borderId="1" xfId="0" applyNumberFormat="1" applyFont="1" applyFill="1" applyBorder="1" applyAlignment="1">
      <alignment vertical="center"/>
    </xf>
    <xf numFmtId="165" fontId="9" fillId="10" borderId="0" xfId="0" applyNumberFormat="1" applyFont="1" applyFill="1"/>
    <xf numFmtId="0" fontId="2" fillId="10" borderId="0" xfId="0" applyFont="1" applyFill="1" applyAlignment="1">
      <alignment vertical="center" wrapText="1"/>
    </xf>
    <xf numFmtId="0" fontId="10" fillId="20" borderId="1" xfId="9" applyFont="1" applyFill="1" applyBorder="1">
      <alignment horizontal="center" vertical="center" wrapText="1"/>
    </xf>
    <xf numFmtId="165" fontId="13" fillId="14" borderId="1" xfId="32" applyNumberFormat="1" applyFont="1" applyFill="1" applyBorder="1" applyAlignment="1">
      <alignment horizontal="right" vertical="center" wrapText="1"/>
    </xf>
    <xf numFmtId="165" fontId="13" fillId="18" borderId="1" xfId="32" applyNumberFormat="1" applyFont="1" applyFill="1" applyBorder="1" applyAlignment="1">
      <alignment horizontal="center" vertical="center" wrapText="1"/>
    </xf>
    <xf numFmtId="0" fontId="17" fillId="22" borderId="1" xfId="32" applyFont="1" applyFill="1" applyBorder="1" applyAlignment="1">
      <alignment horizontal="center" vertical="center" wrapText="1"/>
    </xf>
    <xf numFmtId="0" fontId="1" fillId="10" borderId="1" xfId="0" applyFont="1" applyFill="1" applyBorder="1" applyAlignment="1">
      <alignment horizontal="center" vertical="center"/>
    </xf>
    <xf numFmtId="0" fontId="13" fillId="10" borderId="1" xfId="0" applyFont="1" applyFill="1" applyBorder="1" applyAlignment="1">
      <alignment horizontal="center" vertical="center" wrapText="1"/>
    </xf>
    <xf numFmtId="0" fontId="13" fillId="10" borderId="0" xfId="32" applyFont="1" applyFill="1" applyAlignment="1">
      <alignment horizontal="center" vertical="center" wrapText="1"/>
    </xf>
    <xf numFmtId="0" fontId="14" fillId="10" borderId="1" xfId="32" applyFont="1" applyFill="1" applyBorder="1" applyAlignment="1">
      <alignment horizontal="center" vertical="center" wrapText="1"/>
    </xf>
    <xf numFmtId="165" fontId="13" fillId="10" borderId="0" xfId="32" applyNumberFormat="1" applyFont="1" applyFill="1" applyAlignment="1">
      <alignment wrapText="1"/>
    </xf>
    <xf numFmtId="165" fontId="22" fillId="10" borderId="1" xfId="32" applyNumberFormat="1" applyFont="1" applyFill="1" applyBorder="1" applyAlignment="1">
      <alignment wrapText="1"/>
    </xf>
    <xf numFmtId="165" fontId="13" fillId="10" borderId="0" xfId="32" applyNumberFormat="1" applyFont="1" applyFill="1" applyAlignment="1">
      <alignment horizontal="right" wrapText="1"/>
    </xf>
    <xf numFmtId="165" fontId="14" fillId="14" borderId="1" xfId="32" applyNumberFormat="1" applyFont="1" applyFill="1" applyBorder="1" applyAlignment="1">
      <alignment horizontal="right" vertical="center" wrapText="1"/>
    </xf>
    <xf numFmtId="165" fontId="10" fillId="23" borderId="1" xfId="9" applyNumberFormat="1" applyFont="1" applyFill="1" applyBorder="1">
      <alignment horizontal="center" vertical="center" wrapText="1"/>
    </xf>
    <xf numFmtId="0" fontId="24" fillId="9" borderId="7" xfId="0" applyFont="1" applyFill="1" applyBorder="1" applyAlignment="1">
      <alignment horizontal="center" vertical="center" wrapText="1"/>
    </xf>
    <xf numFmtId="0" fontId="23" fillId="9" borderId="7" xfId="0" applyFont="1" applyFill="1" applyBorder="1" applyAlignment="1">
      <alignment horizontal="center" vertical="center" wrapText="1"/>
    </xf>
    <xf numFmtId="44" fontId="23" fillId="9" borderId="7" xfId="31" applyFont="1" applyFill="1" applyBorder="1" applyAlignment="1">
      <alignment horizontal="center" vertical="center" wrapText="1"/>
    </xf>
    <xf numFmtId="0" fontId="13" fillId="10" borderId="0" xfId="0" applyFont="1" applyFill="1"/>
    <xf numFmtId="0" fontId="13" fillId="10" borderId="7" xfId="0" applyFont="1" applyFill="1" applyBorder="1" applyAlignment="1">
      <alignment horizontal="center" vertical="center"/>
    </xf>
    <xf numFmtId="0" fontId="13" fillId="9" borderId="7" xfId="0" applyFont="1" applyFill="1" applyBorder="1" applyAlignment="1">
      <alignment horizontal="center" vertical="center" wrapText="1"/>
    </xf>
    <xf numFmtId="0" fontId="26" fillId="9" borderId="7" xfId="0" applyFont="1" applyFill="1" applyBorder="1" applyAlignment="1">
      <alignment horizontal="center" vertical="center" wrapText="1"/>
    </xf>
    <xf numFmtId="0" fontId="25" fillId="11" borderId="8" xfId="0" applyFont="1" applyFill="1" applyBorder="1" applyAlignment="1">
      <alignment horizontal="center" vertical="center" wrapText="1"/>
    </xf>
    <xf numFmtId="165" fontId="25" fillId="11" borderId="8" xfId="0" applyNumberFormat="1" applyFont="1" applyFill="1" applyBorder="1" applyAlignment="1">
      <alignment horizontal="center" vertical="center" wrapText="1"/>
    </xf>
    <xf numFmtId="165" fontId="13" fillId="10" borderId="0" xfId="0" applyNumberFormat="1" applyFont="1" applyFill="1"/>
    <xf numFmtId="165" fontId="13" fillId="9" borderId="7" xfId="31" applyNumberFormat="1" applyFont="1" applyFill="1" applyBorder="1" applyAlignment="1">
      <alignment horizontal="right" vertical="center" wrapText="1"/>
    </xf>
    <xf numFmtId="0" fontId="25" fillId="11" borderId="10" xfId="0" applyFont="1" applyFill="1" applyBorder="1" applyAlignment="1">
      <alignment horizontal="center" vertical="center" wrapText="1"/>
    </xf>
    <xf numFmtId="165" fontId="25" fillId="11" borderId="10" xfId="0" applyNumberFormat="1" applyFont="1" applyFill="1" applyBorder="1" applyAlignment="1">
      <alignment horizontal="center" vertical="center" wrapText="1"/>
    </xf>
    <xf numFmtId="0" fontId="13" fillId="9" borderId="12" xfId="0" applyFont="1" applyFill="1" applyBorder="1" applyAlignment="1">
      <alignment horizontal="center" vertical="center" wrapText="1"/>
    </xf>
    <xf numFmtId="165" fontId="13" fillId="9" borderId="12" xfId="31" applyNumberFormat="1" applyFont="1" applyFill="1" applyBorder="1" applyAlignment="1">
      <alignment horizontal="right" vertical="center" wrapText="1"/>
    </xf>
    <xf numFmtId="0" fontId="13" fillId="9" borderId="15" xfId="0" applyFont="1" applyFill="1" applyBorder="1" applyAlignment="1">
      <alignment horizontal="center" vertical="center" wrapText="1"/>
    </xf>
    <xf numFmtId="165" fontId="13" fillId="9" borderId="15" xfId="31" applyNumberFormat="1" applyFont="1" applyFill="1" applyBorder="1" applyAlignment="1">
      <alignment horizontal="right" vertical="center" wrapText="1"/>
    </xf>
    <xf numFmtId="0" fontId="13" fillId="10" borderId="27" xfId="0" applyFont="1" applyFill="1" applyBorder="1"/>
    <xf numFmtId="0" fontId="27" fillId="10" borderId="7" xfId="0" applyFont="1" applyFill="1" applyBorder="1" applyAlignment="1">
      <alignment horizontal="center" vertical="center"/>
    </xf>
    <xf numFmtId="0" fontId="27" fillId="10" borderId="7" xfId="0" applyFont="1" applyFill="1" applyBorder="1" applyAlignment="1">
      <alignment vertical="center" wrapText="1"/>
    </xf>
    <xf numFmtId="0" fontId="27" fillId="10" borderId="7" xfId="0" applyFont="1" applyFill="1" applyBorder="1" applyAlignment="1">
      <alignment horizontal="center" vertical="center" wrapText="1"/>
    </xf>
    <xf numFmtId="44" fontId="27" fillId="10" borderId="7" xfId="31" applyFont="1" applyFill="1" applyBorder="1" applyAlignment="1">
      <alignment horizontal="center" vertical="center" wrapText="1"/>
    </xf>
    <xf numFmtId="0" fontId="27" fillId="9" borderId="7" xfId="0" applyFont="1" applyFill="1" applyBorder="1" applyAlignment="1">
      <alignment horizontal="center" vertical="center" wrapText="1"/>
    </xf>
    <xf numFmtId="165" fontId="18" fillId="10" borderId="2" xfId="0" applyNumberFormat="1" applyFont="1" applyFill="1" applyBorder="1" applyAlignment="1">
      <alignment horizontal="right" vertical="center"/>
    </xf>
    <xf numFmtId="165" fontId="18" fillId="10" borderId="3" xfId="0" applyNumberFormat="1" applyFont="1" applyFill="1" applyBorder="1" applyAlignment="1">
      <alignment horizontal="right" vertical="center"/>
    </xf>
    <xf numFmtId="0" fontId="28" fillId="20" borderId="1" xfId="9" applyFont="1" applyFill="1" applyBorder="1">
      <alignment horizontal="center" vertical="center" wrapText="1"/>
    </xf>
    <xf numFmtId="0" fontId="28" fillId="12" borderId="1" xfId="9" applyFont="1" applyFill="1" applyBorder="1">
      <alignment horizontal="center" vertical="center" wrapText="1"/>
    </xf>
    <xf numFmtId="0" fontId="1" fillId="21" borderId="1" xfId="0" applyFont="1" applyFill="1" applyBorder="1" applyAlignment="1">
      <alignment vertical="center" wrapText="1"/>
    </xf>
    <xf numFmtId="0" fontId="1" fillId="21" borderId="1" xfId="0" applyFont="1" applyFill="1" applyBorder="1" applyAlignment="1">
      <alignment wrapText="1"/>
    </xf>
    <xf numFmtId="0" fontId="1" fillId="10" borderId="1" xfId="0" applyFont="1" applyFill="1" applyBorder="1" applyAlignment="1">
      <alignment vertical="center" wrapText="1"/>
    </xf>
    <xf numFmtId="0" fontId="1" fillId="21" borderId="1" xfId="0" applyFont="1" applyFill="1" applyBorder="1" applyAlignment="1">
      <alignment horizontal="center" vertical="center" wrapText="1"/>
    </xf>
    <xf numFmtId="166" fontId="13" fillId="0" borderId="1" xfId="31" applyNumberFormat="1" applyFont="1" applyFill="1" applyBorder="1" applyAlignment="1">
      <alignment vertical="center"/>
    </xf>
    <xf numFmtId="8" fontId="29" fillId="0" borderId="0" xfId="0" applyNumberFormat="1" applyFont="1"/>
    <xf numFmtId="44" fontId="9" fillId="10" borderId="0" xfId="31" applyFont="1" applyFill="1"/>
    <xf numFmtId="1" fontId="9" fillId="10" borderId="0" xfId="0" applyNumberFormat="1" applyFont="1" applyFill="1"/>
    <xf numFmtId="44" fontId="9" fillId="10" borderId="0" xfId="0" applyNumberFormat="1" applyFont="1" applyFill="1" applyAlignment="1">
      <alignment horizontal="center" vertical="center" wrapText="1"/>
    </xf>
    <xf numFmtId="165" fontId="19" fillId="11" borderId="4" xfId="7" applyNumberFormat="1" applyFont="1" applyFill="1" applyBorder="1" applyAlignment="1">
      <alignment horizontal="center" vertical="center" wrapText="1"/>
    </xf>
    <xf numFmtId="165" fontId="19" fillId="11" borderId="5" xfId="7" applyNumberFormat="1" applyFont="1" applyFill="1" applyBorder="1" applyAlignment="1">
      <alignment horizontal="center" vertical="center" wrapText="1"/>
    </xf>
    <xf numFmtId="0" fontId="14" fillId="10" borderId="0" xfId="32" applyFont="1" applyFill="1" applyAlignment="1">
      <alignment horizontal="center"/>
    </xf>
    <xf numFmtId="0" fontId="9" fillId="10" borderId="2" xfId="0" applyFont="1" applyFill="1" applyBorder="1" applyAlignment="1">
      <alignment horizontal="center" vertical="center" wrapText="1"/>
    </xf>
    <xf numFmtId="0" fontId="9" fillId="10" borderId="6" xfId="0" applyFont="1" applyFill="1" applyBorder="1" applyAlignment="1">
      <alignment horizontal="center" vertical="center" wrapText="1"/>
    </xf>
    <xf numFmtId="0" fontId="9" fillId="10" borderId="3" xfId="0" applyFont="1" applyFill="1" applyBorder="1" applyAlignment="1">
      <alignment horizontal="center" vertical="center" wrapText="1"/>
    </xf>
    <xf numFmtId="0" fontId="10" fillId="12" borderId="2" xfId="9" applyFont="1" applyFill="1" applyBorder="1">
      <alignment horizontal="center" vertical="center" wrapText="1"/>
    </xf>
    <xf numFmtId="0" fontId="10" fillId="12" borderId="3" xfId="9" applyFont="1" applyFill="1" applyBorder="1">
      <alignment horizontal="center" vertical="center" wrapText="1"/>
    </xf>
    <xf numFmtId="0" fontId="10" fillId="20" borderId="2" xfId="9" applyFont="1" applyFill="1" applyBorder="1">
      <alignment horizontal="center" vertical="center" wrapText="1"/>
    </xf>
    <xf numFmtId="0" fontId="10" fillId="20" borderId="3" xfId="9" applyFont="1" applyFill="1" applyBorder="1">
      <alignment horizontal="center" vertical="center" wrapText="1"/>
    </xf>
    <xf numFmtId="0" fontId="10" fillId="13" borderId="2" xfId="9" applyFont="1" applyFill="1" applyBorder="1">
      <alignment horizontal="center" vertical="center" wrapText="1"/>
    </xf>
    <xf numFmtId="0" fontId="10" fillId="13" borderId="3" xfId="9" applyFont="1" applyFill="1" applyBorder="1">
      <alignment horizontal="center" vertical="center" wrapText="1"/>
    </xf>
    <xf numFmtId="165" fontId="18" fillId="10" borderId="2" xfId="0" applyNumberFormat="1" applyFont="1" applyFill="1" applyBorder="1" applyAlignment="1">
      <alignment horizontal="right" vertical="center"/>
    </xf>
    <xf numFmtId="165" fontId="18" fillId="10" borderId="3" xfId="0" applyNumberFormat="1" applyFont="1" applyFill="1" applyBorder="1" applyAlignment="1">
      <alignment horizontal="right" vertical="center"/>
    </xf>
    <xf numFmtId="165" fontId="10" fillId="23" borderId="2" xfId="9" applyNumberFormat="1" applyFont="1" applyFill="1" applyBorder="1">
      <alignment horizontal="center" vertical="center" wrapText="1"/>
    </xf>
    <xf numFmtId="165" fontId="10" fillId="23" borderId="3" xfId="9" applyNumberFormat="1" applyFont="1" applyFill="1" applyBorder="1">
      <alignment horizontal="center" vertical="center" wrapText="1"/>
    </xf>
    <xf numFmtId="165" fontId="13" fillId="9" borderId="13" xfId="31" applyNumberFormat="1" applyFont="1" applyFill="1" applyBorder="1" applyAlignment="1">
      <alignment horizontal="center" vertical="center" wrapText="1"/>
    </xf>
    <xf numFmtId="165" fontId="13" fillId="9" borderId="16" xfId="31" applyNumberFormat="1" applyFont="1" applyFill="1" applyBorder="1" applyAlignment="1">
      <alignment horizontal="center" vertical="center" wrapText="1"/>
    </xf>
    <xf numFmtId="165" fontId="13" fillId="9" borderId="18" xfId="31" applyNumberFormat="1" applyFont="1" applyFill="1" applyBorder="1" applyAlignment="1">
      <alignment horizontal="center" vertical="center" wrapText="1"/>
    </xf>
    <xf numFmtId="0" fontId="22" fillId="10" borderId="9" xfId="0" applyFont="1" applyFill="1" applyBorder="1" applyAlignment="1">
      <alignment horizontal="center" vertical="center"/>
    </xf>
    <xf numFmtId="0" fontId="22" fillId="10" borderId="0" xfId="0" applyFont="1" applyFill="1" applyAlignment="1">
      <alignment horizontal="center" vertical="center"/>
    </xf>
    <xf numFmtId="0" fontId="22" fillId="10" borderId="19" xfId="0" applyFont="1" applyFill="1" applyBorder="1" applyAlignment="1">
      <alignment horizontal="center" vertical="center"/>
    </xf>
    <xf numFmtId="0" fontId="22" fillId="10" borderId="20" xfId="0" applyFont="1" applyFill="1" applyBorder="1" applyAlignment="1">
      <alignment horizontal="center" vertical="center"/>
    </xf>
    <xf numFmtId="0" fontId="22" fillId="10" borderId="21" xfId="0" applyFont="1" applyFill="1" applyBorder="1" applyAlignment="1">
      <alignment horizontal="center" vertical="center"/>
    </xf>
    <xf numFmtId="0" fontId="22" fillId="10" borderId="24" xfId="0" applyFont="1" applyFill="1" applyBorder="1" applyAlignment="1">
      <alignment horizontal="center" vertical="center"/>
    </xf>
    <xf numFmtId="0" fontId="22" fillId="10" borderId="25" xfId="0" applyFont="1" applyFill="1" applyBorder="1" applyAlignment="1">
      <alignment horizontal="center" vertical="center"/>
    </xf>
    <xf numFmtId="0" fontId="22" fillId="10" borderId="26" xfId="0" applyFont="1" applyFill="1" applyBorder="1" applyAlignment="1">
      <alignment horizontal="center" vertical="center"/>
    </xf>
    <xf numFmtId="0" fontId="13" fillId="10" borderId="11" xfId="0" applyFont="1" applyFill="1" applyBorder="1" applyAlignment="1">
      <alignment horizontal="center" vertical="center"/>
    </xf>
    <xf numFmtId="0" fontId="13" fillId="10" borderId="14" xfId="0" applyFont="1" applyFill="1" applyBorder="1" applyAlignment="1">
      <alignment horizontal="center" vertical="center"/>
    </xf>
    <xf numFmtId="0" fontId="13" fillId="10" borderId="17" xfId="0" applyFont="1" applyFill="1" applyBorder="1" applyAlignment="1">
      <alignment horizontal="center" vertical="center"/>
    </xf>
    <xf numFmtId="0" fontId="22" fillId="10" borderId="22" xfId="0" applyFont="1" applyFill="1" applyBorder="1" applyAlignment="1">
      <alignment horizontal="center" wrapText="1"/>
    </xf>
    <xf numFmtId="0" fontId="22" fillId="10" borderId="0" xfId="0" applyFont="1" applyFill="1" applyAlignment="1">
      <alignment horizontal="center" wrapText="1"/>
    </xf>
    <xf numFmtId="0" fontId="22" fillId="10" borderId="23" xfId="0" applyFont="1" applyFill="1" applyBorder="1" applyAlignment="1">
      <alignment horizontal="center" wrapText="1"/>
    </xf>
    <xf numFmtId="0" fontId="22" fillId="10" borderId="24" xfId="0" applyFont="1" applyFill="1" applyBorder="1" applyAlignment="1">
      <alignment horizontal="center" wrapText="1"/>
    </xf>
    <xf numFmtId="0" fontId="22" fillId="10" borderId="25" xfId="0" applyFont="1" applyFill="1" applyBorder="1" applyAlignment="1">
      <alignment horizontal="center" wrapText="1"/>
    </xf>
    <xf numFmtId="0" fontId="22" fillId="10" borderId="26" xfId="0" applyFont="1" applyFill="1" applyBorder="1" applyAlignment="1">
      <alignment horizontal="center" wrapText="1"/>
    </xf>
  </cellXfs>
  <cellStyles count="34">
    <cellStyle name="AnalysisIndexDark" xfId="27" xr:uid="{00000000-0005-0000-0000-00001B000000}"/>
    <cellStyle name="AnalysisIndexDarkBold" xfId="28" xr:uid="{00000000-0005-0000-0000-00001C000000}"/>
    <cellStyle name="AnalysisIndexLight" xfId="29" xr:uid="{00000000-0005-0000-0000-00001D000000}"/>
    <cellStyle name="AnalysisIndexWhite" xfId="30" xr:uid="{00000000-0005-0000-0000-00001E000000}"/>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IsSelectedStyle" xfId="26" xr:uid="{00000000-0005-0000-0000-00001A000000}"/>
    <cellStyle name="MainTitle" xfId="6" xr:uid="{00000000-0005-0000-0000-000006000000}"/>
    <cellStyle name="Moneda" xfId="31" builtinId="4"/>
    <cellStyle name="Moneda 2" xfId="33" xr:uid="{7464A01F-7FF5-424F-BB71-77D911B0568A}"/>
    <cellStyle name="Normal" xfId="0" builtinId="0"/>
    <cellStyle name="Normal 2" xfId="32" xr:uid="{12CFC100-AF23-464E-8511-9566CC82B624}"/>
    <cellStyle name="Numeric" xfId="19" xr:uid="{00000000-0005-0000-0000-000013000000}"/>
    <cellStyle name="NumericWithBorder" xfId="23" xr:uid="{00000000-0005-0000-0000-000017000000}"/>
    <cellStyle name="Percent" xfId="1" xr:uid="{00000000-0005-0000-0000-000001000000}"/>
  </cellStyles>
  <dxfs count="54">
    <dxf>
      <font>
        <color auto="1"/>
      </font>
      <fill>
        <patternFill>
          <bgColor theme="0" tint="-0.24994659260841701"/>
        </patternFill>
      </fill>
    </dxf>
    <dxf>
      <font>
        <color rgb="FFFFFF00"/>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
      <font>
        <color rgb="FFFFFF00"/>
      </font>
      <fill>
        <patternFill>
          <bgColor theme="0" tint="-0.24994659260841701"/>
        </patternFill>
      </fill>
    </dxf>
    <dxf>
      <font>
        <color auto="1"/>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2">
    <wetp:webextensionref xmlns:r="http://schemas.openxmlformats.org/officeDocument/2006/relationships" r:id="rId1"/>
  </wetp:taskpane>
  <wetp:taskpane dockstate="right" visibility="0" width="438" row="3">
    <wetp:webextensionref xmlns:r="http://schemas.openxmlformats.org/officeDocument/2006/relationships" r:id="rId2"/>
  </wetp:taskpane>
</wetp:taskpanes>
</file>

<file path=xl/webextensions/webextension1.xml><?xml version="1.0" encoding="utf-8"?>
<we:webextension xmlns:we="http://schemas.microsoft.com/office/webextensions/webextension/2010/11" id="{3814D606-BFC0-4A47-8A45-C50375467276}">
  <we:reference id="wa200005271" version="2.5.5.0" store="es-ES" storeType="OMEX"/>
  <we:alternateReferences>
    <we:reference id="WA200005271" version="2.5.5.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ebextensions/webextension2.xml><?xml version="1.0" encoding="utf-8"?>
<we:webextension xmlns:we="http://schemas.microsoft.com/office/webextensions/webextension/2010/11" id="{881D6E86-C1AF-4DB8-813B-DCAE8AEC6F11}">
  <we:reference id="wa200007447" version="1.0.0.0" store="es-ES" storeType="OMEX"/>
  <we:alternateReferences>
    <we:reference id="WA200007447" version="1.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_xldudf_BOARDFLARE_RUNPY</we:customFunctionIds>
        <we:customFunctionIds>_xldudf_BOARDFLARE_EXEC</we:customFunctionIds>
      </we:customFunctionIdList>
    </a:ext>
  </we:extLst>
</we:webextension>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CB6AE-5F6E-44AB-B373-9DFC4291C11C}">
  <dimension ref="A2:D13"/>
  <sheetViews>
    <sheetView zoomScale="70" zoomScaleNormal="70" workbookViewId="0">
      <selection activeCell="C14" sqref="C14"/>
    </sheetView>
  </sheetViews>
  <sheetFormatPr baseColWidth="10" defaultColWidth="10.85546875" defaultRowHeight="15" x14ac:dyDescent="0.25"/>
  <cols>
    <col min="1" max="1" width="104.85546875" style="42" customWidth="1"/>
    <col min="2" max="2" width="18.28515625" style="3" customWidth="1"/>
    <col min="3" max="3" width="23.140625" style="3" customWidth="1"/>
    <col min="4" max="4" width="18.28515625" style="3" customWidth="1"/>
    <col min="5" max="16384" width="10.85546875" style="3"/>
  </cols>
  <sheetData>
    <row r="2" spans="1:4" ht="39.950000000000003" customHeight="1" x14ac:dyDescent="0.25">
      <c r="A2" s="4" t="s">
        <v>0</v>
      </c>
      <c r="B2" s="1" t="s">
        <v>1</v>
      </c>
      <c r="C2" s="43" t="s">
        <v>2</v>
      </c>
      <c r="D2" s="2" t="s">
        <v>3</v>
      </c>
    </row>
    <row r="3" spans="1:4" ht="22.5" customHeight="1" x14ac:dyDescent="0.25">
      <c r="A3" s="83" t="s">
        <v>4</v>
      </c>
      <c r="B3" s="84"/>
      <c r="C3" s="84"/>
      <c r="D3" s="84"/>
    </row>
    <row r="4" spans="1:4" ht="62.25" customHeight="1" x14ac:dyDescent="0.25">
      <c r="A4" s="85" t="s">
        <v>5</v>
      </c>
      <c r="B4" s="47" t="s">
        <v>6</v>
      </c>
      <c r="C4" s="47" t="s">
        <v>6</v>
      </c>
      <c r="D4" s="47"/>
    </row>
    <row r="5" spans="1:4" ht="62.25" customHeight="1" x14ac:dyDescent="0.25">
      <c r="A5" s="85" t="s">
        <v>7</v>
      </c>
      <c r="B5" s="47" t="s">
        <v>6</v>
      </c>
      <c r="C5" s="47" t="s">
        <v>8</v>
      </c>
      <c r="D5" s="47"/>
    </row>
    <row r="6" spans="1:4" ht="62.25" customHeight="1" x14ac:dyDescent="0.25">
      <c r="A6" s="85" t="s">
        <v>9</v>
      </c>
      <c r="B6" s="47"/>
      <c r="C6" s="47"/>
      <c r="D6" s="47"/>
    </row>
    <row r="7" spans="1:4" ht="62.25" customHeight="1" x14ac:dyDescent="0.25">
      <c r="A7" s="85" t="s">
        <v>10</v>
      </c>
      <c r="B7" s="47"/>
      <c r="C7" s="47"/>
      <c r="D7" s="47"/>
    </row>
    <row r="8" spans="1:4" ht="53.25" customHeight="1" x14ac:dyDescent="0.25">
      <c r="A8" s="83" t="s">
        <v>11</v>
      </c>
      <c r="B8" s="86"/>
      <c r="C8" s="86"/>
      <c r="D8" s="86"/>
    </row>
    <row r="9" spans="1:4" ht="27" customHeight="1" x14ac:dyDescent="0.25">
      <c r="A9" s="85" t="s">
        <v>12</v>
      </c>
      <c r="B9" s="47" t="s">
        <v>6</v>
      </c>
      <c r="C9" s="47" t="s">
        <v>6</v>
      </c>
      <c r="D9" s="47"/>
    </row>
    <row r="10" spans="1:4" ht="27" customHeight="1" x14ac:dyDescent="0.25">
      <c r="A10" s="85" t="s">
        <v>13</v>
      </c>
      <c r="B10" s="47" t="s">
        <v>6</v>
      </c>
      <c r="C10" s="47" t="s">
        <v>6</v>
      </c>
      <c r="D10" s="47"/>
    </row>
    <row r="11" spans="1:4" ht="27" customHeight="1" x14ac:dyDescent="0.25">
      <c r="A11" s="85" t="s">
        <v>14</v>
      </c>
      <c r="B11" s="47" t="s">
        <v>6</v>
      </c>
      <c r="C11" s="47" t="s">
        <v>6</v>
      </c>
      <c r="D11" s="47"/>
    </row>
    <row r="12" spans="1:4" ht="60.75" customHeight="1" x14ac:dyDescent="0.25">
      <c r="A12" s="85" t="s">
        <v>15</v>
      </c>
      <c r="B12" s="47" t="s">
        <v>8</v>
      </c>
      <c r="C12" s="47" t="s">
        <v>8</v>
      </c>
      <c r="D12" s="47"/>
    </row>
    <row r="13" spans="1:4" ht="60.75" customHeight="1" x14ac:dyDescent="0.25">
      <c r="A13" s="85" t="s">
        <v>16</v>
      </c>
      <c r="B13" s="47" t="s">
        <v>17</v>
      </c>
      <c r="C13" s="47" t="s">
        <v>18</v>
      </c>
      <c r="D13" s="47"/>
    </row>
  </sheetData>
  <phoneticPr fontId="12" type="noConversion"/>
  <conditionalFormatting sqref="B2:D2">
    <cfRule type="containsText" dxfId="53" priority="1" operator="containsText" text="NO ATIPICO">
      <formula>NOT(ISERROR(SEARCH("NO ATIPICO",B2)))</formula>
    </cfRule>
    <cfRule type="containsText" dxfId="52" priority="2" operator="containsText" text="ATIPICO">
      <formula>NOT(ISERROR(SEARCH("ATIPICO",B2)))</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8BE7B-B548-4B93-9657-D474693F15E9}">
  <dimension ref="B2:AG30"/>
  <sheetViews>
    <sheetView topLeftCell="A27" workbookViewId="0">
      <selection activeCell="K24" sqref="K24:K25"/>
    </sheetView>
  </sheetViews>
  <sheetFormatPr baseColWidth="10" defaultColWidth="11.42578125" defaultRowHeight="11.25" x14ac:dyDescent="0.2"/>
  <cols>
    <col min="1" max="1" width="11.42578125" style="59"/>
    <col min="2" max="2" width="3.140625" style="59" bestFit="1" customWidth="1"/>
    <col min="3" max="3" width="66.28515625" style="59" customWidth="1"/>
    <col min="4" max="4" width="11.42578125" style="59"/>
    <col min="5" max="5" width="11.5703125" style="59" bestFit="1" customWidth="1"/>
    <col min="6" max="6" width="12.140625" style="65" bestFit="1" customWidth="1"/>
    <col min="7" max="7" width="12.140625" style="65" customWidth="1"/>
    <col min="8" max="8" width="11.5703125" style="65" bestFit="1" customWidth="1"/>
    <col min="9" max="9" width="14.85546875" style="65" customWidth="1"/>
    <col min="10" max="10" width="4.7109375" style="59" customWidth="1"/>
    <col min="11" max="11" width="16.42578125" style="59" customWidth="1"/>
    <col min="12" max="12" width="5.5703125" style="59" customWidth="1"/>
    <col min="13" max="13" width="6.140625" style="73" customWidth="1"/>
    <col min="14" max="14" width="12.42578125" style="59" bestFit="1" customWidth="1"/>
    <col min="15" max="15" width="42.140625" style="59" customWidth="1"/>
    <col min="16" max="20" width="11.42578125" style="59"/>
    <col min="21" max="21" width="10.140625" style="59" customWidth="1"/>
    <col min="22" max="23" width="11.42578125" style="59"/>
    <col min="24" max="24" width="6.140625" style="73" customWidth="1"/>
    <col min="25" max="25" width="12.42578125" style="59" bestFit="1" customWidth="1"/>
    <col min="26" max="26" width="42.140625" style="59" customWidth="1"/>
    <col min="27" max="28" width="11.42578125" style="59"/>
    <col min="29" max="29" width="12.140625" style="59" bestFit="1" customWidth="1"/>
    <col min="30" max="31" width="11.42578125" style="59"/>
    <col min="32" max="32" width="10.140625" style="59" customWidth="1"/>
    <col min="33" max="16384" width="11.42578125" style="59"/>
  </cols>
  <sheetData>
    <row r="2" spans="2:32" ht="24" customHeight="1" x14ac:dyDescent="0.2">
      <c r="B2" s="111" t="s">
        <v>19</v>
      </c>
      <c r="C2" s="112"/>
      <c r="D2" s="112"/>
      <c r="E2" s="112"/>
      <c r="F2" s="112"/>
      <c r="G2" s="112"/>
      <c r="H2" s="112"/>
      <c r="I2" s="112"/>
      <c r="N2" s="111" t="s">
        <v>20</v>
      </c>
      <c r="O2" s="112"/>
      <c r="P2" s="112"/>
      <c r="Q2" s="112"/>
      <c r="R2" s="112"/>
      <c r="S2" s="112"/>
      <c r="T2" s="112"/>
      <c r="U2" s="112"/>
      <c r="Y2" s="111" t="s">
        <v>21</v>
      </c>
      <c r="Z2" s="112"/>
      <c r="AA2" s="112"/>
      <c r="AB2" s="112"/>
      <c r="AC2" s="112"/>
      <c r="AD2" s="112"/>
      <c r="AE2" s="112"/>
      <c r="AF2" s="112"/>
    </row>
    <row r="3" spans="2:32" ht="28.5" customHeight="1" x14ac:dyDescent="0.2">
      <c r="B3" s="63" t="s">
        <v>22</v>
      </c>
      <c r="C3" s="63" t="s">
        <v>23</v>
      </c>
      <c r="D3" s="63" t="s">
        <v>24</v>
      </c>
      <c r="E3" s="63" t="s">
        <v>25</v>
      </c>
      <c r="F3" s="64" t="s">
        <v>26</v>
      </c>
      <c r="G3" s="64" t="s">
        <v>27</v>
      </c>
      <c r="H3" s="64" t="s">
        <v>28</v>
      </c>
      <c r="I3" s="64" t="s">
        <v>29</v>
      </c>
      <c r="N3" s="63" t="s">
        <v>22</v>
      </c>
      <c r="O3" s="63" t="s">
        <v>23</v>
      </c>
      <c r="P3" s="63" t="s">
        <v>24</v>
      </c>
      <c r="Q3" s="63" t="s">
        <v>25</v>
      </c>
      <c r="R3" s="64" t="s">
        <v>26</v>
      </c>
      <c r="S3" s="64" t="s">
        <v>27</v>
      </c>
      <c r="T3" s="64" t="s">
        <v>28</v>
      </c>
      <c r="U3" s="64" t="s">
        <v>28</v>
      </c>
      <c r="Y3" s="63" t="s">
        <v>22</v>
      </c>
      <c r="Z3" s="63" t="s">
        <v>23</v>
      </c>
      <c r="AA3" s="63" t="s">
        <v>24</v>
      </c>
      <c r="AB3" s="63" t="s">
        <v>25</v>
      </c>
      <c r="AC3" s="64" t="s">
        <v>26</v>
      </c>
      <c r="AD3" s="64" t="s">
        <v>27</v>
      </c>
      <c r="AE3" s="64" t="s">
        <v>28</v>
      </c>
      <c r="AF3" s="64" t="s">
        <v>28</v>
      </c>
    </row>
    <row r="4" spans="2:32" ht="33.75" x14ac:dyDescent="0.2">
      <c r="B4" s="60">
        <v>1</v>
      </c>
      <c r="C4" s="61" t="s">
        <v>30</v>
      </c>
      <c r="D4" s="61" t="s">
        <v>31</v>
      </c>
      <c r="E4" s="61">
        <v>37</v>
      </c>
      <c r="F4" s="66">
        <v>74126.5</v>
      </c>
      <c r="G4" s="66">
        <f>+F4*19%</f>
        <v>14084.035</v>
      </c>
      <c r="H4" s="66">
        <f>+F4+G4</f>
        <v>88210.535000000003</v>
      </c>
      <c r="I4" s="66">
        <f>+E4*H4</f>
        <v>3263789.7949999999</v>
      </c>
      <c r="N4" s="74">
        <v>1</v>
      </c>
      <c r="O4" s="75" t="s">
        <v>32</v>
      </c>
      <c r="P4" s="76" t="s">
        <v>31</v>
      </c>
      <c r="Q4" s="76">
        <v>7</v>
      </c>
      <c r="R4" s="77">
        <v>55000</v>
      </c>
      <c r="S4" s="66">
        <f>+R4*19%</f>
        <v>10450</v>
      </c>
      <c r="T4" s="66">
        <f>+R4+S4</f>
        <v>65450</v>
      </c>
      <c r="U4" s="66">
        <f>+Q4*T4</f>
        <v>458150</v>
      </c>
      <c r="Y4" s="74">
        <v>1</v>
      </c>
      <c r="Z4" s="56" t="s">
        <v>33</v>
      </c>
      <c r="AA4" s="57" t="s">
        <v>31</v>
      </c>
      <c r="AB4" s="57">
        <v>3</v>
      </c>
      <c r="AC4" s="58">
        <v>130000</v>
      </c>
      <c r="AD4" s="58">
        <f>+AC4*19%</f>
        <v>24700</v>
      </c>
      <c r="AE4" s="66">
        <f>+AC4+AD4</f>
        <v>154700</v>
      </c>
      <c r="AF4" s="66">
        <f>+AB4*AE4</f>
        <v>464100</v>
      </c>
    </row>
    <row r="5" spans="2:32" ht="33.75" x14ac:dyDescent="0.2">
      <c r="B5" s="60">
        <v>2</v>
      </c>
      <c r="C5" s="61" t="s">
        <v>34</v>
      </c>
      <c r="D5" s="61" t="s">
        <v>31</v>
      </c>
      <c r="E5" s="62">
        <v>2</v>
      </c>
      <c r="F5" s="66">
        <v>93633</v>
      </c>
      <c r="G5" s="66">
        <f t="shared" ref="G5:G14" si="0">+F5*19%</f>
        <v>17790.27</v>
      </c>
      <c r="H5" s="66">
        <f t="shared" ref="H5:H14" si="1">+F5+G5</f>
        <v>111423.27</v>
      </c>
      <c r="I5" s="66">
        <f>+E5*H5</f>
        <v>222846.54</v>
      </c>
      <c r="N5" s="74">
        <v>2</v>
      </c>
      <c r="O5" s="75" t="s">
        <v>35</v>
      </c>
      <c r="P5" s="76" t="s">
        <v>31</v>
      </c>
      <c r="Q5" s="76">
        <v>1</v>
      </c>
      <c r="R5" s="77">
        <v>14</v>
      </c>
      <c r="S5" s="66">
        <f>+R5*19%</f>
        <v>2.66</v>
      </c>
      <c r="T5" s="66">
        <f>+R5+S5</f>
        <v>16.66</v>
      </c>
      <c r="U5" s="66">
        <f>+Q5*T5</f>
        <v>16.66</v>
      </c>
    </row>
    <row r="6" spans="2:32" ht="33.75" x14ac:dyDescent="0.2">
      <c r="B6" s="60">
        <v>3</v>
      </c>
      <c r="C6" s="61" t="s">
        <v>36</v>
      </c>
      <c r="D6" s="61" t="s">
        <v>31</v>
      </c>
      <c r="E6" s="61">
        <v>55</v>
      </c>
      <c r="F6" s="66">
        <v>174911.5</v>
      </c>
      <c r="G6" s="66">
        <f t="shared" si="0"/>
        <v>33233.184999999998</v>
      </c>
      <c r="H6" s="66">
        <f t="shared" si="1"/>
        <v>208144.685</v>
      </c>
      <c r="I6" s="66">
        <f t="shared" ref="I6:I14" si="2">+E6*H6</f>
        <v>11447957.675000001</v>
      </c>
    </row>
    <row r="7" spans="2:32" ht="33.75" x14ac:dyDescent="0.2">
      <c r="B7" s="60">
        <v>4</v>
      </c>
      <c r="C7" s="61" t="s">
        <v>37</v>
      </c>
      <c r="D7" s="61" t="s">
        <v>31</v>
      </c>
      <c r="E7" s="61">
        <v>3</v>
      </c>
      <c r="F7" s="66">
        <v>206708.15000000002</v>
      </c>
      <c r="G7" s="66">
        <f t="shared" si="0"/>
        <v>39274.548500000004</v>
      </c>
      <c r="H7" s="66">
        <f t="shared" si="1"/>
        <v>245982.69850000003</v>
      </c>
      <c r="I7" s="66">
        <f t="shared" si="2"/>
        <v>737948.09550000005</v>
      </c>
    </row>
    <row r="8" spans="2:32" ht="22.5" x14ac:dyDescent="0.2">
      <c r="B8" s="60">
        <v>5</v>
      </c>
      <c r="C8" s="61" t="s">
        <v>38</v>
      </c>
      <c r="D8" s="61" t="s">
        <v>31</v>
      </c>
      <c r="E8" s="61">
        <v>86</v>
      </c>
      <c r="F8" s="66">
        <v>73580.220000000016</v>
      </c>
      <c r="G8" s="66">
        <f t="shared" si="0"/>
        <v>13980.241800000003</v>
      </c>
      <c r="H8" s="66">
        <f t="shared" si="1"/>
        <v>87560.461800000019</v>
      </c>
      <c r="I8" s="66">
        <f t="shared" si="2"/>
        <v>7530199.7148000021</v>
      </c>
    </row>
    <row r="9" spans="2:32" ht="22.5" x14ac:dyDescent="0.2">
      <c r="B9" s="60">
        <v>6</v>
      </c>
      <c r="C9" s="61" t="s">
        <v>39</v>
      </c>
      <c r="D9" s="61" t="s">
        <v>31</v>
      </c>
      <c r="E9" s="61">
        <v>85</v>
      </c>
      <c r="F9" s="66">
        <v>80524.800000000003</v>
      </c>
      <c r="G9" s="66">
        <f t="shared" si="0"/>
        <v>15299.712000000001</v>
      </c>
      <c r="H9" s="66">
        <f t="shared" si="1"/>
        <v>95824.512000000002</v>
      </c>
      <c r="I9" s="66">
        <f t="shared" si="2"/>
        <v>8145083.5200000005</v>
      </c>
    </row>
    <row r="10" spans="2:32" ht="22.5" x14ac:dyDescent="0.2">
      <c r="B10" s="60">
        <v>7</v>
      </c>
      <c r="C10" s="61" t="s">
        <v>40</v>
      </c>
      <c r="D10" s="61" t="s">
        <v>31</v>
      </c>
      <c r="E10" s="61">
        <v>268</v>
      </c>
      <c r="F10" s="66">
        <v>10728.9</v>
      </c>
      <c r="G10" s="66">
        <f t="shared" si="0"/>
        <v>2038.491</v>
      </c>
      <c r="H10" s="66">
        <f t="shared" si="1"/>
        <v>12767.391</v>
      </c>
      <c r="I10" s="66">
        <f>+E10*H10</f>
        <v>3421660.7879999997</v>
      </c>
    </row>
    <row r="11" spans="2:32" ht="22.5" x14ac:dyDescent="0.2">
      <c r="B11" s="60">
        <v>8</v>
      </c>
      <c r="C11" s="61" t="s">
        <v>41</v>
      </c>
      <c r="D11" s="61" t="s">
        <v>31</v>
      </c>
      <c r="E11" s="61">
        <v>268</v>
      </c>
      <c r="F11" s="66">
        <v>0</v>
      </c>
      <c r="G11" s="66">
        <f t="shared" si="0"/>
        <v>0</v>
      </c>
      <c r="H11" s="66">
        <f t="shared" si="1"/>
        <v>0</v>
      </c>
      <c r="I11" s="66">
        <f t="shared" si="2"/>
        <v>0</v>
      </c>
    </row>
    <row r="12" spans="2:32" ht="22.5" x14ac:dyDescent="0.2">
      <c r="B12" s="60">
        <v>9</v>
      </c>
      <c r="C12" s="61" t="s">
        <v>42</v>
      </c>
      <c r="D12" s="61" t="s">
        <v>31</v>
      </c>
      <c r="E12" s="61">
        <v>19</v>
      </c>
      <c r="F12" s="66">
        <v>52668.9</v>
      </c>
      <c r="G12" s="66">
        <f t="shared" si="0"/>
        <v>10007.091</v>
      </c>
      <c r="H12" s="66">
        <f t="shared" si="1"/>
        <v>62675.991000000002</v>
      </c>
      <c r="I12" s="66">
        <f t="shared" si="2"/>
        <v>1190843.8290000001</v>
      </c>
    </row>
    <row r="13" spans="2:32" ht="22.5" x14ac:dyDescent="0.2">
      <c r="B13" s="60">
        <v>10</v>
      </c>
      <c r="C13" s="61" t="s">
        <v>43</v>
      </c>
      <c r="D13" s="61" t="s">
        <v>31</v>
      </c>
      <c r="E13" s="61">
        <v>36</v>
      </c>
      <c r="F13" s="66">
        <v>25034.1</v>
      </c>
      <c r="G13" s="66">
        <f t="shared" si="0"/>
        <v>4756.4789999999994</v>
      </c>
      <c r="H13" s="66">
        <f t="shared" si="1"/>
        <v>29790.578999999998</v>
      </c>
      <c r="I13" s="66">
        <f t="shared" si="2"/>
        <v>1072460.844</v>
      </c>
    </row>
    <row r="14" spans="2:32" ht="22.5" x14ac:dyDescent="0.2">
      <c r="B14" s="60">
        <v>11</v>
      </c>
      <c r="C14" s="61" t="s">
        <v>44</v>
      </c>
      <c r="D14" s="61" t="s">
        <v>31</v>
      </c>
      <c r="E14" s="61">
        <v>3</v>
      </c>
      <c r="F14" s="66">
        <v>0</v>
      </c>
      <c r="G14" s="66">
        <f t="shared" si="0"/>
        <v>0</v>
      </c>
      <c r="H14" s="66">
        <f t="shared" si="1"/>
        <v>0</v>
      </c>
      <c r="I14" s="66">
        <f t="shared" si="2"/>
        <v>0</v>
      </c>
    </row>
    <row r="18" spans="2:33" ht="23.25" customHeight="1" x14ac:dyDescent="0.2">
      <c r="B18" s="113" t="s">
        <v>45</v>
      </c>
      <c r="C18" s="114"/>
      <c r="D18" s="114"/>
      <c r="E18" s="114"/>
      <c r="F18" s="114"/>
      <c r="G18" s="114"/>
      <c r="H18" s="114"/>
      <c r="I18" s="115"/>
    </row>
    <row r="19" spans="2:33" ht="11.25" customHeight="1" x14ac:dyDescent="0.2">
      <c r="B19" s="122" t="s">
        <v>46</v>
      </c>
      <c r="C19" s="123"/>
      <c r="D19" s="123"/>
      <c r="E19" s="123"/>
      <c r="F19" s="123"/>
      <c r="G19" s="123"/>
      <c r="H19" s="123"/>
      <c r="I19" s="124"/>
      <c r="N19" s="113" t="s">
        <v>45</v>
      </c>
      <c r="O19" s="114"/>
      <c r="P19" s="114"/>
      <c r="Q19" s="114"/>
      <c r="R19" s="114"/>
      <c r="S19" s="114"/>
      <c r="T19" s="115"/>
      <c r="Y19" s="113" t="s">
        <v>45</v>
      </c>
      <c r="Z19" s="114"/>
      <c r="AA19" s="114"/>
      <c r="AB19" s="114"/>
      <c r="AC19" s="114"/>
      <c r="AD19" s="114"/>
      <c r="AE19" s="115"/>
    </row>
    <row r="20" spans="2:33" x14ac:dyDescent="0.2">
      <c r="B20" s="125"/>
      <c r="C20" s="126"/>
      <c r="D20" s="126"/>
      <c r="E20" s="126"/>
      <c r="F20" s="126"/>
      <c r="G20" s="126"/>
      <c r="H20" s="126"/>
      <c r="I20" s="127"/>
      <c r="N20" s="116"/>
      <c r="O20" s="117"/>
      <c r="P20" s="117"/>
      <c r="Q20" s="117"/>
      <c r="R20" s="117"/>
      <c r="S20" s="117"/>
      <c r="T20" s="118"/>
      <c r="Y20" s="116"/>
      <c r="Z20" s="117"/>
      <c r="AA20" s="117"/>
      <c r="AB20" s="117"/>
      <c r="AC20" s="117"/>
      <c r="AD20" s="117"/>
      <c r="AE20" s="118"/>
    </row>
    <row r="21" spans="2:33" ht="39.75" customHeight="1" thickBot="1" x14ac:dyDescent="0.25">
      <c r="B21" s="67" t="s">
        <v>22</v>
      </c>
      <c r="C21" s="67" t="s">
        <v>23</v>
      </c>
      <c r="D21" s="63" t="s">
        <v>24</v>
      </c>
      <c r="E21" s="63" t="s">
        <v>25</v>
      </c>
      <c r="F21" s="64" t="s">
        <v>26</v>
      </c>
      <c r="G21" s="64" t="s">
        <v>27</v>
      </c>
      <c r="H21" s="64" t="s">
        <v>28</v>
      </c>
      <c r="I21" s="64" t="s">
        <v>29</v>
      </c>
      <c r="K21" s="68" t="s">
        <v>47</v>
      </c>
      <c r="N21" s="63" t="s">
        <v>22</v>
      </c>
      <c r="O21" s="63" t="s">
        <v>23</v>
      </c>
      <c r="P21" s="63" t="s">
        <v>24</v>
      </c>
      <c r="Q21" s="63" t="s">
        <v>25</v>
      </c>
      <c r="R21" s="64" t="s">
        <v>26</v>
      </c>
      <c r="S21" s="64" t="s">
        <v>27</v>
      </c>
      <c r="T21" s="64" t="s">
        <v>28</v>
      </c>
      <c r="V21" s="68" t="s">
        <v>47</v>
      </c>
      <c r="Y21" s="63" t="s">
        <v>22</v>
      </c>
      <c r="Z21" s="63" t="s">
        <v>23</v>
      </c>
      <c r="AA21" s="63" t="s">
        <v>24</v>
      </c>
      <c r="AB21" s="63" t="s">
        <v>25</v>
      </c>
      <c r="AC21" s="64" t="s">
        <v>26</v>
      </c>
      <c r="AD21" s="64" t="s">
        <v>27</v>
      </c>
      <c r="AE21" s="64" t="s">
        <v>28</v>
      </c>
      <c r="AG21" s="68" t="s">
        <v>47</v>
      </c>
    </row>
    <row r="22" spans="2:33" ht="33.75" x14ac:dyDescent="0.2">
      <c r="B22" s="119">
        <v>1</v>
      </c>
      <c r="C22" s="69" t="s">
        <v>30</v>
      </c>
      <c r="D22" s="69" t="s">
        <v>31</v>
      </c>
      <c r="E22" s="69">
        <v>1</v>
      </c>
      <c r="F22" s="70">
        <v>74126.5</v>
      </c>
      <c r="G22" s="70">
        <f>+F22*19%</f>
        <v>14084.035</v>
      </c>
      <c r="H22" s="70">
        <f>+F22+G22</f>
        <v>88210.535000000003</v>
      </c>
      <c r="I22" s="108">
        <f>ROUND(H22+H23,0)</f>
        <v>100978</v>
      </c>
      <c r="K22" s="108">
        <f>ROUND(I22*(1+5.1%),0)</f>
        <v>106128</v>
      </c>
      <c r="N22" s="74">
        <v>1</v>
      </c>
      <c r="O22" s="75" t="s">
        <v>32</v>
      </c>
      <c r="P22" s="76" t="s">
        <v>31</v>
      </c>
      <c r="Q22" s="76">
        <v>1</v>
      </c>
      <c r="R22" s="77">
        <v>55000</v>
      </c>
      <c r="S22" s="66">
        <f>+R22*19%</f>
        <v>10450</v>
      </c>
      <c r="T22" s="66">
        <f>+R22+S22</f>
        <v>65450</v>
      </c>
      <c r="V22" s="66">
        <f>ROUND(T22*(1+5.1%),0)</f>
        <v>68788</v>
      </c>
      <c r="Y22" s="74">
        <v>1</v>
      </c>
      <c r="Z22" s="78" t="s">
        <v>48</v>
      </c>
      <c r="AA22" s="76" t="s">
        <v>31</v>
      </c>
      <c r="AB22" s="76">
        <v>1</v>
      </c>
      <c r="AC22" s="58">
        <v>130000</v>
      </c>
      <c r="AD22" s="58">
        <f>+AC22*19%</f>
        <v>24700</v>
      </c>
      <c r="AE22" s="66">
        <f>+AC22+AD22</f>
        <v>154700</v>
      </c>
      <c r="AG22" s="66">
        <f>ROUND(AE22*(1+5.1%),0)</f>
        <v>162590</v>
      </c>
    </row>
    <row r="23" spans="2:33" ht="34.5" thickBot="1" x14ac:dyDescent="0.25">
      <c r="B23" s="120"/>
      <c r="C23" s="71" t="s">
        <v>40</v>
      </c>
      <c r="D23" s="71" t="s">
        <v>31</v>
      </c>
      <c r="E23" s="71">
        <v>1</v>
      </c>
      <c r="F23" s="72">
        <v>10728.9</v>
      </c>
      <c r="G23" s="72">
        <f t="shared" ref="G23:G30" si="3">+F23*19%</f>
        <v>2038.491</v>
      </c>
      <c r="H23" s="72">
        <f t="shared" ref="H23:H30" si="4">+F23+G23</f>
        <v>12767.391</v>
      </c>
      <c r="I23" s="109"/>
      <c r="K23" s="109"/>
      <c r="N23" s="74">
        <v>2</v>
      </c>
      <c r="O23" s="75" t="s">
        <v>35</v>
      </c>
      <c r="P23" s="76" t="s">
        <v>31</v>
      </c>
      <c r="Q23" s="76">
        <v>1</v>
      </c>
      <c r="R23" s="77">
        <v>14</v>
      </c>
      <c r="S23" s="66">
        <f>+R23*19%</f>
        <v>2.66</v>
      </c>
      <c r="T23" s="66">
        <f>+R23+S23</f>
        <v>16.66</v>
      </c>
      <c r="V23" s="66">
        <f>ROUND(T23*(1+5.1%),0)</f>
        <v>18</v>
      </c>
    </row>
    <row r="24" spans="2:33" ht="33.75" x14ac:dyDescent="0.2">
      <c r="B24" s="119">
        <v>3</v>
      </c>
      <c r="C24" s="69" t="s">
        <v>36</v>
      </c>
      <c r="D24" s="69" t="s">
        <v>31</v>
      </c>
      <c r="E24" s="69">
        <v>1</v>
      </c>
      <c r="F24" s="70">
        <v>174911.5</v>
      </c>
      <c r="G24" s="70">
        <f t="shared" si="3"/>
        <v>33233.184999999998</v>
      </c>
      <c r="H24" s="70">
        <f t="shared" si="4"/>
        <v>208144.685</v>
      </c>
      <c r="I24" s="108">
        <f>ROUND(H24+H25,0)</f>
        <v>220912</v>
      </c>
      <c r="K24" s="108">
        <f>ROUND(I24*(1+5.1%),0)</f>
        <v>232179</v>
      </c>
    </row>
    <row r="25" spans="2:33" ht="23.25" thickBot="1" x14ac:dyDescent="0.25">
      <c r="B25" s="120"/>
      <c r="C25" s="71" t="s">
        <v>40</v>
      </c>
      <c r="D25" s="71" t="s">
        <v>31</v>
      </c>
      <c r="E25" s="71">
        <v>1</v>
      </c>
      <c r="F25" s="72">
        <v>10728.9</v>
      </c>
      <c r="G25" s="72">
        <f t="shared" si="3"/>
        <v>2038.491</v>
      </c>
      <c r="H25" s="72">
        <f t="shared" ref="H25" si="5">+F25+G25</f>
        <v>12767.391</v>
      </c>
      <c r="I25" s="109"/>
      <c r="K25" s="109"/>
    </row>
    <row r="26" spans="2:33" ht="33.75" x14ac:dyDescent="0.2">
      <c r="B26" s="119">
        <v>4</v>
      </c>
      <c r="C26" s="69" t="s">
        <v>37</v>
      </c>
      <c r="D26" s="69" t="s">
        <v>31</v>
      </c>
      <c r="E26" s="69">
        <v>1</v>
      </c>
      <c r="F26" s="70">
        <v>206708.15000000002</v>
      </c>
      <c r="G26" s="70">
        <f t="shared" si="3"/>
        <v>39274.548500000004</v>
      </c>
      <c r="H26" s="70">
        <f t="shared" si="4"/>
        <v>245982.69850000003</v>
      </c>
      <c r="I26" s="108">
        <f>ROUND(H26+H27+H28,0)</f>
        <v>321426</v>
      </c>
      <c r="K26" s="108">
        <f>ROUND(I26*(1+5.1%),0)</f>
        <v>337819</v>
      </c>
    </row>
    <row r="27" spans="2:33" ht="22.5" x14ac:dyDescent="0.2">
      <c r="B27" s="121"/>
      <c r="C27" s="61" t="s">
        <v>40</v>
      </c>
      <c r="D27" s="61" t="s">
        <v>31</v>
      </c>
      <c r="E27" s="61">
        <v>1</v>
      </c>
      <c r="F27" s="66">
        <v>10728.9</v>
      </c>
      <c r="G27" s="66">
        <f t="shared" si="3"/>
        <v>2038.491</v>
      </c>
      <c r="H27" s="66">
        <f t="shared" si="4"/>
        <v>12767.391</v>
      </c>
      <c r="I27" s="110"/>
      <c r="K27" s="110"/>
    </row>
    <row r="28" spans="2:33" ht="23.25" thickBot="1" x14ac:dyDescent="0.25">
      <c r="B28" s="120"/>
      <c r="C28" s="71" t="s">
        <v>42</v>
      </c>
      <c r="D28" s="71" t="s">
        <v>31</v>
      </c>
      <c r="E28" s="71">
        <v>1</v>
      </c>
      <c r="F28" s="72">
        <v>52668.9</v>
      </c>
      <c r="G28" s="72">
        <f t="shared" si="3"/>
        <v>10007.091</v>
      </c>
      <c r="H28" s="72">
        <f t="shared" si="4"/>
        <v>62675.991000000002</v>
      </c>
      <c r="I28" s="109"/>
      <c r="K28" s="109"/>
    </row>
    <row r="29" spans="2:33" ht="22.5" x14ac:dyDescent="0.2">
      <c r="B29" s="119">
        <v>6</v>
      </c>
      <c r="C29" s="69" t="s">
        <v>39</v>
      </c>
      <c r="D29" s="69" t="s">
        <v>31</v>
      </c>
      <c r="E29" s="69">
        <v>1</v>
      </c>
      <c r="F29" s="70">
        <v>80524.800000000003</v>
      </c>
      <c r="G29" s="70">
        <f t="shared" si="3"/>
        <v>15299.712000000001</v>
      </c>
      <c r="H29" s="70">
        <f t="shared" si="4"/>
        <v>95824.512000000002</v>
      </c>
      <c r="I29" s="108">
        <f>ROUND(H29+H30,0)</f>
        <v>108592</v>
      </c>
      <c r="K29" s="108">
        <f>ROUND(I29*(1+5.1%),0)</f>
        <v>114130</v>
      </c>
    </row>
    <row r="30" spans="2:33" ht="23.25" thickBot="1" x14ac:dyDescent="0.25">
      <c r="B30" s="120"/>
      <c r="C30" s="71" t="s">
        <v>40</v>
      </c>
      <c r="D30" s="71" t="s">
        <v>31</v>
      </c>
      <c r="E30" s="71">
        <v>1</v>
      </c>
      <c r="F30" s="72">
        <v>10728.9</v>
      </c>
      <c r="G30" s="72">
        <f t="shared" si="3"/>
        <v>2038.491</v>
      </c>
      <c r="H30" s="72">
        <f t="shared" si="4"/>
        <v>12767.391</v>
      </c>
      <c r="I30" s="109"/>
      <c r="K30" s="109"/>
    </row>
  </sheetData>
  <mergeCells count="19">
    <mergeCell ref="B29:B30"/>
    <mergeCell ref="B24:B25"/>
    <mergeCell ref="B26:B28"/>
    <mergeCell ref="B22:B23"/>
    <mergeCell ref="B2:I2"/>
    <mergeCell ref="B19:I20"/>
    <mergeCell ref="B18:I18"/>
    <mergeCell ref="I26:I28"/>
    <mergeCell ref="I29:I30"/>
    <mergeCell ref="I22:I23"/>
    <mergeCell ref="I24:I25"/>
    <mergeCell ref="K22:K23"/>
    <mergeCell ref="K24:K25"/>
    <mergeCell ref="K26:K28"/>
    <mergeCell ref="K29:K30"/>
    <mergeCell ref="Y2:AF2"/>
    <mergeCell ref="Y19:AE20"/>
    <mergeCell ref="N2:U2"/>
    <mergeCell ref="N19:T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86ACD-D591-47FE-B263-F760FD6BC6EB}">
  <sheetPr>
    <pageSetUpPr fitToPage="1"/>
  </sheetPr>
  <dimension ref="B3:Z54"/>
  <sheetViews>
    <sheetView topLeftCell="A38" zoomScale="85" zoomScaleNormal="85" workbookViewId="0">
      <selection activeCell="H10" sqref="H10"/>
    </sheetView>
  </sheetViews>
  <sheetFormatPr baseColWidth="10" defaultColWidth="11.42578125" defaultRowHeight="11.25" x14ac:dyDescent="0.2"/>
  <cols>
    <col min="1" max="2" width="4.42578125" style="6" customWidth="1"/>
    <col min="3" max="3" width="38.42578125" style="6" customWidth="1"/>
    <col min="4" max="4" width="10.140625" style="49" customWidth="1"/>
    <col min="5" max="5" width="17.42578125" style="6" customWidth="1"/>
    <col min="6" max="6" width="17.5703125" style="6" customWidth="1"/>
    <col min="7" max="7" width="17.7109375" style="6" customWidth="1"/>
    <col min="8" max="8" width="17.7109375" style="53" customWidth="1"/>
    <col min="9" max="9" width="16.28515625" style="6" customWidth="1"/>
    <col min="10" max="10" width="21.7109375" style="6" customWidth="1"/>
    <col min="11" max="11" width="17.42578125" style="6" bestFit="1" customWidth="1"/>
    <col min="12" max="12" width="17.140625" style="6" bestFit="1" customWidth="1"/>
    <col min="13" max="13" width="14.7109375" style="6" bestFit="1" customWidth="1"/>
    <col min="14" max="15" width="18.5703125" style="6" customWidth="1"/>
    <col min="16" max="22" width="13.7109375" style="6" customWidth="1"/>
    <col min="23" max="25" width="15" style="6" customWidth="1"/>
    <col min="26" max="26" width="13.42578125" style="6" customWidth="1"/>
    <col min="27" max="16384" width="11.42578125" style="6"/>
  </cols>
  <sheetData>
    <row r="3" spans="2:26" x14ac:dyDescent="0.2">
      <c r="K3" s="7"/>
      <c r="L3" s="7"/>
      <c r="M3" s="7"/>
    </row>
    <row r="4" spans="2:26" ht="12.75" customHeight="1" x14ac:dyDescent="0.2">
      <c r="B4" s="94" t="s">
        <v>49</v>
      </c>
      <c r="C4" s="94"/>
      <c r="D4" s="94"/>
      <c r="E4" s="94"/>
      <c r="F4" s="94"/>
      <c r="G4" s="94"/>
      <c r="H4" s="94"/>
      <c r="I4" s="94"/>
      <c r="J4" s="94"/>
      <c r="K4" s="94"/>
      <c r="L4" s="94"/>
      <c r="M4" s="94"/>
      <c r="N4" s="94"/>
      <c r="O4" s="94"/>
      <c r="P4" s="94"/>
      <c r="Q4" s="94"/>
      <c r="R4" s="94"/>
      <c r="S4" s="94"/>
      <c r="T4" s="94"/>
      <c r="U4" s="94"/>
      <c r="V4" s="94"/>
      <c r="W4" s="94"/>
      <c r="X4" s="94"/>
      <c r="Y4" s="94"/>
      <c r="Z4" s="94"/>
    </row>
    <row r="6" spans="2:26" x14ac:dyDescent="0.2">
      <c r="E6" s="6" t="s">
        <v>50</v>
      </c>
      <c r="F6" s="6" t="s">
        <v>51</v>
      </c>
      <c r="G6" s="6" t="s">
        <v>52</v>
      </c>
    </row>
    <row r="7" spans="2:26" ht="36.75" customHeight="1" x14ac:dyDescent="0.2">
      <c r="B7" s="8" t="s">
        <v>53</v>
      </c>
      <c r="C7" s="8" t="s">
        <v>23</v>
      </c>
      <c r="D7" s="8" t="s">
        <v>25</v>
      </c>
      <c r="E7" s="1" t="s">
        <v>1</v>
      </c>
      <c r="F7" s="43" t="s">
        <v>2</v>
      </c>
      <c r="G7" s="2" t="s">
        <v>3</v>
      </c>
      <c r="H7" s="55" t="s">
        <v>54</v>
      </c>
      <c r="I7" s="9" t="s">
        <v>55</v>
      </c>
      <c r="J7" s="10"/>
      <c r="K7" s="2" t="s">
        <v>3</v>
      </c>
      <c r="L7" s="81" t="s">
        <v>2</v>
      </c>
      <c r="M7" s="82" t="s">
        <v>1</v>
      </c>
      <c r="N7" s="55" t="s">
        <v>54</v>
      </c>
      <c r="P7" s="11" t="s">
        <v>56</v>
      </c>
      <c r="Q7" s="12" t="s">
        <v>57</v>
      </c>
      <c r="R7" s="13" t="s">
        <v>58</v>
      </c>
      <c r="S7" s="14" t="s">
        <v>59</v>
      </c>
      <c r="T7" s="14" t="s">
        <v>60</v>
      </c>
      <c r="U7" s="15" t="s">
        <v>61</v>
      </c>
      <c r="V7" s="15" t="s">
        <v>62</v>
      </c>
      <c r="W7" s="2" t="s">
        <v>3</v>
      </c>
      <c r="X7" s="1" t="s">
        <v>1</v>
      </c>
      <c r="Y7" s="43" t="s">
        <v>2</v>
      </c>
      <c r="Z7" s="55" t="s">
        <v>54</v>
      </c>
    </row>
    <row r="8" spans="2:26" ht="29.25" customHeight="1" x14ac:dyDescent="0.2">
      <c r="B8" s="48">
        <v>1</v>
      </c>
      <c r="C8" s="16" t="s">
        <v>63</v>
      </c>
      <c r="D8" s="48">
        <v>1</v>
      </c>
      <c r="E8" s="17">
        <v>232400</v>
      </c>
      <c r="F8" s="17">
        <v>195500</v>
      </c>
      <c r="G8" s="17">
        <v>232000</v>
      </c>
      <c r="H8" s="17">
        <v>106128</v>
      </c>
      <c r="I8" s="44">
        <f t="shared" ref="I8:I21" si="0">AVERAGE(E8:H8)</f>
        <v>191507</v>
      </c>
      <c r="J8" s="18"/>
      <c r="K8" s="17">
        <v>232000</v>
      </c>
      <c r="L8" s="17">
        <v>195500</v>
      </c>
      <c r="M8" s="17">
        <v>232400</v>
      </c>
      <c r="N8" s="17">
        <v>106128</v>
      </c>
      <c r="P8" s="20">
        <f>QUARTILE(K8:N8,1)</f>
        <v>173157</v>
      </c>
      <c r="Q8" s="21">
        <f>QUARTILE(K8:N8,2)</f>
        <v>213750</v>
      </c>
      <c r="R8" s="22">
        <f>QUARTILE(K8:N8,3)</f>
        <v>232100</v>
      </c>
      <c r="S8" s="45">
        <f>+K8-N8</f>
        <v>125872</v>
      </c>
      <c r="T8" s="23">
        <f>R8-P8</f>
        <v>58943</v>
      </c>
      <c r="U8" s="24">
        <f>P8-(T8*1.5)</f>
        <v>84742.5</v>
      </c>
      <c r="V8" s="25">
        <f>R8+(T8*1.5)</f>
        <v>320514.5</v>
      </c>
      <c r="W8" s="46" t="str">
        <f>IF(AND(K8&gt;=U8,K8&lt;=V8),"NO ATIPICO","ATIPICO")</f>
        <v>NO ATIPICO</v>
      </c>
      <c r="X8" s="46" t="str">
        <f>IF(AND(L8&gt;=$U8,L8&lt;=$V8),"NO ATIPICO","ATIPICO")</f>
        <v>NO ATIPICO</v>
      </c>
      <c r="Y8" s="46" t="str">
        <f>IF(AND(M8&gt;=$U8,M8&lt;=$V8),"NO ATIPICO","ATIPICO")</f>
        <v>NO ATIPICO</v>
      </c>
      <c r="Z8" s="46" t="str">
        <f>IF(AND(N8&gt;=$U8,N8&lt;=$V8),"NO ATIPICO","ATIPICO")</f>
        <v>NO ATIPICO</v>
      </c>
    </row>
    <row r="9" spans="2:26" ht="29.25" customHeight="1" x14ac:dyDescent="0.2">
      <c r="B9" s="48">
        <v>1</v>
      </c>
      <c r="C9" s="16" t="s">
        <v>63</v>
      </c>
      <c r="D9" s="48">
        <v>26</v>
      </c>
      <c r="E9" s="17">
        <f>+E8*$D$9</f>
        <v>6042400</v>
      </c>
      <c r="F9" s="17">
        <f t="shared" ref="F9:G9" si="1">+F8*$D$9</f>
        <v>5083000</v>
      </c>
      <c r="G9" s="17">
        <f t="shared" si="1"/>
        <v>6032000</v>
      </c>
      <c r="H9" s="17">
        <f>+H8*$D$9</f>
        <v>2759328</v>
      </c>
      <c r="I9" s="44">
        <f t="shared" si="0"/>
        <v>4979182</v>
      </c>
      <c r="J9" s="18"/>
      <c r="K9" s="17">
        <f t="shared" ref="K9" si="2">+K8*$D$9</f>
        <v>6032000</v>
      </c>
      <c r="L9" s="17">
        <f>+L8*$D$9</f>
        <v>5083000</v>
      </c>
      <c r="M9" s="17">
        <f>+M8*$D$9</f>
        <v>6042400</v>
      </c>
      <c r="N9" s="17">
        <f>+N8*$D$9</f>
        <v>2759328</v>
      </c>
      <c r="P9" s="20">
        <f t="shared" ref="P9:P25" si="3">QUARTILE(K9:N9,1)</f>
        <v>4502082</v>
      </c>
      <c r="Q9" s="21">
        <f t="shared" ref="Q9:Q25" si="4">QUARTILE(K9:N9,2)</f>
        <v>5557500</v>
      </c>
      <c r="R9" s="22">
        <f t="shared" ref="R9:R25" si="5">QUARTILE(K9:N9,3)</f>
        <v>6034600</v>
      </c>
      <c r="S9" s="45">
        <f>+L9-N9</f>
        <v>2323672</v>
      </c>
      <c r="T9" s="23">
        <f t="shared" ref="T9:T25" si="6">R9-P9</f>
        <v>1532518</v>
      </c>
      <c r="U9" s="24">
        <f t="shared" ref="U9:U25" si="7">P9-(T9*1.5)</f>
        <v>2203305</v>
      </c>
      <c r="V9" s="25">
        <f t="shared" ref="V9:V25" si="8">R9+(T9*1.5)</f>
        <v>8333377</v>
      </c>
      <c r="W9" s="46" t="str">
        <f t="shared" ref="W9:W25" si="9">IF(AND(K9&gt;=U9,K9&lt;=V9),"NO ATIPICO","ATIPICO")</f>
        <v>NO ATIPICO</v>
      </c>
      <c r="X9" s="46" t="str">
        <f t="shared" ref="X9:X25" si="10">IF(AND(L9&gt;=$U9,L9&lt;=$V9),"NO ATIPICO","ATIPICO")</f>
        <v>NO ATIPICO</v>
      </c>
      <c r="Y9" s="46" t="str">
        <f t="shared" ref="Y9:Y25" si="11">IF(AND(M9&gt;=$U9,M9&lt;=$V9),"NO ATIPICO","ATIPICO")</f>
        <v>NO ATIPICO</v>
      </c>
      <c r="Z9" s="46" t="str">
        <f t="shared" ref="Z9:Z25" si="12">IF(AND(N9&gt;=$U9,N9&lt;=$V9),"NO ATIPICO","ATIPICO")</f>
        <v>NO ATIPICO</v>
      </c>
    </row>
    <row r="10" spans="2:26" ht="29.25" customHeight="1" x14ac:dyDescent="0.2">
      <c r="B10" s="48">
        <v>2</v>
      </c>
      <c r="C10" s="16" t="s">
        <v>64</v>
      </c>
      <c r="D10" s="48">
        <v>1</v>
      </c>
      <c r="E10" s="17">
        <v>592400</v>
      </c>
      <c r="F10" s="17">
        <v>551000</v>
      </c>
      <c r="G10" s="17">
        <v>621000</v>
      </c>
      <c r="H10" s="87">
        <v>271946</v>
      </c>
      <c r="I10" s="44">
        <f t="shared" si="0"/>
        <v>509086.5</v>
      </c>
      <c r="J10" s="18"/>
      <c r="K10" s="17">
        <v>621000</v>
      </c>
      <c r="L10" s="17">
        <v>551000</v>
      </c>
      <c r="M10" s="17">
        <v>592400</v>
      </c>
      <c r="N10" s="17">
        <v>232179</v>
      </c>
      <c r="P10" s="20">
        <f t="shared" si="3"/>
        <v>471294.75</v>
      </c>
      <c r="Q10" s="21">
        <f t="shared" si="4"/>
        <v>571700</v>
      </c>
      <c r="R10" s="22">
        <f t="shared" si="5"/>
        <v>599550</v>
      </c>
      <c r="S10" s="45">
        <f>+K10-N10</f>
        <v>388821</v>
      </c>
      <c r="T10" s="23">
        <f t="shared" si="6"/>
        <v>128255.25</v>
      </c>
      <c r="U10" s="24">
        <f t="shared" si="7"/>
        <v>278911.875</v>
      </c>
      <c r="V10" s="25">
        <f t="shared" si="8"/>
        <v>791932.875</v>
      </c>
      <c r="W10" s="46" t="str">
        <f t="shared" si="9"/>
        <v>NO ATIPICO</v>
      </c>
      <c r="X10" s="46" t="str">
        <f t="shared" si="10"/>
        <v>NO ATIPICO</v>
      </c>
      <c r="Y10" s="46" t="str">
        <f t="shared" si="11"/>
        <v>NO ATIPICO</v>
      </c>
      <c r="Z10" s="46" t="str">
        <f t="shared" si="12"/>
        <v>ATIPICO</v>
      </c>
    </row>
    <row r="11" spans="2:26" ht="29.25" customHeight="1" x14ac:dyDescent="0.2">
      <c r="B11" s="48">
        <v>2</v>
      </c>
      <c r="C11" s="16" t="s">
        <v>64</v>
      </c>
      <c r="D11" s="48">
        <v>2</v>
      </c>
      <c r="E11" s="17">
        <f t="shared" ref="E11:G11" si="13">+E10*$D$11</f>
        <v>1184800</v>
      </c>
      <c r="F11" s="17">
        <f t="shared" si="13"/>
        <v>1102000</v>
      </c>
      <c r="G11" s="17">
        <f t="shared" si="13"/>
        <v>1242000</v>
      </c>
      <c r="H11" s="17">
        <f t="shared" ref="H11" si="14">+H10*$D$11</f>
        <v>543892</v>
      </c>
      <c r="I11" s="44">
        <f t="shared" si="0"/>
        <v>1018173</v>
      </c>
      <c r="J11" s="18"/>
      <c r="K11" s="17">
        <f t="shared" ref="K11" si="15">+K10*$D$11</f>
        <v>1242000</v>
      </c>
      <c r="L11" s="17">
        <f t="shared" ref="L11:N11" si="16">+L10*$D$11</f>
        <v>1102000</v>
      </c>
      <c r="M11" s="17">
        <f t="shared" si="16"/>
        <v>1184800</v>
      </c>
      <c r="N11" s="17">
        <f t="shared" si="16"/>
        <v>464358</v>
      </c>
      <c r="P11" s="20">
        <f t="shared" si="3"/>
        <v>942589.5</v>
      </c>
      <c r="Q11" s="21">
        <f t="shared" si="4"/>
        <v>1143400</v>
      </c>
      <c r="R11" s="22">
        <f t="shared" si="5"/>
        <v>1199100</v>
      </c>
      <c r="S11" s="45">
        <f>+K11-N11</f>
        <v>777642</v>
      </c>
      <c r="T11" s="23">
        <f t="shared" si="6"/>
        <v>256510.5</v>
      </c>
      <c r="U11" s="24">
        <f t="shared" si="7"/>
        <v>557823.75</v>
      </c>
      <c r="V11" s="25">
        <f t="shared" si="8"/>
        <v>1583865.75</v>
      </c>
      <c r="W11" s="46" t="str">
        <f t="shared" si="9"/>
        <v>NO ATIPICO</v>
      </c>
      <c r="X11" s="46" t="str">
        <f t="shared" si="10"/>
        <v>NO ATIPICO</v>
      </c>
      <c r="Y11" s="46" t="str">
        <f t="shared" si="11"/>
        <v>NO ATIPICO</v>
      </c>
      <c r="Z11" s="46" t="str">
        <f t="shared" si="12"/>
        <v>ATIPICO</v>
      </c>
    </row>
    <row r="12" spans="2:26" ht="29.25" customHeight="1" x14ac:dyDescent="0.2">
      <c r="B12" s="48">
        <v>3</v>
      </c>
      <c r="C12" s="16" t="s">
        <v>65</v>
      </c>
      <c r="D12" s="48">
        <v>1</v>
      </c>
      <c r="E12" s="17">
        <v>232400</v>
      </c>
      <c r="F12" s="17">
        <v>215500</v>
      </c>
      <c r="G12" s="17">
        <v>233000</v>
      </c>
      <c r="H12" s="17">
        <v>114130</v>
      </c>
      <c r="I12" s="44">
        <f t="shared" si="0"/>
        <v>198757.5</v>
      </c>
      <c r="J12" s="18"/>
      <c r="K12" s="17">
        <v>233000</v>
      </c>
      <c r="L12" s="17">
        <v>215500</v>
      </c>
      <c r="M12" s="17">
        <v>232400</v>
      </c>
      <c r="N12" s="17">
        <v>114130</v>
      </c>
      <c r="P12" s="20">
        <f t="shared" si="3"/>
        <v>190157.5</v>
      </c>
      <c r="Q12" s="21">
        <f t="shared" si="4"/>
        <v>223950</v>
      </c>
      <c r="R12" s="22">
        <f t="shared" si="5"/>
        <v>232550</v>
      </c>
      <c r="S12" s="45">
        <f>+K12-N12</f>
        <v>118870</v>
      </c>
      <c r="T12" s="23">
        <f t="shared" si="6"/>
        <v>42392.5</v>
      </c>
      <c r="U12" s="24">
        <f t="shared" si="7"/>
        <v>126568.75</v>
      </c>
      <c r="V12" s="25">
        <f t="shared" si="8"/>
        <v>296138.75</v>
      </c>
      <c r="W12" s="46" t="str">
        <f t="shared" si="9"/>
        <v>NO ATIPICO</v>
      </c>
      <c r="X12" s="46" t="str">
        <f t="shared" si="10"/>
        <v>NO ATIPICO</v>
      </c>
      <c r="Y12" s="46" t="str">
        <f t="shared" si="11"/>
        <v>NO ATIPICO</v>
      </c>
      <c r="Z12" s="46" t="str">
        <f t="shared" si="12"/>
        <v>ATIPICO</v>
      </c>
    </row>
    <row r="13" spans="2:26" ht="29.25" customHeight="1" x14ac:dyDescent="0.2">
      <c r="B13" s="48">
        <v>3</v>
      </c>
      <c r="C13" s="16" t="s">
        <v>65</v>
      </c>
      <c r="D13" s="48">
        <v>206</v>
      </c>
      <c r="E13" s="17">
        <f>+E12*$D$13</f>
        <v>47874400</v>
      </c>
      <c r="F13" s="17">
        <f t="shared" ref="F13:G13" si="17">+F12*$D$13</f>
        <v>44393000</v>
      </c>
      <c r="G13" s="17">
        <f t="shared" si="17"/>
        <v>47998000</v>
      </c>
      <c r="H13" s="17">
        <f t="shared" ref="H13" si="18">+H12*$D$13</f>
        <v>23510780</v>
      </c>
      <c r="I13" s="44">
        <f t="shared" si="0"/>
        <v>40944045</v>
      </c>
      <c r="J13" s="18"/>
      <c r="K13" s="17">
        <f t="shared" ref="K13" si="19">+K12*$D$13</f>
        <v>47998000</v>
      </c>
      <c r="L13" s="17">
        <f>+L12*$D$13</f>
        <v>44393000</v>
      </c>
      <c r="M13" s="17">
        <f>+M12*$D$13</f>
        <v>47874400</v>
      </c>
      <c r="N13" s="17">
        <f t="shared" ref="N13" si="20">+N12*$D$13</f>
        <v>23510780</v>
      </c>
      <c r="P13" s="20">
        <f t="shared" si="3"/>
        <v>39172445</v>
      </c>
      <c r="Q13" s="21">
        <f t="shared" si="4"/>
        <v>46133700</v>
      </c>
      <c r="R13" s="22">
        <f t="shared" si="5"/>
        <v>47905300</v>
      </c>
      <c r="S13" s="45">
        <f>+K13-N13</f>
        <v>24487220</v>
      </c>
      <c r="T13" s="23">
        <f t="shared" si="6"/>
        <v>8732855</v>
      </c>
      <c r="U13" s="24">
        <f t="shared" si="7"/>
        <v>26073162.5</v>
      </c>
      <c r="V13" s="25">
        <f t="shared" si="8"/>
        <v>61004582.5</v>
      </c>
      <c r="W13" s="46" t="str">
        <f t="shared" si="9"/>
        <v>NO ATIPICO</v>
      </c>
      <c r="X13" s="46" t="str">
        <f t="shared" si="10"/>
        <v>NO ATIPICO</v>
      </c>
      <c r="Y13" s="46" t="str">
        <f t="shared" si="11"/>
        <v>NO ATIPICO</v>
      </c>
      <c r="Z13" s="46" t="str">
        <f t="shared" si="12"/>
        <v>ATIPICO</v>
      </c>
    </row>
    <row r="14" spans="2:26" ht="29.25" customHeight="1" x14ac:dyDescent="0.2">
      <c r="B14" s="48">
        <v>4</v>
      </c>
      <c r="C14" s="16" t="s">
        <v>66</v>
      </c>
      <c r="D14" s="48">
        <v>1</v>
      </c>
      <c r="E14" s="17">
        <v>262400</v>
      </c>
      <c r="F14" s="17">
        <v>366500</v>
      </c>
      <c r="G14" s="17">
        <v>272500</v>
      </c>
      <c r="H14" s="17">
        <v>267757</v>
      </c>
      <c r="I14" s="44">
        <f t="shared" si="0"/>
        <v>292289.25</v>
      </c>
      <c r="J14" s="18"/>
      <c r="K14" s="17">
        <v>272500</v>
      </c>
      <c r="L14" s="17">
        <v>366500</v>
      </c>
      <c r="M14" s="17">
        <v>262400</v>
      </c>
      <c r="N14" s="17">
        <v>337819</v>
      </c>
      <c r="P14" s="20">
        <f t="shared" si="3"/>
        <v>269975</v>
      </c>
      <c r="Q14" s="21">
        <f t="shared" si="4"/>
        <v>305159.5</v>
      </c>
      <c r="R14" s="22">
        <f t="shared" si="5"/>
        <v>344989.25</v>
      </c>
      <c r="S14" s="45">
        <f>+M14-L14</f>
        <v>-104100</v>
      </c>
      <c r="T14" s="23">
        <f t="shared" si="6"/>
        <v>75014.25</v>
      </c>
      <c r="U14" s="24">
        <f t="shared" si="7"/>
        <v>157453.625</v>
      </c>
      <c r="V14" s="25">
        <f t="shared" si="8"/>
        <v>457510.625</v>
      </c>
      <c r="W14" s="46" t="str">
        <f t="shared" si="9"/>
        <v>NO ATIPICO</v>
      </c>
      <c r="X14" s="46" t="str">
        <f t="shared" si="10"/>
        <v>NO ATIPICO</v>
      </c>
      <c r="Y14" s="46" t="str">
        <f t="shared" si="11"/>
        <v>NO ATIPICO</v>
      </c>
      <c r="Z14" s="46" t="str">
        <f t="shared" si="12"/>
        <v>NO ATIPICO</v>
      </c>
    </row>
    <row r="15" spans="2:26" ht="29.25" customHeight="1" x14ac:dyDescent="0.2">
      <c r="B15" s="48">
        <v>4</v>
      </c>
      <c r="C15" s="16" t="s">
        <v>66</v>
      </c>
      <c r="D15" s="48">
        <v>63</v>
      </c>
      <c r="E15" s="17">
        <f>+E14*$D$15</f>
        <v>16531200</v>
      </c>
      <c r="F15" s="17">
        <f t="shared" ref="F15:G15" si="21">+F14*$D$15</f>
        <v>23089500</v>
      </c>
      <c r="G15" s="17">
        <f t="shared" si="21"/>
        <v>17167500</v>
      </c>
      <c r="H15" s="17">
        <f t="shared" ref="H15" si="22">+H14*$D$15</f>
        <v>16868691</v>
      </c>
      <c r="I15" s="44">
        <f t="shared" si="0"/>
        <v>18414222.75</v>
      </c>
      <c r="J15" s="18"/>
      <c r="K15" s="17">
        <f t="shared" ref="K15" si="23">+K14*$D$15</f>
        <v>17167500</v>
      </c>
      <c r="L15" s="17">
        <f>+L14*$D$15</f>
        <v>23089500</v>
      </c>
      <c r="M15" s="17">
        <f>+M14*$D$15</f>
        <v>16531200</v>
      </c>
      <c r="N15" s="17">
        <f t="shared" ref="N15" si="24">+N14*$D$15</f>
        <v>21282597</v>
      </c>
      <c r="P15" s="20">
        <f t="shared" si="3"/>
        <v>17008425</v>
      </c>
      <c r="Q15" s="21">
        <f t="shared" si="4"/>
        <v>19225048.5</v>
      </c>
      <c r="R15" s="22">
        <f t="shared" si="5"/>
        <v>21734322.75</v>
      </c>
      <c r="S15" s="45">
        <f>+M15-L15</f>
        <v>-6558300</v>
      </c>
      <c r="T15" s="23">
        <f t="shared" si="6"/>
        <v>4725897.75</v>
      </c>
      <c r="U15" s="24">
        <f t="shared" si="7"/>
        <v>9919578.375</v>
      </c>
      <c r="V15" s="25">
        <f t="shared" si="8"/>
        <v>28823169.375</v>
      </c>
      <c r="W15" s="46" t="str">
        <f t="shared" si="9"/>
        <v>NO ATIPICO</v>
      </c>
      <c r="X15" s="46" t="str">
        <f t="shared" si="10"/>
        <v>NO ATIPICO</v>
      </c>
      <c r="Y15" s="46" t="str">
        <f t="shared" si="11"/>
        <v>NO ATIPICO</v>
      </c>
      <c r="Z15" s="46" t="str">
        <f t="shared" si="12"/>
        <v>NO ATIPICO</v>
      </c>
    </row>
    <row r="16" spans="2:26" ht="29.25" customHeight="1" x14ac:dyDescent="0.2">
      <c r="B16" s="48">
        <v>5</v>
      </c>
      <c r="C16" s="16" t="s">
        <v>67</v>
      </c>
      <c r="D16" s="48">
        <v>1</v>
      </c>
      <c r="E16" s="17">
        <v>405500</v>
      </c>
      <c r="F16" s="17">
        <v>327000</v>
      </c>
      <c r="G16" s="17">
        <v>440000</v>
      </c>
      <c r="H16" s="17">
        <v>68788</v>
      </c>
      <c r="I16" s="44">
        <f t="shared" si="0"/>
        <v>310322</v>
      </c>
      <c r="J16" s="18"/>
      <c r="K16" s="17">
        <v>440000</v>
      </c>
      <c r="L16" s="17">
        <v>327000</v>
      </c>
      <c r="M16" s="17">
        <v>405500</v>
      </c>
      <c r="N16" s="17">
        <v>68788</v>
      </c>
      <c r="P16" s="20">
        <f t="shared" si="3"/>
        <v>262447</v>
      </c>
      <c r="Q16" s="21">
        <f t="shared" si="4"/>
        <v>366250</v>
      </c>
      <c r="R16" s="22">
        <f t="shared" si="5"/>
        <v>414125</v>
      </c>
      <c r="S16" s="45">
        <f>+K16-N16</f>
        <v>371212</v>
      </c>
      <c r="T16" s="23">
        <f t="shared" si="6"/>
        <v>151678</v>
      </c>
      <c r="U16" s="24">
        <f t="shared" si="7"/>
        <v>34930</v>
      </c>
      <c r="V16" s="25">
        <f t="shared" si="8"/>
        <v>641642</v>
      </c>
      <c r="W16" s="46" t="str">
        <f t="shared" si="9"/>
        <v>NO ATIPICO</v>
      </c>
      <c r="X16" s="46" t="str">
        <f t="shared" si="10"/>
        <v>NO ATIPICO</v>
      </c>
      <c r="Y16" s="46" t="str">
        <f t="shared" si="11"/>
        <v>NO ATIPICO</v>
      </c>
      <c r="Z16" s="46" t="str">
        <f t="shared" si="12"/>
        <v>NO ATIPICO</v>
      </c>
    </row>
    <row r="17" spans="2:26" ht="29.25" customHeight="1" x14ac:dyDescent="0.2">
      <c r="B17" s="48">
        <v>5</v>
      </c>
      <c r="C17" s="16" t="s">
        <v>67</v>
      </c>
      <c r="D17" s="48">
        <v>7</v>
      </c>
      <c r="E17" s="17">
        <f>+E16*$D$17</f>
        <v>2838500</v>
      </c>
      <c r="F17" s="17">
        <f t="shared" ref="F17:G17" si="25">+F16*$D$17</f>
        <v>2289000</v>
      </c>
      <c r="G17" s="17">
        <f t="shared" si="25"/>
        <v>3080000</v>
      </c>
      <c r="H17" s="17">
        <f t="shared" ref="H17" si="26">+H16*$D$17</f>
        <v>481516</v>
      </c>
      <c r="I17" s="44">
        <f t="shared" si="0"/>
        <v>2172254</v>
      </c>
      <c r="J17" s="18"/>
      <c r="K17" s="17">
        <f t="shared" ref="K17" si="27">+K16*$D$17</f>
        <v>3080000</v>
      </c>
      <c r="L17" s="17">
        <f>+L16*$D$17</f>
        <v>2289000</v>
      </c>
      <c r="M17" s="17">
        <f>+M16*$D$17</f>
        <v>2838500</v>
      </c>
      <c r="N17" s="17">
        <f t="shared" ref="N17" si="28">+N16*$D$17</f>
        <v>481516</v>
      </c>
      <c r="P17" s="20">
        <f t="shared" si="3"/>
        <v>1837129</v>
      </c>
      <c r="Q17" s="21">
        <f t="shared" si="4"/>
        <v>2563750</v>
      </c>
      <c r="R17" s="22">
        <f t="shared" si="5"/>
        <v>2898875</v>
      </c>
      <c r="S17" s="45">
        <f>+K17-N17</f>
        <v>2598484</v>
      </c>
      <c r="T17" s="23">
        <f t="shared" si="6"/>
        <v>1061746</v>
      </c>
      <c r="U17" s="24">
        <f t="shared" si="7"/>
        <v>244510</v>
      </c>
      <c r="V17" s="25">
        <f t="shared" si="8"/>
        <v>4491494</v>
      </c>
      <c r="W17" s="46" t="str">
        <f t="shared" si="9"/>
        <v>NO ATIPICO</v>
      </c>
      <c r="X17" s="46" t="str">
        <f t="shared" si="10"/>
        <v>NO ATIPICO</v>
      </c>
      <c r="Y17" s="46" t="str">
        <f t="shared" si="11"/>
        <v>NO ATIPICO</v>
      </c>
      <c r="Z17" s="46" t="str">
        <f t="shared" si="12"/>
        <v>NO ATIPICO</v>
      </c>
    </row>
    <row r="18" spans="2:26" ht="29.25" customHeight="1" x14ac:dyDescent="0.2">
      <c r="B18" s="48">
        <v>6</v>
      </c>
      <c r="C18" s="16" t="s">
        <v>68</v>
      </c>
      <c r="D18" s="48">
        <v>1</v>
      </c>
      <c r="E18" s="17"/>
      <c r="F18" s="17">
        <v>35</v>
      </c>
      <c r="G18" s="17"/>
      <c r="H18" s="17">
        <v>18</v>
      </c>
      <c r="I18" s="44">
        <f t="shared" si="0"/>
        <v>26.5</v>
      </c>
      <c r="J18" s="18"/>
      <c r="K18" s="17"/>
      <c r="L18" s="17">
        <v>35</v>
      </c>
      <c r="M18" s="17"/>
      <c r="N18" s="17">
        <v>18</v>
      </c>
      <c r="P18" s="20">
        <f t="shared" si="3"/>
        <v>22.25</v>
      </c>
      <c r="Q18" s="21">
        <f t="shared" si="4"/>
        <v>26.5</v>
      </c>
      <c r="R18" s="22">
        <f t="shared" si="5"/>
        <v>30.75</v>
      </c>
      <c r="S18" s="45">
        <f>+L18-N18</f>
        <v>17</v>
      </c>
      <c r="T18" s="23">
        <f t="shared" si="6"/>
        <v>8.5</v>
      </c>
      <c r="U18" s="24">
        <f t="shared" si="7"/>
        <v>9.5</v>
      </c>
      <c r="V18" s="25">
        <f t="shared" si="8"/>
        <v>43.5</v>
      </c>
      <c r="W18" s="46" t="str">
        <f>IF(AND(K18&gt;=U18,K18&lt;=V18),"NO ATIPICO","ATIPICO")</f>
        <v>ATIPICO</v>
      </c>
      <c r="X18" s="46" t="str">
        <f t="shared" si="10"/>
        <v>NO ATIPICO</v>
      </c>
      <c r="Y18" s="46" t="str">
        <f t="shared" si="11"/>
        <v>ATIPICO</v>
      </c>
      <c r="Z18" s="46" t="str">
        <f t="shared" si="12"/>
        <v>NO ATIPICO</v>
      </c>
    </row>
    <row r="19" spans="2:26" ht="29.25" customHeight="1" x14ac:dyDescent="0.2">
      <c r="B19" s="48">
        <v>6</v>
      </c>
      <c r="C19" s="16" t="s">
        <v>68</v>
      </c>
      <c r="D19" s="48">
        <v>9531</v>
      </c>
      <c r="E19" s="17">
        <f>+E18*$D$19</f>
        <v>0</v>
      </c>
      <c r="F19" s="17">
        <f>+F18*$D$19</f>
        <v>333585</v>
      </c>
      <c r="G19" s="17">
        <f t="shared" ref="G19" si="29">+G18*$D$19</f>
        <v>0</v>
      </c>
      <c r="H19" s="17">
        <f>+H18*$D$19</f>
        <v>171558</v>
      </c>
      <c r="I19" s="44">
        <f t="shared" si="0"/>
        <v>126285.75</v>
      </c>
      <c r="J19" s="18"/>
      <c r="K19" s="17">
        <f t="shared" ref="K19" si="30">+K18*$D$19</f>
        <v>0</v>
      </c>
      <c r="L19" s="17">
        <f>+L18*$D$19</f>
        <v>333585</v>
      </c>
      <c r="M19" s="17">
        <f>+M18*$D$19</f>
        <v>0</v>
      </c>
      <c r="N19" s="17">
        <f t="shared" ref="N19" si="31">+N18*$D$19</f>
        <v>171558</v>
      </c>
      <c r="P19" s="20">
        <f>QUARTILE(K19:N19,1)</f>
        <v>0</v>
      </c>
      <c r="Q19" s="21">
        <f>QUARTILE(K19:N19,2)</f>
        <v>85779</v>
      </c>
      <c r="R19" s="22">
        <f>QUARTILE(K19:N19,3)</f>
        <v>212064.75</v>
      </c>
      <c r="S19" s="45">
        <f>+L19-N19</f>
        <v>162027</v>
      </c>
      <c r="T19" s="23">
        <f t="shared" si="6"/>
        <v>212064.75</v>
      </c>
      <c r="U19" s="24">
        <f t="shared" si="7"/>
        <v>-318097.125</v>
      </c>
      <c r="V19" s="25">
        <f t="shared" si="8"/>
        <v>530161.875</v>
      </c>
      <c r="W19" s="46" t="str">
        <f t="shared" si="9"/>
        <v>NO ATIPICO</v>
      </c>
      <c r="X19" s="46" t="str">
        <f t="shared" si="10"/>
        <v>NO ATIPICO</v>
      </c>
      <c r="Y19" s="46" t="str">
        <f t="shared" si="11"/>
        <v>NO ATIPICO</v>
      </c>
      <c r="Z19" s="46" t="str">
        <f t="shared" si="12"/>
        <v>NO ATIPICO</v>
      </c>
    </row>
    <row r="20" spans="2:26" ht="29.25" customHeight="1" x14ac:dyDescent="0.2">
      <c r="B20" s="48">
        <v>7</v>
      </c>
      <c r="C20" s="16" t="s">
        <v>69</v>
      </c>
      <c r="D20" s="48">
        <v>1</v>
      </c>
      <c r="E20" s="17">
        <v>265500</v>
      </c>
      <c r="F20" s="17">
        <v>261000</v>
      </c>
      <c r="G20" s="17">
        <v>310000</v>
      </c>
      <c r="H20" s="17">
        <v>162590</v>
      </c>
      <c r="I20" s="44">
        <f t="shared" si="0"/>
        <v>249772.5</v>
      </c>
      <c r="J20" s="18"/>
      <c r="K20" s="17">
        <v>310000</v>
      </c>
      <c r="L20" s="17">
        <v>261000</v>
      </c>
      <c r="M20" s="17">
        <v>265500</v>
      </c>
      <c r="N20" s="17">
        <v>162590</v>
      </c>
      <c r="P20" s="20">
        <f t="shared" si="3"/>
        <v>236397.5</v>
      </c>
      <c r="Q20" s="21">
        <f t="shared" si="4"/>
        <v>263250</v>
      </c>
      <c r="R20" s="22">
        <f t="shared" si="5"/>
        <v>276625</v>
      </c>
      <c r="S20" s="45">
        <f>+K20-N20</f>
        <v>147410</v>
      </c>
      <c r="T20" s="23">
        <f t="shared" si="6"/>
        <v>40227.5</v>
      </c>
      <c r="U20" s="24">
        <f t="shared" si="7"/>
        <v>176056.25</v>
      </c>
      <c r="V20" s="25">
        <f t="shared" si="8"/>
        <v>336966.25</v>
      </c>
      <c r="W20" s="46" t="str">
        <f t="shared" si="9"/>
        <v>NO ATIPICO</v>
      </c>
      <c r="X20" s="46" t="str">
        <f t="shared" si="10"/>
        <v>NO ATIPICO</v>
      </c>
      <c r="Y20" s="46" t="str">
        <f t="shared" si="11"/>
        <v>NO ATIPICO</v>
      </c>
      <c r="Z20" s="46" t="str">
        <f t="shared" si="12"/>
        <v>ATIPICO</v>
      </c>
    </row>
    <row r="21" spans="2:26" ht="29.25" customHeight="1" x14ac:dyDescent="0.2">
      <c r="B21" s="48">
        <v>7</v>
      </c>
      <c r="C21" s="16" t="s">
        <v>69</v>
      </c>
      <c r="D21" s="48">
        <v>11</v>
      </c>
      <c r="E21" s="17">
        <f>+E20*$D$21</f>
        <v>2920500</v>
      </c>
      <c r="F21" s="17">
        <f t="shared" ref="F21:G21" si="32">+F20*$D$21</f>
        <v>2871000</v>
      </c>
      <c r="G21" s="17">
        <f t="shared" si="32"/>
        <v>3410000</v>
      </c>
      <c r="H21" s="17">
        <f t="shared" ref="H21" si="33">+H20*$D$21</f>
        <v>1788490</v>
      </c>
      <c r="I21" s="44">
        <f t="shared" si="0"/>
        <v>2747497.5</v>
      </c>
      <c r="J21" s="18"/>
      <c r="K21" s="17">
        <f t="shared" ref="K21" si="34">+K20*$D$21</f>
        <v>3410000</v>
      </c>
      <c r="L21" s="17">
        <f>+L20*$D$21</f>
        <v>2871000</v>
      </c>
      <c r="M21" s="17">
        <f>+M20*$D$21</f>
        <v>2920500</v>
      </c>
      <c r="N21" s="17">
        <f t="shared" ref="N21" si="35">+N20*$D$21</f>
        <v>1788490</v>
      </c>
      <c r="P21" s="20">
        <f t="shared" si="3"/>
        <v>2600372.5</v>
      </c>
      <c r="Q21" s="21">
        <f t="shared" si="4"/>
        <v>2895750</v>
      </c>
      <c r="R21" s="22">
        <f t="shared" si="5"/>
        <v>3042875</v>
      </c>
      <c r="S21" s="45">
        <f>+K21-N21</f>
        <v>1621510</v>
      </c>
      <c r="T21" s="23">
        <f t="shared" si="6"/>
        <v>442502.5</v>
      </c>
      <c r="U21" s="24">
        <f t="shared" si="7"/>
        <v>1936618.75</v>
      </c>
      <c r="V21" s="25">
        <f t="shared" si="8"/>
        <v>3706628.75</v>
      </c>
      <c r="W21" s="46" t="str">
        <f t="shared" si="9"/>
        <v>NO ATIPICO</v>
      </c>
      <c r="X21" s="46" t="str">
        <f t="shared" si="10"/>
        <v>NO ATIPICO</v>
      </c>
      <c r="Y21" s="46" t="str">
        <f t="shared" si="11"/>
        <v>NO ATIPICO</v>
      </c>
      <c r="Z21" s="46" t="str">
        <f t="shared" si="12"/>
        <v>ATIPICO</v>
      </c>
    </row>
    <row r="22" spans="2:26" ht="29.25" customHeight="1" x14ac:dyDescent="0.2">
      <c r="B22" s="48">
        <v>8</v>
      </c>
      <c r="C22" s="16" t="s">
        <v>70</v>
      </c>
      <c r="D22" s="48">
        <v>1</v>
      </c>
      <c r="E22" s="17">
        <v>420000</v>
      </c>
      <c r="F22" s="17">
        <v>460000</v>
      </c>
      <c r="G22" s="17">
        <v>455000</v>
      </c>
      <c r="H22" s="17"/>
      <c r="I22" s="44">
        <f>AVERAGE(E22:G22)</f>
        <v>445000</v>
      </c>
      <c r="J22" s="18"/>
      <c r="K22" s="17">
        <v>455000</v>
      </c>
      <c r="L22" s="17">
        <v>460000</v>
      </c>
      <c r="M22" s="17">
        <v>420000</v>
      </c>
      <c r="N22" s="17"/>
      <c r="P22" s="20">
        <f t="shared" si="3"/>
        <v>437500</v>
      </c>
      <c r="Q22" s="21">
        <f t="shared" si="4"/>
        <v>455000</v>
      </c>
      <c r="R22" s="22">
        <f t="shared" si="5"/>
        <v>457500</v>
      </c>
      <c r="S22" s="45">
        <f>+M22-L22</f>
        <v>-40000</v>
      </c>
      <c r="T22" s="23">
        <f t="shared" si="6"/>
        <v>20000</v>
      </c>
      <c r="U22" s="24">
        <f t="shared" si="7"/>
        <v>407500</v>
      </c>
      <c r="V22" s="25">
        <f t="shared" si="8"/>
        <v>487500</v>
      </c>
      <c r="W22" s="46" t="str">
        <f t="shared" si="9"/>
        <v>NO ATIPICO</v>
      </c>
      <c r="X22" s="46" t="str">
        <f t="shared" si="10"/>
        <v>NO ATIPICO</v>
      </c>
      <c r="Y22" s="46" t="str">
        <f t="shared" si="11"/>
        <v>NO ATIPICO</v>
      </c>
      <c r="Z22" s="46" t="str">
        <f t="shared" si="12"/>
        <v>ATIPICO</v>
      </c>
    </row>
    <row r="23" spans="2:26" ht="29.25" customHeight="1" x14ac:dyDescent="0.2">
      <c r="B23" s="48">
        <v>8</v>
      </c>
      <c r="C23" s="16" t="s">
        <v>70</v>
      </c>
      <c r="D23" s="48">
        <v>20</v>
      </c>
      <c r="E23" s="17">
        <f>+E22*$D$23</f>
        <v>8400000</v>
      </c>
      <c r="F23" s="17">
        <f t="shared" ref="F23:G23" si="36">+F22*$D$23</f>
        <v>9200000</v>
      </c>
      <c r="G23" s="17">
        <f t="shared" si="36"/>
        <v>9100000</v>
      </c>
      <c r="H23" s="17"/>
      <c r="I23" s="44">
        <f>AVERAGE(E23:G23)</f>
        <v>8900000</v>
      </c>
      <c r="J23" s="18"/>
      <c r="K23" s="17">
        <f t="shared" ref="K23" si="37">+K22*$D$23</f>
        <v>9100000</v>
      </c>
      <c r="L23" s="17">
        <f>+L22*$D$23</f>
        <v>9200000</v>
      </c>
      <c r="M23" s="17">
        <f>+M22*$D$23</f>
        <v>8400000</v>
      </c>
      <c r="N23" s="17"/>
      <c r="P23" s="20">
        <f t="shared" si="3"/>
        <v>8750000</v>
      </c>
      <c r="Q23" s="21">
        <f t="shared" si="4"/>
        <v>9100000</v>
      </c>
      <c r="R23" s="22">
        <f t="shared" si="5"/>
        <v>9150000</v>
      </c>
      <c r="S23" s="45">
        <f>+M23-L23</f>
        <v>-800000</v>
      </c>
      <c r="T23" s="23">
        <f t="shared" si="6"/>
        <v>400000</v>
      </c>
      <c r="U23" s="24">
        <f t="shared" si="7"/>
        <v>8150000</v>
      </c>
      <c r="V23" s="25">
        <f t="shared" si="8"/>
        <v>9750000</v>
      </c>
      <c r="W23" s="46" t="str">
        <f t="shared" si="9"/>
        <v>NO ATIPICO</v>
      </c>
      <c r="X23" s="46" t="str">
        <f t="shared" si="10"/>
        <v>NO ATIPICO</v>
      </c>
      <c r="Y23" s="46" t="str">
        <f t="shared" si="11"/>
        <v>NO ATIPICO</v>
      </c>
      <c r="Z23" s="46" t="str">
        <f t="shared" si="12"/>
        <v>ATIPICO</v>
      </c>
    </row>
    <row r="24" spans="2:26" ht="29.25" customHeight="1" x14ac:dyDescent="0.2">
      <c r="B24" s="48">
        <v>9</v>
      </c>
      <c r="C24" s="16" t="s">
        <v>71</v>
      </c>
      <c r="D24" s="50">
        <v>1</v>
      </c>
      <c r="E24" s="17">
        <v>1320000</v>
      </c>
      <c r="F24" s="17">
        <v>532500</v>
      </c>
      <c r="G24" s="17">
        <v>1300000</v>
      </c>
      <c r="H24" s="17"/>
      <c r="I24" s="44">
        <f>AVERAGE(E24:G24)</f>
        <v>1050833.3333333333</v>
      </c>
      <c r="J24" s="26"/>
      <c r="K24" s="17">
        <v>1300000</v>
      </c>
      <c r="L24" s="17">
        <v>532500</v>
      </c>
      <c r="M24" s="17">
        <v>1320000</v>
      </c>
      <c r="N24" s="17"/>
      <c r="P24" s="20">
        <f t="shared" si="3"/>
        <v>916250</v>
      </c>
      <c r="Q24" s="21">
        <f t="shared" si="4"/>
        <v>1300000</v>
      </c>
      <c r="R24" s="22">
        <f t="shared" si="5"/>
        <v>1310000</v>
      </c>
      <c r="S24" s="45">
        <f>+L24-M24</f>
        <v>-787500</v>
      </c>
      <c r="T24" s="23">
        <f t="shared" si="6"/>
        <v>393750</v>
      </c>
      <c r="U24" s="24">
        <f t="shared" si="7"/>
        <v>325625</v>
      </c>
      <c r="V24" s="25">
        <f t="shared" si="8"/>
        <v>1900625</v>
      </c>
      <c r="W24" s="46" t="str">
        <f t="shared" si="9"/>
        <v>NO ATIPICO</v>
      </c>
      <c r="X24" s="46" t="str">
        <f t="shared" si="10"/>
        <v>NO ATIPICO</v>
      </c>
      <c r="Y24" s="46" t="str">
        <f t="shared" si="11"/>
        <v>NO ATIPICO</v>
      </c>
      <c r="Z24" s="46" t="str">
        <f t="shared" si="12"/>
        <v>ATIPICO</v>
      </c>
    </row>
    <row r="25" spans="2:26" ht="29.25" customHeight="1" x14ac:dyDescent="0.2">
      <c r="B25" s="48">
        <v>9</v>
      </c>
      <c r="C25" s="16" t="s">
        <v>71</v>
      </c>
      <c r="D25" s="50">
        <v>3</v>
      </c>
      <c r="E25" s="17">
        <f>+E24*$D$25</f>
        <v>3960000</v>
      </c>
      <c r="F25" s="17">
        <f t="shared" ref="F25:G25" si="38">+F24*$D$25</f>
        <v>1597500</v>
      </c>
      <c r="G25" s="17">
        <f t="shared" si="38"/>
        <v>3900000</v>
      </c>
      <c r="H25" s="17"/>
      <c r="I25" s="44">
        <f>AVERAGE(E25:G25)</f>
        <v>3152500</v>
      </c>
      <c r="J25" s="26"/>
      <c r="K25" s="17">
        <f t="shared" ref="K25" si="39">+K24*$D$25</f>
        <v>3900000</v>
      </c>
      <c r="L25" s="17">
        <f>+L24*$D$25</f>
        <v>1597500</v>
      </c>
      <c r="M25" s="17">
        <f>+M24*$D$25</f>
        <v>3960000</v>
      </c>
      <c r="N25" s="17"/>
      <c r="P25" s="20">
        <f t="shared" si="3"/>
        <v>2748750</v>
      </c>
      <c r="Q25" s="21">
        <f t="shared" si="4"/>
        <v>3900000</v>
      </c>
      <c r="R25" s="22">
        <f t="shared" si="5"/>
        <v>3930000</v>
      </c>
      <c r="S25" s="45">
        <f>+L25-M25</f>
        <v>-2362500</v>
      </c>
      <c r="T25" s="23">
        <f t="shared" si="6"/>
        <v>1181250</v>
      </c>
      <c r="U25" s="24">
        <f t="shared" si="7"/>
        <v>976875</v>
      </c>
      <c r="V25" s="25">
        <f t="shared" si="8"/>
        <v>5701875</v>
      </c>
      <c r="W25" s="46" t="str">
        <f t="shared" si="9"/>
        <v>NO ATIPICO</v>
      </c>
      <c r="X25" s="46" t="str">
        <f t="shared" si="10"/>
        <v>NO ATIPICO</v>
      </c>
      <c r="Y25" s="46" t="str">
        <f t="shared" si="11"/>
        <v>NO ATIPICO</v>
      </c>
      <c r="Z25" s="46" t="str">
        <f t="shared" si="12"/>
        <v>ATIPICO</v>
      </c>
    </row>
    <row r="26" spans="2:26" x14ac:dyDescent="0.2">
      <c r="E26" s="52">
        <f>+E9+E11+E13+E15+E17+E19+E21+E23+E25</f>
        <v>89751800</v>
      </c>
      <c r="F26" s="52">
        <f>+F9+F11+F13+F15+F17+F19+F21+F23+F25</f>
        <v>89958585</v>
      </c>
      <c r="G26" s="52">
        <f>+G9+G11+G13+G15+G17+G19+G21+G23+G25</f>
        <v>91929500</v>
      </c>
      <c r="H26" s="52">
        <f>+H9+H11+H13+H15+H17+H19+H21+H23+H25</f>
        <v>46124255</v>
      </c>
      <c r="I26" s="52">
        <f>+I9+I11+I13+I15+I17+I19+I21+I23+I25</f>
        <v>82454160</v>
      </c>
      <c r="K26" s="52">
        <f>+K9+K11+K13+K15+K17+K19+K21+K23+K25</f>
        <v>91929500</v>
      </c>
      <c r="L26" s="52">
        <f>+L9+L11+L13+L15+L17+L19+L21+L23+L25</f>
        <v>89958585</v>
      </c>
      <c r="M26" s="52">
        <f>+M9+M11+M13+M15+M17+M19+M21+M23+M25</f>
        <v>89751800</v>
      </c>
      <c r="N26" s="52">
        <f>+N9+N11+N13+N15+N17+N19+N21+N23+N25</f>
        <v>50458627</v>
      </c>
    </row>
    <row r="27" spans="2:26" x14ac:dyDescent="0.2">
      <c r="I27" s="51"/>
    </row>
    <row r="33" spans="2:26" x14ac:dyDescent="0.2">
      <c r="B33" s="94" t="s">
        <v>72</v>
      </c>
      <c r="C33" s="94"/>
      <c r="D33" s="94"/>
      <c r="E33" s="94"/>
      <c r="F33" s="94"/>
      <c r="G33" s="94"/>
      <c r="H33" s="94"/>
      <c r="I33" s="94"/>
      <c r="J33" s="94"/>
      <c r="K33" s="94"/>
      <c r="L33" s="94"/>
      <c r="M33" s="94"/>
      <c r="N33" s="94"/>
      <c r="O33" s="94"/>
      <c r="P33" s="94"/>
      <c r="Q33" s="94"/>
      <c r="R33" s="94"/>
      <c r="S33" s="94"/>
      <c r="T33" s="94"/>
      <c r="U33" s="94"/>
      <c r="V33" s="94"/>
      <c r="W33" s="94"/>
      <c r="X33" s="94"/>
      <c r="Y33" s="94"/>
      <c r="Z33" s="94"/>
    </row>
    <row r="36" spans="2:26" x14ac:dyDescent="0.2">
      <c r="E36" s="6" t="s">
        <v>50</v>
      </c>
    </row>
    <row r="37" spans="2:26" ht="36.75" customHeight="1" x14ac:dyDescent="0.2">
      <c r="B37" s="8" t="s">
        <v>53</v>
      </c>
      <c r="C37" s="8" t="s">
        <v>23</v>
      </c>
      <c r="D37" s="8" t="s">
        <v>25</v>
      </c>
      <c r="E37" s="1" t="s">
        <v>1</v>
      </c>
      <c r="F37" s="43" t="s">
        <v>2</v>
      </c>
      <c r="G37" s="2" t="s">
        <v>3</v>
      </c>
      <c r="H37" s="54" t="s">
        <v>55</v>
      </c>
      <c r="J37" s="1" t="s">
        <v>1</v>
      </c>
      <c r="K37" s="2" t="s">
        <v>3</v>
      </c>
      <c r="L37" s="43" t="s">
        <v>2</v>
      </c>
      <c r="M37" s="10"/>
      <c r="N37" s="11" t="s">
        <v>56</v>
      </c>
      <c r="O37" s="12" t="s">
        <v>57</v>
      </c>
      <c r="P37" s="13" t="s">
        <v>58</v>
      </c>
      <c r="Q37" s="14" t="s">
        <v>59</v>
      </c>
      <c r="R37" s="14" t="s">
        <v>60</v>
      </c>
      <c r="S37" s="15" t="s">
        <v>61</v>
      </c>
      <c r="T37" s="15" t="s">
        <v>62</v>
      </c>
      <c r="U37" s="1" t="s">
        <v>1</v>
      </c>
      <c r="V37" s="2" t="s">
        <v>3</v>
      </c>
      <c r="W37" s="43" t="s">
        <v>2</v>
      </c>
    </row>
    <row r="38" spans="2:26" ht="29.25" customHeight="1" x14ac:dyDescent="0.2">
      <c r="B38" s="48">
        <v>1</v>
      </c>
      <c r="C38" s="16" t="s">
        <v>63</v>
      </c>
      <c r="D38" s="48">
        <v>1</v>
      </c>
      <c r="E38" s="17">
        <v>7690000</v>
      </c>
      <c r="F38" s="17">
        <v>5370000</v>
      </c>
      <c r="G38" s="17">
        <v>5955000</v>
      </c>
      <c r="H38" s="44">
        <f t="shared" ref="H38:H50" si="40">AVERAGE(E38:G38)</f>
        <v>6338333.333333333</v>
      </c>
      <c r="J38" s="17">
        <v>7690000</v>
      </c>
      <c r="K38" s="17">
        <v>5955000</v>
      </c>
      <c r="L38" s="17">
        <v>5370000</v>
      </c>
      <c r="M38" s="19"/>
      <c r="N38" s="20">
        <f>QUARTILE(J38:L38,1)</f>
        <v>5662500</v>
      </c>
      <c r="O38" s="21">
        <f>QUARTILE(J38:L38,2)</f>
        <v>5955000</v>
      </c>
      <c r="P38" s="22">
        <f>QUARTILE(J38:L38,3)</f>
        <v>6822500</v>
      </c>
      <c r="Q38" s="45">
        <f t="shared" ref="Q38:Q43" si="41">+J38-L38</f>
        <v>2320000</v>
      </c>
      <c r="R38" s="23">
        <f>P38-N38</f>
        <v>1160000</v>
      </c>
      <c r="S38" s="24">
        <f t="shared" ref="S38:S53" si="42">N38-(R38*1.5)</f>
        <v>3922500</v>
      </c>
      <c r="T38" s="25">
        <f>P38+(R38*1.5)</f>
        <v>8562500</v>
      </c>
      <c r="U38" s="46" t="str">
        <f>IF(AND(J38&gt;=S38,J38&lt;=T38),"NO ATIPICO","ATIPICO")</f>
        <v>NO ATIPICO</v>
      </c>
      <c r="V38" s="46" t="str">
        <f>IF(AND(K38&gt;=S38,K38&lt;=T38),"NO ATIPICO","ATIPICO")</f>
        <v>NO ATIPICO</v>
      </c>
      <c r="W38" s="46" t="str">
        <f>IF(AND(L38&gt;=S38,L38&lt;=T38),"NO ATIPICO","ATIPICO")</f>
        <v>NO ATIPICO</v>
      </c>
    </row>
    <row r="39" spans="2:26" ht="29.25" customHeight="1" x14ac:dyDescent="0.2">
      <c r="B39" s="48">
        <v>1</v>
      </c>
      <c r="C39" s="16" t="s">
        <v>63</v>
      </c>
      <c r="D39" s="48">
        <v>26</v>
      </c>
      <c r="E39" s="17">
        <f>+E38*$D$9</f>
        <v>199940000</v>
      </c>
      <c r="F39" s="17">
        <f t="shared" ref="F39" si="43">+F38*$D$9</f>
        <v>139620000</v>
      </c>
      <c r="G39" s="17">
        <f t="shared" ref="G39" si="44">+G38*$D$9</f>
        <v>154830000</v>
      </c>
      <c r="H39" s="44">
        <f t="shared" si="40"/>
        <v>164796666.66666666</v>
      </c>
      <c r="J39" s="17">
        <f>+J38*$D$9</f>
        <v>199940000</v>
      </c>
      <c r="K39" s="17">
        <f t="shared" ref="K39:L39" si="45">+K38*$D$9</f>
        <v>154830000</v>
      </c>
      <c r="L39" s="17">
        <f t="shared" si="45"/>
        <v>139620000</v>
      </c>
      <c r="M39" s="19"/>
      <c r="N39" s="20">
        <f t="shared" ref="N39:N53" si="46">QUARTILE(J39:L39,1)</f>
        <v>147225000</v>
      </c>
      <c r="O39" s="21">
        <f t="shared" ref="O39:O53" si="47">QUARTILE(J39:L39,2)</f>
        <v>154830000</v>
      </c>
      <c r="P39" s="22">
        <f t="shared" ref="P39:P53" si="48">QUARTILE(J39:L39,3)</f>
        <v>177385000</v>
      </c>
      <c r="Q39" s="45">
        <f t="shared" si="41"/>
        <v>60320000</v>
      </c>
      <c r="R39" s="23">
        <f t="shared" ref="R39:R53" si="49">P39-N39</f>
        <v>30160000</v>
      </c>
      <c r="S39" s="24">
        <f t="shared" si="42"/>
        <v>101985000</v>
      </c>
      <c r="T39" s="25">
        <f t="shared" ref="T39:T53" si="50">P39+(R39*1.5)</f>
        <v>222625000</v>
      </c>
      <c r="U39" s="46" t="str">
        <f t="shared" ref="U39:U53" si="51">IF(AND(J39&gt;=S39,J39&lt;=T39),"NO ATIPICO","ATIPICO")</f>
        <v>NO ATIPICO</v>
      </c>
      <c r="V39" s="46" t="str">
        <f t="shared" ref="V39:V53" si="52">IF(AND(K39&gt;=S39,K39&lt;=T39),"NO ATIPICO","ATIPICO")</f>
        <v>NO ATIPICO</v>
      </c>
      <c r="W39" s="46" t="str">
        <f t="shared" ref="W39:W53" si="53">IF(AND(L39&gt;=S39,L39&lt;=T39),"NO ATIPICO","ATIPICO")</f>
        <v>NO ATIPICO</v>
      </c>
    </row>
    <row r="40" spans="2:26" ht="29.25" customHeight="1" x14ac:dyDescent="0.2">
      <c r="B40" s="48">
        <v>2</v>
      </c>
      <c r="C40" s="16" t="s">
        <v>64</v>
      </c>
      <c r="D40" s="48">
        <v>1</v>
      </c>
      <c r="E40" s="17">
        <v>24000000</v>
      </c>
      <c r="F40" s="17">
        <v>16565000</v>
      </c>
      <c r="G40" s="17">
        <v>20605000</v>
      </c>
      <c r="H40" s="44">
        <f t="shared" si="40"/>
        <v>20390000</v>
      </c>
      <c r="J40" s="17">
        <v>24000000</v>
      </c>
      <c r="K40" s="17">
        <v>20605000</v>
      </c>
      <c r="L40" s="17">
        <v>16565000</v>
      </c>
      <c r="M40" s="19"/>
      <c r="N40" s="20">
        <f t="shared" si="46"/>
        <v>18585000</v>
      </c>
      <c r="O40" s="21">
        <f t="shared" si="47"/>
        <v>20605000</v>
      </c>
      <c r="P40" s="22">
        <f t="shared" si="48"/>
        <v>22302500</v>
      </c>
      <c r="Q40" s="45">
        <f t="shared" si="41"/>
        <v>7435000</v>
      </c>
      <c r="R40" s="23">
        <f t="shared" si="49"/>
        <v>3717500</v>
      </c>
      <c r="S40" s="24">
        <f t="shared" si="42"/>
        <v>13008750</v>
      </c>
      <c r="T40" s="25">
        <f t="shared" si="50"/>
        <v>27878750</v>
      </c>
      <c r="U40" s="46" t="str">
        <f t="shared" si="51"/>
        <v>NO ATIPICO</v>
      </c>
      <c r="V40" s="46" t="str">
        <f t="shared" si="52"/>
        <v>NO ATIPICO</v>
      </c>
      <c r="W40" s="46" t="str">
        <f t="shared" si="53"/>
        <v>NO ATIPICO</v>
      </c>
    </row>
    <row r="41" spans="2:26" ht="29.25" customHeight="1" x14ac:dyDescent="0.2">
      <c r="B41" s="48">
        <v>2</v>
      </c>
      <c r="C41" s="16" t="s">
        <v>64</v>
      </c>
      <c r="D41" s="48">
        <v>2</v>
      </c>
      <c r="E41" s="17">
        <f t="shared" ref="E41" si="54">+E40*$D$11</f>
        <v>48000000</v>
      </c>
      <c r="F41" s="17">
        <f t="shared" ref="F41" si="55">+F40*$D$11</f>
        <v>33130000</v>
      </c>
      <c r="G41" s="17">
        <f t="shared" ref="G41" si="56">+G40*$D$11</f>
        <v>41210000</v>
      </c>
      <c r="H41" s="44">
        <f t="shared" si="40"/>
        <v>40780000</v>
      </c>
      <c r="J41" s="17">
        <f t="shared" ref="J41:L41" si="57">+J40*$D$11</f>
        <v>48000000</v>
      </c>
      <c r="K41" s="17">
        <f t="shared" si="57"/>
        <v>41210000</v>
      </c>
      <c r="L41" s="17">
        <f t="shared" si="57"/>
        <v>33130000</v>
      </c>
      <c r="M41" s="19"/>
      <c r="N41" s="20">
        <f t="shared" si="46"/>
        <v>37170000</v>
      </c>
      <c r="O41" s="21">
        <f t="shared" si="47"/>
        <v>41210000</v>
      </c>
      <c r="P41" s="22">
        <f t="shared" si="48"/>
        <v>44605000</v>
      </c>
      <c r="Q41" s="45">
        <f t="shared" si="41"/>
        <v>14870000</v>
      </c>
      <c r="R41" s="23">
        <f t="shared" si="49"/>
        <v>7435000</v>
      </c>
      <c r="S41" s="24">
        <f t="shared" si="42"/>
        <v>26017500</v>
      </c>
      <c r="T41" s="25">
        <f t="shared" si="50"/>
        <v>55757500</v>
      </c>
      <c r="U41" s="46" t="str">
        <f t="shared" si="51"/>
        <v>NO ATIPICO</v>
      </c>
      <c r="V41" s="46" t="str">
        <f t="shared" si="52"/>
        <v>NO ATIPICO</v>
      </c>
      <c r="W41" s="46" t="str">
        <f t="shared" si="53"/>
        <v>NO ATIPICO</v>
      </c>
    </row>
    <row r="42" spans="2:26" ht="29.25" customHeight="1" x14ac:dyDescent="0.2">
      <c r="B42" s="48">
        <v>3</v>
      </c>
      <c r="C42" s="16" t="s">
        <v>65</v>
      </c>
      <c r="D42" s="48">
        <v>1</v>
      </c>
      <c r="E42" s="17">
        <v>7530000</v>
      </c>
      <c r="F42" s="17">
        <v>5570000</v>
      </c>
      <c r="G42" s="17">
        <v>6865000</v>
      </c>
      <c r="H42" s="44">
        <f t="shared" si="40"/>
        <v>6655000</v>
      </c>
      <c r="J42" s="17">
        <v>7530000</v>
      </c>
      <c r="K42" s="17">
        <v>6865000</v>
      </c>
      <c r="L42" s="17">
        <v>5570000</v>
      </c>
      <c r="M42" s="19"/>
      <c r="N42" s="20">
        <f t="shared" si="46"/>
        <v>6217500</v>
      </c>
      <c r="O42" s="21">
        <f t="shared" si="47"/>
        <v>6865000</v>
      </c>
      <c r="P42" s="22">
        <f t="shared" si="48"/>
        <v>7197500</v>
      </c>
      <c r="Q42" s="45">
        <f t="shared" si="41"/>
        <v>1960000</v>
      </c>
      <c r="R42" s="23">
        <f t="shared" si="49"/>
        <v>980000</v>
      </c>
      <c r="S42" s="24">
        <f t="shared" si="42"/>
        <v>4747500</v>
      </c>
      <c r="T42" s="25">
        <f t="shared" si="50"/>
        <v>8667500</v>
      </c>
      <c r="U42" s="46" t="str">
        <f t="shared" si="51"/>
        <v>NO ATIPICO</v>
      </c>
      <c r="V42" s="46" t="str">
        <f t="shared" si="52"/>
        <v>NO ATIPICO</v>
      </c>
      <c r="W42" s="46" t="str">
        <f t="shared" si="53"/>
        <v>NO ATIPICO</v>
      </c>
    </row>
    <row r="43" spans="2:26" ht="29.25" customHeight="1" x14ac:dyDescent="0.2">
      <c r="B43" s="48">
        <v>3</v>
      </c>
      <c r="C43" s="16" t="s">
        <v>65</v>
      </c>
      <c r="D43" s="48">
        <v>206</v>
      </c>
      <c r="E43" s="17">
        <f>+E42*$D$13</f>
        <v>1551180000</v>
      </c>
      <c r="F43" s="17">
        <f>+F42*$D$13</f>
        <v>1147420000</v>
      </c>
      <c r="G43" s="17">
        <f t="shared" ref="G43" si="58">+G42*$D$13</f>
        <v>1414190000</v>
      </c>
      <c r="H43" s="44">
        <f t="shared" si="40"/>
        <v>1370930000</v>
      </c>
      <c r="J43" s="17">
        <f>+J42*$D$13</f>
        <v>1551180000</v>
      </c>
      <c r="K43" s="17">
        <f t="shared" ref="K43" si="59">+K42*$D$13</f>
        <v>1414190000</v>
      </c>
      <c r="L43" s="17">
        <f>+L42*$D$13</f>
        <v>1147420000</v>
      </c>
      <c r="M43" s="19"/>
      <c r="N43" s="20">
        <f t="shared" si="46"/>
        <v>1280805000</v>
      </c>
      <c r="O43" s="21">
        <f t="shared" si="47"/>
        <v>1414190000</v>
      </c>
      <c r="P43" s="22">
        <f t="shared" si="48"/>
        <v>1482685000</v>
      </c>
      <c r="Q43" s="45">
        <f t="shared" si="41"/>
        <v>403760000</v>
      </c>
      <c r="R43" s="23">
        <f t="shared" si="49"/>
        <v>201880000</v>
      </c>
      <c r="S43" s="24">
        <f t="shared" si="42"/>
        <v>977985000</v>
      </c>
      <c r="T43" s="25">
        <f t="shared" si="50"/>
        <v>1785505000</v>
      </c>
      <c r="U43" s="46" t="str">
        <f t="shared" si="51"/>
        <v>NO ATIPICO</v>
      </c>
      <c r="V43" s="46" t="str">
        <f t="shared" si="52"/>
        <v>NO ATIPICO</v>
      </c>
      <c r="W43" s="46" t="str">
        <f t="shared" si="53"/>
        <v>NO ATIPICO</v>
      </c>
    </row>
    <row r="44" spans="2:26" ht="29.25" customHeight="1" x14ac:dyDescent="0.2">
      <c r="B44" s="48">
        <v>4</v>
      </c>
      <c r="C44" s="16" t="s">
        <v>66</v>
      </c>
      <c r="D44" s="48">
        <v>1</v>
      </c>
      <c r="E44" s="17">
        <v>8580000</v>
      </c>
      <c r="F44" s="17">
        <v>5970000</v>
      </c>
      <c r="G44" s="17">
        <v>6865000</v>
      </c>
      <c r="H44" s="44">
        <f t="shared" si="40"/>
        <v>7138333.333333333</v>
      </c>
      <c r="J44" s="17">
        <v>8580000</v>
      </c>
      <c r="K44" s="17">
        <v>6865000</v>
      </c>
      <c r="L44" s="17">
        <v>5970000</v>
      </c>
      <c r="M44" s="19"/>
      <c r="N44" s="20">
        <f t="shared" si="46"/>
        <v>6417500</v>
      </c>
      <c r="O44" s="21">
        <f t="shared" si="47"/>
        <v>6865000</v>
      </c>
      <c r="P44" s="22">
        <f t="shared" si="48"/>
        <v>7722500</v>
      </c>
      <c r="Q44" s="45">
        <f>++J44-L44</f>
        <v>2610000</v>
      </c>
      <c r="R44" s="23">
        <f t="shared" si="49"/>
        <v>1305000</v>
      </c>
      <c r="S44" s="24">
        <f t="shared" si="42"/>
        <v>4460000</v>
      </c>
      <c r="T44" s="25">
        <f t="shared" si="50"/>
        <v>9680000</v>
      </c>
      <c r="U44" s="46" t="str">
        <f t="shared" si="51"/>
        <v>NO ATIPICO</v>
      </c>
      <c r="V44" s="46" t="str">
        <f t="shared" si="52"/>
        <v>NO ATIPICO</v>
      </c>
      <c r="W44" s="46" t="str">
        <f t="shared" si="53"/>
        <v>NO ATIPICO</v>
      </c>
    </row>
    <row r="45" spans="2:26" ht="29.25" customHeight="1" x14ac:dyDescent="0.2">
      <c r="B45" s="48">
        <v>4</v>
      </c>
      <c r="C45" s="16" t="s">
        <v>66</v>
      </c>
      <c r="D45" s="48">
        <v>63</v>
      </c>
      <c r="E45" s="17">
        <f>+E44*$D$15</f>
        <v>540540000</v>
      </c>
      <c r="F45" s="17">
        <f t="shared" ref="F45" si="60">+F44*$D$15</f>
        <v>376110000</v>
      </c>
      <c r="G45" s="17">
        <f t="shared" ref="G45" si="61">+G44*$D$15</f>
        <v>432495000</v>
      </c>
      <c r="H45" s="44">
        <f t="shared" si="40"/>
        <v>449715000</v>
      </c>
      <c r="J45" s="17">
        <f>+J44*$D$15</f>
        <v>540540000</v>
      </c>
      <c r="K45" s="17">
        <f t="shared" ref="K45:L45" si="62">+K44*$D$15</f>
        <v>432495000</v>
      </c>
      <c r="L45" s="17">
        <f t="shared" si="62"/>
        <v>376110000</v>
      </c>
      <c r="M45" s="19"/>
      <c r="N45" s="20">
        <f t="shared" si="46"/>
        <v>404302500</v>
      </c>
      <c r="O45" s="21">
        <f t="shared" si="47"/>
        <v>432495000</v>
      </c>
      <c r="P45" s="22">
        <f t="shared" si="48"/>
        <v>486517500</v>
      </c>
      <c r="Q45" s="45">
        <f>++J45-L45</f>
        <v>164430000</v>
      </c>
      <c r="R45" s="23">
        <f t="shared" si="49"/>
        <v>82215000</v>
      </c>
      <c r="S45" s="24">
        <f t="shared" si="42"/>
        <v>280980000</v>
      </c>
      <c r="T45" s="25">
        <f t="shared" si="50"/>
        <v>609840000</v>
      </c>
      <c r="U45" s="46" t="str">
        <f t="shared" si="51"/>
        <v>NO ATIPICO</v>
      </c>
      <c r="V45" s="46" t="str">
        <f t="shared" si="52"/>
        <v>NO ATIPICO</v>
      </c>
      <c r="W45" s="46" t="str">
        <f t="shared" si="53"/>
        <v>NO ATIPICO</v>
      </c>
    </row>
    <row r="46" spans="2:26" ht="29.25" customHeight="1" x14ac:dyDescent="0.2">
      <c r="B46" s="48">
        <v>5</v>
      </c>
      <c r="C46" s="16" t="s">
        <v>67</v>
      </c>
      <c r="D46" s="48">
        <v>1</v>
      </c>
      <c r="E46" s="17">
        <v>5515000</v>
      </c>
      <c r="F46" s="17">
        <v>3000000</v>
      </c>
      <c r="G46" s="17">
        <v>3560000</v>
      </c>
      <c r="H46" s="44">
        <f t="shared" si="40"/>
        <v>4025000</v>
      </c>
      <c r="J46" s="17">
        <v>5515000</v>
      </c>
      <c r="K46" s="17">
        <v>3560000</v>
      </c>
      <c r="L46" s="17">
        <v>3000000</v>
      </c>
      <c r="M46" s="19"/>
      <c r="N46" s="20">
        <f t="shared" si="46"/>
        <v>3280000</v>
      </c>
      <c r="O46" s="21">
        <f t="shared" si="47"/>
        <v>3560000</v>
      </c>
      <c r="P46" s="22">
        <f t="shared" si="48"/>
        <v>4537500</v>
      </c>
      <c r="Q46" s="45">
        <f>+J46-L46</f>
        <v>2515000</v>
      </c>
      <c r="R46" s="23">
        <f t="shared" si="49"/>
        <v>1257500</v>
      </c>
      <c r="S46" s="24">
        <f t="shared" si="42"/>
        <v>1393750</v>
      </c>
      <c r="T46" s="25">
        <f t="shared" si="50"/>
        <v>6423750</v>
      </c>
      <c r="U46" s="46" t="str">
        <f t="shared" si="51"/>
        <v>NO ATIPICO</v>
      </c>
      <c r="V46" s="46" t="str">
        <f t="shared" si="52"/>
        <v>NO ATIPICO</v>
      </c>
      <c r="W46" s="46" t="str">
        <f t="shared" si="53"/>
        <v>NO ATIPICO</v>
      </c>
    </row>
    <row r="47" spans="2:26" ht="29.25" customHeight="1" x14ac:dyDescent="0.2">
      <c r="B47" s="48">
        <v>5</v>
      </c>
      <c r="C47" s="16" t="s">
        <v>67</v>
      </c>
      <c r="D47" s="48">
        <v>7</v>
      </c>
      <c r="E47" s="17">
        <f>+E46*$D$17</f>
        <v>38605000</v>
      </c>
      <c r="F47" s="17">
        <f t="shared" ref="F47" si="63">+F46*$D$17</f>
        <v>21000000</v>
      </c>
      <c r="G47" s="17">
        <f t="shared" ref="G47" si="64">+G46*$D$17</f>
        <v>24920000</v>
      </c>
      <c r="H47" s="44">
        <f t="shared" si="40"/>
        <v>28175000</v>
      </c>
      <c r="J47" s="17">
        <f>+J46*$D$17</f>
        <v>38605000</v>
      </c>
      <c r="K47" s="17">
        <f t="shared" ref="K47:L47" si="65">+K46*$D$17</f>
        <v>24920000</v>
      </c>
      <c r="L47" s="17">
        <f t="shared" si="65"/>
        <v>21000000</v>
      </c>
      <c r="M47" s="19"/>
      <c r="N47" s="20">
        <f t="shared" si="46"/>
        <v>22960000</v>
      </c>
      <c r="O47" s="21">
        <f t="shared" si="47"/>
        <v>24920000</v>
      </c>
      <c r="P47" s="22">
        <f t="shared" si="48"/>
        <v>31762500</v>
      </c>
      <c r="Q47" s="45">
        <f>+J47-L47</f>
        <v>17605000</v>
      </c>
      <c r="R47" s="23">
        <f t="shared" si="49"/>
        <v>8802500</v>
      </c>
      <c r="S47" s="24">
        <f t="shared" si="42"/>
        <v>9756250</v>
      </c>
      <c r="T47" s="25">
        <f t="shared" si="50"/>
        <v>44966250</v>
      </c>
      <c r="U47" s="46" t="str">
        <f t="shared" si="51"/>
        <v>NO ATIPICO</v>
      </c>
      <c r="V47" s="46" t="str">
        <f t="shared" si="52"/>
        <v>NO ATIPICO</v>
      </c>
      <c r="W47" s="46" t="str">
        <f t="shared" si="53"/>
        <v>NO ATIPICO</v>
      </c>
    </row>
    <row r="48" spans="2:26" ht="29.25" customHeight="1" x14ac:dyDescent="0.2">
      <c r="B48" s="48">
        <v>6</v>
      </c>
      <c r="C48" s="16" t="s">
        <v>69</v>
      </c>
      <c r="D48" s="48">
        <v>1</v>
      </c>
      <c r="E48" s="17">
        <v>6220000</v>
      </c>
      <c r="F48" s="17">
        <v>4450000</v>
      </c>
      <c r="G48" s="17">
        <v>4660000</v>
      </c>
      <c r="H48" s="44">
        <f t="shared" si="40"/>
        <v>5110000</v>
      </c>
      <c r="J48" s="17">
        <v>6220000</v>
      </c>
      <c r="K48" s="17">
        <v>4660000</v>
      </c>
      <c r="L48" s="17">
        <v>4450000</v>
      </c>
      <c r="M48" s="19"/>
      <c r="N48" s="20">
        <f t="shared" si="46"/>
        <v>4555000</v>
      </c>
      <c r="O48" s="21">
        <f t="shared" si="47"/>
        <v>4660000</v>
      </c>
      <c r="P48" s="22">
        <f t="shared" si="48"/>
        <v>5440000</v>
      </c>
      <c r="Q48" s="45">
        <f>+J48-L48</f>
        <v>1770000</v>
      </c>
      <c r="R48" s="23">
        <f t="shared" si="49"/>
        <v>885000</v>
      </c>
      <c r="S48" s="24">
        <f t="shared" si="42"/>
        <v>3227500</v>
      </c>
      <c r="T48" s="25">
        <f t="shared" si="50"/>
        <v>6767500</v>
      </c>
      <c r="U48" s="46" t="str">
        <f t="shared" si="51"/>
        <v>NO ATIPICO</v>
      </c>
      <c r="V48" s="46" t="str">
        <f t="shared" si="52"/>
        <v>NO ATIPICO</v>
      </c>
      <c r="W48" s="46" t="str">
        <f t="shared" si="53"/>
        <v>NO ATIPICO</v>
      </c>
    </row>
    <row r="49" spans="2:23" ht="29.25" customHeight="1" x14ac:dyDescent="0.2">
      <c r="B49" s="48">
        <v>6</v>
      </c>
      <c r="C49" s="16" t="s">
        <v>69</v>
      </c>
      <c r="D49" s="48">
        <v>11</v>
      </c>
      <c r="E49" s="17">
        <f>+E48*$D$21</f>
        <v>68420000</v>
      </c>
      <c r="F49" s="17">
        <f t="shared" ref="F49" si="66">+F48*$D$21</f>
        <v>48950000</v>
      </c>
      <c r="G49" s="17">
        <f t="shared" ref="G49" si="67">+G48*$D$21</f>
        <v>51260000</v>
      </c>
      <c r="H49" s="44">
        <f t="shared" si="40"/>
        <v>56210000</v>
      </c>
      <c r="J49" s="17">
        <f>+J48*$D$21</f>
        <v>68420000</v>
      </c>
      <c r="K49" s="17">
        <f t="shared" ref="K49:L49" si="68">+K48*$D$21</f>
        <v>51260000</v>
      </c>
      <c r="L49" s="17">
        <f t="shared" si="68"/>
        <v>48950000</v>
      </c>
      <c r="M49" s="19"/>
      <c r="N49" s="20">
        <f t="shared" si="46"/>
        <v>50105000</v>
      </c>
      <c r="O49" s="21">
        <f t="shared" si="47"/>
        <v>51260000</v>
      </c>
      <c r="P49" s="22">
        <f t="shared" si="48"/>
        <v>59840000</v>
      </c>
      <c r="Q49" s="45">
        <f>+J49-L49</f>
        <v>19470000</v>
      </c>
      <c r="R49" s="23">
        <f t="shared" si="49"/>
        <v>9735000</v>
      </c>
      <c r="S49" s="24">
        <f t="shared" si="42"/>
        <v>35502500</v>
      </c>
      <c r="T49" s="25">
        <f t="shared" si="50"/>
        <v>74442500</v>
      </c>
      <c r="U49" s="46" t="str">
        <f t="shared" si="51"/>
        <v>NO ATIPICO</v>
      </c>
      <c r="V49" s="46" t="str">
        <f t="shared" si="52"/>
        <v>NO ATIPICO</v>
      </c>
      <c r="W49" s="46" t="str">
        <f t="shared" si="53"/>
        <v>NO ATIPICO</v>
      </c>
    </row>
    <row r="50" spans="2:23" ht="29.25" customHeight="1" x14ac:dyDescent="0.2">
      <c r="B50" s="48">
        <v>7</v>
      </c>
      <c r="C50" s="16" t="s">
        <v>70</v>
      </c>
      <c r="D50" s="48">
        <v>1</v>
      </c>
      <c r="E50" s="17">
        <v>3400000</v>
      </c>
      <c r="F50" s="17">
        <v>4740000</v>
      </c>
      <c r="G50" s="17">
        <v>4860000</v>
      </c>
      <c r="H50" s="44">
        <f t="shared" si="40"/>
        <v>4333333.333333333</v>
      </c>
      <c r="J50" s="17">
        <v>3400000</v>
      </c>
      <c r="K50" s="17">
        <v>4860000</v>
      </c>
      <c r="L50" s="17">
        <v>4740000</v>
      </c>
      <c r="M50" s="19"/>
      <c r="N50" s="20">
        <f t="shared" si="46"/>
        <v>4070000</v>
      </c>
      <c r="O50" s="21">
        <f t="shared" si="47"/>
        <v>4740000</v>
      </c>
      <c r="P50" s="22">
        <f t="shared" si="48"/>
        <v>4800000</v>
      </c>
      <c r="Q50" s="45">
        <f>+K50-J50</f>
        <v>1460000</v>
      </c>
      <c r="R50" s="23">
        <f t="shared" si="49"/>
        <v>730000</v>
      </c>
      <c r="S50" s="24">
        <f t="shared" si="42"/>
        <v>2975000</v>
      </c>
      <c r="T50" s="25">
        <f t="shared" si="50"/>
        <v>5895000</v>
      </c>
      <c r="U50" s="46" t="str">
        <f t="shared" si="51"/>
        <v>NO ATIPICO</v>
      </c>
      <c r="V50" s="46" t="str">
        <f t="shared" si="52"/>
        <v>NO ATIPICO</v>
      </c>
      <c r="W50" s="46" t="str">
        <f t="shared" si="53"/>
        <v>NO ATIPICO</v>
      </c>
    </row>
    <row r="51" spans="2:23" ht="29.25" customHeight="1" x14ac:dyDescent="0.2">
      <c r="B51" s="48">
        <v>7</v>
      </c>
      <c r="C51" s="16" t="s">
        <v>70</v>
      </c>
      <c r="D51" s="48">
        <v>20</v>
      </c>
      <c r="E51" s="17">
        <f>+E50*$D$23</f>
        <v>68000000</v>
      </c>
      <c r="F51" s="17">
        <f>+F50*$D$23</f>
        <v>94800000</v>
      </c>
      <c r="G51" s="17">
        <f t="shared" ref="G51" si="69">+G50*$D$23</f>
        <v>97200000</v>
      </c>
      <c r="H51" s="44">
        <f t="shared" ref="H51:H53" si="70">AVERAGE(E51:G51)</f>
        <v>86666666.666666672</v>
      </c>
      <c r="J51" s="17">
        <f>+J50*$D$23</f>
        <v>68000000</v>
      </c>
      <c r="K51" s="17">
        <f t="shared" ref="K51:L51" si="71">+K50*$D$23</f>
        <v>97200000</v>
      </c>
      <c r="L51" s="17">
        <f t="shared" si="71"/>
        <v>94800000</v>
      </c>
      <c r="M51" s="19"/>
      <c r="N51" s="20">
        <f t="shared" si="46"/>
        <v>81400000</v>
      </c>
      <c r="O51" s="21">
        <f t="shared" si="47"/>
        <v>94800000</v>
      </c>
      <c r="P51" s="22">
        <f t="shared" si="48"/>
        <v>96000000</v>
      </c>
      <c r="Q51" s="45">
        <f>+K51-J51</f>
        <v>29200000</v>
      </c>
      <c r="R51" s="23">
        <f t="shared" si="49"/>
        <v>14600000</v>
      </c>
      <c r="S51" s="24">
        <f t="shared" si="42"/>
        <v>59500000</v>
      </c>
      <c r="T51" s="25">
        <f t="shared" si="50"/>
        <v>117900000</v>
      </c>
      <c r="U51" s="46" t="str">
        <f t="shared" si="51"/>
        <v>NO ATIPICO</v>
      </c>
      <c r="V51" s="46" t="str">
        <f t="shared" si="52"/>
        <v>NO ATIPICO</v>
      </c>
      <c r="W51" s="46" t="str">
        <f t="shared" si="53"/>
        <v>NO ATIPICO</v>
      </c>
    </row>
    <row r="52" spans="2:23" ht="29.25" customHeight="1" x14ac:dyDescent="0.2">
      <c r="B52" s="48">
        <v>8</v>
      </c>
      <c r="C52" s="16" t="s">
        <v>71</v>
      </c>
      <c r="D52" s="50">
        <v>1</v>
      </c>
      <c r="E52" s="17">
        <v>11140000</v>
      </c>
      <c r="F52" s="17">
        <v>10520000</v>
      </c>
      <c r="G52" s="17">
        <v>12250000</v>
      </c>
      <c r="H52" s="44">
        <f t="shared" si="70"/>
        <v>11303333.333333334</v>
      </c>
      <c r="J52" s="17">
        <v>11140000</v>
      </c>
      <c r="K52" s="17">
        <v>12250000</v>
      </c>
      <c r="L52" s="17">
        <v>10520000</v>
      </c>
      <c r="M52" s="27"/>
      <c r="N52" s="20">
        <f t="shared" si="46"/>
        <v>10830000</v>
      </c>
      <c r="O52" s="21">
        <f t="shared" si="47"/>
        <v>11140000</v>
      </c>
      <c r="P52" s="22">
        <f t="shared" si="48"/>
        <v>11695000</v>
      </c>
      <c r="Q52" s="45">
        <f>+K52-L52</f>
        <v>1730000</v>
      </c>
      <c r="R52" s="23">
        <f t="shared" si="49"/>
        <v>865000</v>
      </c>
      <c r="S52" s="24">
        <f t="shared" si="42"/>
        <v>9532500</v>
      </c>
      <c r="T52" s="25">
        <f t="shared" si="50"/>
        <v>12992500</v>
      </c>
      <c r="U52" s="46" t="str">
        <f t="shared" si="51"/>
        <v>NO ATIPICO</v>
      </c>
      <c r="V52" s="46" t="str">
        <f t="shared" si="52"/>
        <v>NO ATIPICO</v>
      </c>
      <c r="W52" s="46" t="str">
        <f t="shared" si="53"/>
        <v>NO ATIPICO</v>
      </c>
    </row>
    <row r="53" spans="2:23" ht="29.25" customHeight="1" x14ac:dyDescent="0.2">
      <c r="B53" s="48">
        <v>8</v>
      </c>
      <c r="C53" s="16" t="s">
        <v>71</v>
      </c>
      <c r="D53" s="50">
        <v>3</v>
      </c>
      <c r="E53" s="17">
        <f>+E52*$D$25</f>
        <v>33420000</v>
      </c>
      <c r="F53" s="17">
        <f>+F52*$D$25</f>
        <v>31560000</v>
      </c>
      <c r="G53" s="17">
        <f t="shared" ref="G53" si="72">+G52*$D$25</f>
        <v>36750000</v>
      </c>
      <c r="H53" s="44">
        <f t="shared" si="70"/>
        <v>33910000</v>
      </c>
      <c r="J53" s="17">
        <f>+J52*$D$25</f>
        <v>33420000</v>
      </c>
      <c r="K53" s="17">
        <f t="shared" ref="K53:L53" si="73">+K52*$D$25</f>
        <v>36750000</v>
      </c>
      <c r="L53" s="17">
        <f t="shared" si="73"/>
        <v>31560000</v>
      </c>
      <c r="M53" s="27"/>
      <c r="N53" s="20">
        <f t="shared" si="46"/>
        <v>32490000</v>
      </c>
      <c r="O53" s="21">
        <f t="shared" si="47"/>
        <v>33420000</v>
      </c>
      <c r="P53" s="22">
        <f t="shared" si="48"/>
        <v>35085000</v>
      </c>
      <c r="Q53" s="45">
        <f>+K53-L53</f>
        <v>5190000</v>
      </c>
      <c r="R53" s="23">
        <f t="shared" si="49"/>
        <v>2595000</v>
      </c>
      <c r="S53" s="24">
        <f t="shared" si="42"/>
        <v>28597500</v>
      </c>
      <c r="T53" s="25">
        <f t="shared" si="50"/>
        <v>38977500</v>
      </c>
      <c r="U53" s="46" t="str">
        <f t="shared" si="51"/>
        <v>NO ATIPICO</v>
      </c>
      <c r="V53" s="46" t="str">
        <f t="shared" si="52"/>
        <v>NO ATIPICO</v>
      </c>
      <c r="W53" s="46" t="str">
        <f t="shared" si="53"/>
        <v>NO ATIPICO</v>
      </c>
    </row>
    <row r="54" spans="2:23" x14ac:dyDescent="0.2">
      <c r="E54" s="52">
        <f>+E39+E41+E43+E45+E47+E49+E51+E53</f>
        <v>2548105000</v>
      </c>
      <c r="F54" s="52">
        <f>+F39+F41+F43+F45+F47+F49+F51+F53</f>
        <v>1892590000</v>
      </c>
      <c r="G54" s="52">
        <f>+G39+G41+G43+G45+G47+G49+G51+G53</f>
        <v>2252855000</v>
      </c>
      <c r="H54" s="52">
        <f>+H39+H41+H43+H45+H47+H49+H51+H53</f>
        <v>2231183333.3333335</v>
      </c>
      <c r="J54" s="52">
        <f>+J39+J41+J43+J45+J47+J49+J51+J53</f>
        <v>2548105000</v>
      </c>
      <c r="K54" s="52">
        <f t="shared" ref="K54:L54" si="74">+K39+K41+K43+K45+K47+K49+K51+K53</f>
        <v>2252855000</v>
      </c>
      <c r="L54" s="52">
        <f t="shared" si="74"/>
        <v>1892590000</v>
      </c>
    </row>
  </sheetData>
  <mergeCells count="2">
    <mergeCell ref="B4:Z4"/>
    <mergeCell ref="B33:Z33"/>
  </mergeCells>
  <conditionalFormatting sqref="A1:XFD3 A4:B4 AA4:XFD4 A5:XFD32 A33:B33 AA33:XFD33 J34:XFD36 A34:I59 M37:W53 Y37:Y53 J37:L54 AA37:XFD55 M54:Y54 J55:Y55 J56:XFD59 A60:XFD1048576">
    <cfRule type="containsText" dxfId="51" priority="1" operator="containsText" text="NO ATIPICO">
      <formula>NOT(ISERROR(SEARCH("NO ATIPICO",A1)))</formula>
    </cfRule>
    <cfRule type="containsText" dxfId="50" priority="2" operator="containsText" text="ATIPICO">
      <formula>NOT(ISERROR(SEARCH("ATIPICO",A1)))</formula>
    </cfRule>
  </conditionalFormatting>
  <pageMargins left="0.7" right="0.7" top="0.75" bottom="0.75" header="0.3" footer="0.3"/>
  <pageSetup scale="3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Z37"/>
  <sheetViews>
    <sheetView tabSelected="1" topLeftCell="B1" zoomScaleNormal="100" workbookViewId="0">
      <selection activeCell="T27" sqref="T27"/>
    </sheetView>
  </sheetViews>
  <sheetFormatPr baseColWidth="10" defaultColWidth="8.7109375" defaultRowHeight="9" x14ac:dyDescent="0.15"/>
  <cols>
    <col min="1" max="1" width="8.7109375" style="28"/>
    <col min="2" max="2" width="4.42578125" style="28" customWidth="1"/>
    <col min="3" max="3" width="34.85546875" style="37" customWidth="1"/>
    <col min="4" max="4" width="7.28515625" style="38" customWidth="1"/>
    <col min="5" max="5" width="13.7109375" style="41" customWidth="1"/>
    <col min="6" max="6" width="18" style="41" customWidth="1"/>
    <col min="7" max="7" width="13.7109375" style="41" customWidth="1"/>
    <col min="8" max="8" width="16.5703125" style="41" customWidth="1"/>
    <col min="9" max="9" width="13.7109375" style="41" customWidth="1"/>
    <col min="10" max="10" width="16.5703125" style="41" customWidth="1"/>
    <col min="11" max="11" width="16.42578125" style="41" customWidth="1"/>
    <col min="12" max="12" width="13.7109375" style="41" customWidth="1"/>
    <col min="13" max="13" width="17.7109375" style="41" customWidth="1"/>
    <col min="14" max="14" width="13.7109375" style="41" customWidth="1"/>
    <col min="15" max="15" width="15.140625" style="41" bestFit="1" customWidth="1"/>
    <col min="16" max="16" width="9.140625" style="28" bestFit="1" customWidth="1"/>
    <col min="17" max="17" width="15.5703125" style="28" customWidth="1"/>
    <col min="18" max="18" width="11.7109375" style="28" bestFit="1" customWidth="1"/>
    <col min="19" max="19" width="14.42578125" style="28" customWidth="1"/>
    <col min="20" max="20" width="11" style="28" bestFit="1" customWidth="1"/>
    <col min="21" max="16384" width="8.7109375" style="28"/>
  </cols>
  <sheetData>
    <row r="1" spans="2:26" ht="36" customHeight="1" x14ac:dyDescent="0.15"/>
    <row r="2" spans="2:26" ht="11.25" x14ac:dyDescent="0.2">
      <c r="B2" s="94" t="s">
        <v>73</v>
      </c>
      <c r="C2" s="94"/>
      <c r="D2" s="94"/>
      <c r="E2" s="94"/>
      <c r="F2" s="94"/>
      <c r="G2" s="94"/>
      <c r="H2" s="94"/>
      <c r="I2" s="94"/>
      <c r="J2" s="94"/>
      <c r="K2" s="94"/>
      <c r="L2" s="94"/>
      <c r="M2" s="94"/>
      <c r="N2" s="94"/>
      <c r="O2" s="94"/>
      <c r="P2" s="94"/>
      <c r="Q2" s="94"/>
      <c r="R2" s="94"/>
      <c r="S2" s="94"/>
      <c r="T2" s="94"/>
      <c r="U2" s="94"/>
      <c r="V2" s="94"/>
      <c r="W2" s="94"/>
      <c r="X2" s="94"/>
      <c r="Y2" s="94"/>
      <c r="Z2" s="94"/>
    </row>
    <row r="4" spans="2:26" s="29" customFormat="1" ht="12" x14ac:dyDescent="0.2">
      <c r="B4" s="95" t="s">
        <v>74</v>
      </c>
      <c r="C4" s="96"/>
      <c r="D4" s="97"/>
      <c r="E4" s="98" t="s">
        <v>1</v>
      </c>
      <c r="F4" s="99"/>
      <c r="G4" s="100" t="s">
        <v>2</v>
      </c>
      <c r="H4" s="101"/>
      <c r="I4" s="102" t="s">
        <v>3</v>
      </c>
      <c r="J4" s="103"/>
      <c r="K4" s="106" t="s">
        <v>54</v>
      </c>
      <c r="L4" s="107"/>
      <c r="M4" s="92" t="s">
        <v>92</v>
      </c>
      <c r="N4" s="93"/>
      <c r="O4" s="93"/>
      <c r="Q4" s="92" t="s">
        <v>91</v>
      </c>
      <c r="R4" s="93"/>
      <c r="S4" s="93"/>
    </row>
    <row r="5" spans="2:26" s="29" customFormat="1" ht="18" x14ac:dyDescent="0.2">
      <c r="B5" s="30" t="s">
        <v>75</v>
      </c>
      <c r="C5" s="30" t="s">
        <v>23</v>
      </c>
      <c r="D5" s="30" t="s">
        <v>25</v>
      </c>
      <c r="E5" s="1" t="s">
        <v>76</v>
      </c>
      <c r="F5" s="1" t="s">
        <v>77</v>
      </c>
      <c r="G5" s="43" t="s">
        <v>76</v>
      </c>
      <c r="H5" s="43" t="s">
        <v>77</v>
      </c>
      <c r="I5" s="2" t="s">
        <v>76</v>
      </c>
      <c r="J5" s="2" t="s">
        <v>77</v>
      </c>
      <c r="K5" s="55" t="s">
        <v>76</v>
      </c>
      <c r="L5" s="55" t="s">
        <v>77</v>
      </c>
      <c r="M5" s="31" t="s">
        <v>78</v>
      </c>
      <c r="N5" s="32" t="s">
        <v>79</v>
      </c>
      <c r="O5" s="31" t="s">
        <v>80</v>
      </c>
      <c r="Q5" s="31" t="s">
        <v>81</v>
      </c>
      <c r="R5" s="32" t="s">
        <v>79</v>
      </c>
      <c r="S5" s="31" t="s">
        <v>80</v>
      </c>
    </row>
    <row r="6" spans="2:26" ht="22.5" x14ac:dyDescent="0.15">
      <c r="B6" s="33" t="s">
        <v>82</v>
      </c>
      <c r="C6" s="16" t="s">
        <v>63</v>
      </c>
      <c r="D6" s="48">
        <v>26</v>
      </c>
      <c r="E6" s="17">
        <f>'Análisis Atípicos'!E8</f>
        <v>232400</v>
      </c>
      <c r="F6" s="5">
        <f>+E6*$D$6</f>
        <v>6042400</v>
      </c>
      <c r="G6" s="17">
        <f>'Análisis Atípicos'!F8</f>
        <v>195500</v>
      </c>
      <c r="H6" s="5">
        <f>+G6*$D$6</f>
        <v>5083000</v>
      </c>
      <c r="I6" s="17">
        <f>'Análisis Atípicos'!G8</f>
        <v>232000</v>
      </c>
      <c r="J6" s="5">
        <f>+I6*$D$6</f>
        <v>6032000</v>
      </c>
      <c r="K6" s="17">
        <f>+'Análisis Atípicos'!N8</f>
        <v>106128</v>
      </c>
      <c r="L6" s="5">
        <f>+K6*$D$6</f>
        <v>2759328</v>
      </c>
      <c r="M6" s="34">
        <f>ROUND(AVERAGE(E6,G6,I6,K6),0)</f>
        <v>191507</v>
      </c>
      <c r="N6" s="48">
        <v>26</v>
      </c>
      <c r="O6" s="35">
        <f>M6*N6</f>
        <v>4979182</v>
      </c>
      <c r="P6" s="36"/>
      <c r="Q6" s="34">
        <f>ROUND(MEDIAN(E6,G6,I6,K6),0)</f>
        <v>213750</v>
      </c>
      <c r="R6" s="48">
        <v>26</v>
      </c>
      <c r="S6" s="35">
        <f t="shared" ref="S6:S14" si="0">Q6*R6</f>
        <v>5557500</v>
      </c>
    </row>
    <row r="7" spans="2:26" ht="22.5" x14ac:dyDescent="0.15">
      <c r="B7" s="33" t="s">
        <v>83</v>
      </c>
      <c r="C7" s="16" t="s">
        <v>64</v>
      </c>
      <c r="D7" s="48">
        <v>2</v>
      </c>
      <c r="E7" s="17">
        <f>'Análisis Atípicos'!E10</f>
        <v>592400</v>
      </c>
      <c r="F7" s="5">
        <f>+E7*$D$7</f>
        <v>1184800</v>
      </c>
      <c r="G7" s="17">
        <f>'Análisis Atípicos'!F10</f>
        <v>551000</v>
      </c>
      <c r="H7" s="5">
        <f>+G7*$D$7</f>
        <v>1102000</v>
      </c>
      <c r="I7" s="17">
        <f>'Análisis Atípicos'!G10</f>
        <v>621000</v>
      </c>
      <c r="J7" s="5">
        <f>+I7*$D$7</f>
        <v>1242000</v>
      </c>
      <c r="K7" s="17"/>
      <c r="L7" s="5">
        <f>+K7*$D$7</f>
        <v>0</v>
      </c>
      <c r="M7" s="34">
        <f>ROUND(AVERAGE(E7,G7,I7),0)</f>
        <v>588133</v>
      </c>
      <c r="N7" s="48">
        <v>2</v>
      </c>
      <c r="O7" s="35">
        <f t="shared" ref="O7:O14" si="1">M7*N7</f>
        <v>1176266</v>
      </c>
      <c r="P7" s="36"/>
      <c r="Q7" s="34">
        <f>ROUND(MEDIAN(E7,G7,I7),0)</f>
        <v>592400</v>
      </c>
      <c r="R7" s="48">
        <v>2</v>
      </c>
      <c r="S7" s="35">
        <f t="shared" si="0"/>
        <v>1184800</v>
      </c>
    </row>
    <row r="8" spans="2:26" ht="22.5" x14ac:dyDescent="0.15">
      <c r="B8" s="33" t="s">
        <v>84</v>
      </c>
      <c r="C8" s="16" t="s">
        <v>65</v>
      </c>
      <c r="D8" s="48">
        <v>206</v>
      </c>
      <c r="E8" s="17">
        <f>'Análisis Atípicos'!E12</f>
        <v>232400</v>
      </c>
      <c r="F8" s="5">
        <f>+E8*$D$8</f>
        <v>47874400</v>
      </c>
      <c r="G8" s="17">
        <f>'Análisis Atípicos'!F12</f>
        <v>215500</v>
      </c>
      <c r="H8" s="5">
        <f>+G8*$D$8</f>
        <v>44393000</v>
      </c>
      <c r="I8" s="17">
        <f>'Análisis Atípicos'!G12</f>
        <v>233000</v>
      </c>
      <c r="J8" s="5">
        <f>+I8*$D$8</f>
        <v>47998000</v>
      </c>
      <c r="K8" s="17"/>
      <c r="L8" s="5">
        <f>+K8*$D$8</f>
        <v>0</v>
      </c>
      <c r="M8" s="34">
        <f>ROUND(AVERAGE(E8,G8,I8),0)</f>
        <v>226967</v>
      </c>
      <c r="N8" s="48">
        <v>206</v>
      </c>
      <c r="O8" s="35">
        <f t="shared" si="1"/>
        <v>46755202</v>
      </c>
      <c r="P8" s="36"/>
      <c r="Q8" s="34">
        <f>ROUND(MEDIAN(E8,G8,I8),0)</f>
        <v>232400</v>
      </c>
      <c r="R8" s="48">
        <v>206</v>
      </c>
      <c r="S8" s="35">
        <f t="shared" si="0"/>
        <v>47874400</v>
      </c>
    </row>
    <row r="9" spans="2:26" ht="22.5" x14ac:dyDescent="0.15">
      <c r="B9" s="33" t="s">
        <v>85</v>
      </c>
      <c r="C9" s="16" t="s">
        <v>66</v>
      </c>
      <c r="D9" s="48">
        <v>63</v>
      </c>
      <c r="E9" s="17">
        <f>'Análisis Atípicos'!E14</f>
        <v>262400</v>
      </c>
      <c r="F9" s="5">
        <f>+E9*$D$9</f>
        <v>16531200</v>
      </c>
      <c r="G9" s="17">
        <v>366500</v>
      </c>
      <c r="H9" s="5">
        <f>+G9*$D$9</f>
        <v>23089500</v>
      </c>
      <c r="I9" s="17">
        <f>'Análisis Atípicos'!G14</f>
        <v>272500</v>
      </c>
      <c r="J9" s="5">
        <f>+I9*$D$9</f>
        <v>17167500</v>
      </c>
      <c r="K9" s="17">
        <f>+'Análisis Atípicos'!N14</f>
        <v>337819</v>
      </c>
      <c r="L9" s="5">
        <f>+K9*$D$9</f>
        <v>21282597</v>
      </c>
      <c r="M9" s="34">
        <f>ROUND(AVERAGE(E9,I9,K9),0)</f>
        <v>290906</v>
      </c>
      <c r="N9" s="48">
        <v>63</v>
      </c>
      <c r="O9" s="35">
        <f t="shared" si="1"/>
        <v>18327078</v>
      </c>
      <c r="P9" s="36"/>
      <c r="Q9" s="34">
        <f>ROUND(MEDIAN(E9,G9,I9,K9),0)</f>
        <v>305160</v>
      </c>
      <c r="R9" s="48">
        <v>63</v>
      </c>
      <c r="S9" s="35">
        <f t="shared" si="0"/>
        <v>19225080</v>
      </c>
    </row>
    <row r="10" spans="2:26" ht="11.25" x14ac:dyDescent="0.15">
      <c r="B10" s="33" t="s">
        <v>86</v>
      </c>
      <c r="C10" s="16" t="s">
        <v>67</v>
      </c>
      <c r="D10" s="48">
        <v>7</v>
      </c>
      <c r="E10" s="17">
        <f>'Análisis Atípicos'!E16</f>
        <v>405500</v>
      </c>
      <c r="F10" s="5">
        <f>+E10*$D$10</f>
        <v>2838500</v>
      </c>
      <c r="G10" s="17">
        <f>'Análisis Atípicos'!F16</f>
        <v>327000</v>
      </c>
      <c r="H10" s="5">
        <f>+G10*$D$10</f>
        <v>2289000</v>
      </c>
      <c r="I10" s="17">
        <f>'Análisis Atípicos'!G16</f>
        <v>440000</v>
      </c>
      <c r="J10" s="5">
        <f>+I10*$D$10</f>
        <v>3080000</v>
      </c>
      <c r="K10" s="17">
        <f>+'Análisis Atípicos'!N16</f>
        <v>68788</v>
      </c>
      <c r="L10" s="5">
        <f>+K10*$D$10</f>
        <v>481516</v>
      </c>
      <c r="M10" s="34">
        <f>ROUND(AVERAGE(E10,G10,I10,K10),0)</f>
        <v>310322</v>
      </c>
      <c r="N10" s="48">
        <v>7</v>
      </c>
      <c r="O10" s="35">
        <f t="shared" si="1"/>
        <v>2172254</v>
      </c>
      <c r="P10" s="36"/>
      <c r="Q10" s="34">
        <f>ROUND(MEDIAN(E10,G10,I10,K10),0)</f>
        <v>366250</v>
      </c>
      <c r="R10" s="48">
        <v>7</v>
      </c>
      <c r="S10" s="35">
        <f t="shared" si="0"/>
        <v>2563750</v>
      </c>
    </row>
    <row r="11" spans="2:26" ht="11.25" x14ac:dyDescent="0.15">
      <c r="B11" s="33" t="s">
        <v>87</v>
      </c>
      <c r="C11" s="16" t="s">
        <v>68</v>
      </c>
      <c r="D11" s="48">
        <v>9531</v>
      </c>
      <c r="E11" s="5"/>
      <c r="F11" s="5"/>
      <c r="G11" s="5">
        <f>'Análisis Atípicos'!F18</f>
        <v>35</v>
      </c>
      <c r="H11" s="5">
        <f>D11*G11</f>
        <v>333585</v>
      </c>
      <c r="I11" s="5"/>
      <c r="J11" s="5"/>
      <c r="K11" s="17">
        <f>+'Análisis Atípicos'!N18</f>
        <v>18</v>
      </c>
      <c r="L11" s="5">
        <f>+K11*$D$11</f>
        <v>171558</v>
      </c>
      <c r="M11" s="34">
        <f>ROUND(AVERAGE(G11,K11),0)</f>
        <v>27</v>
      </c>
      <c r="N11" s="48">
        <v>9531</v>
      </c>
      <c r="O11" s="35">
        <f>M11*N11</f>
        <v>257337</v>
      </c>
      <c r="P11" s="36"/>
      <c r="Q11" s="34">
        <f>ROUND(MEDIAN(G11,K11),0)</f>
        <v>27</v>
      </c>
      <c r="R11" s="48">
        <v>9531</v>
      </c>
      <c r="S11" s="35">
        <f t="shared" si="0"/>
        <v>257337</v>
      </c>
    </row>
    <row r="12" spans="2:26" ht="11.25" x14ac:dyDescent="0.15">
      <c r="B12" s="33" t="s">
        <v>88</v>
      </c>
      <c r="C12" s="16" t="s">
        <v>69</v>
      </c>
      <c r="D12" s="48">
        <v>11</v>
      </c>
      <c r="E12" s="17">
        <f>'Análisis Atípicos'!E20</f>
        <v>265500</v>
      </c>
      <c r="F12" s="5">
        <f>+E12*$D$12</f>
        <v>2920500</v>
      </c>
      <c r="G12" s="17">
        <f>'Análisis Atípicos'!F20</f>
        <v>261000</v>
      </c>
      <c r="H12" s="5">
        <f>+G12*$D$12</f>
        <v>2871000</v>
      </c>
      <c r="I12" s="17">
        <f>'Análisis Atípicos'!G20</f>
        <v>310000</v>
      </c>
      <c r="J12" s="5">
        <f>+I12*$D$12</f>
        <v>3410000</v>
      </c>
      <c r="K12" s="17">
        <f>+'Análisis Atípicos'!N20</f>
        <v>162590</v>
      </c>
      <c r="L12" s="5">
        <f>+K12*$D$12</f>
        <v>1788490</v>
      </c>
      <c r="M12" s="34">
        <f>ROUND(AVERAGE(E12,G12,I12,K12),0)</f>
        <v>249773</v>
      </c>
      <c r="N12" s="48">
        <v>11</v>
      </c>
      <c r="O12" s="35">
        <f t="shared" si="1"/>
        <v>2747503</v>
      </c>
      <c r="P12" s="36"/>
      <c r="Q12" s="34">
        <f>ROUND(MEDIAN(E12,G12,I12,K12),0)</f>
        <v>263250</v>
      </c>
      <c r="R12" s="48">
        <v>11</v>
      </c>
      <c r="S12" s="35">
        <f t="shared" si="0"/>
        <v>2895750</v>
      </c>
    </row>
    <row r="13" spans="2:26" ht="11.25" x14ac:dyDescent="0.15">
      <c r="B13" s="48">
        <v>8</v>
      </c>
      <c r="C13" s="16" t="s">
        <v>70</v>
      </c>
      <c r="D13" s="48">
        <v>20</v>
      </c>
      <c r="E13" s="17">
        <f>'Análisis Atípicos'!E22</f>
        <v>420000</v>
      </c>
      <c r="F13" s="5">
        <f>+E13*$D$13</f>
        <v>8400000</v>
      </c>
      <c r="G13" s="17">
        <f>'Análisis Atípicos'!F22</f>
        <v>460000</v>
      </c>
      <c r="H13" s="5">
        <f>+G13*$D$13</f>
        <v>9200000</v>
      </c>
      <c r="I13" s="17">
        <f>'Análisis Atípicos'!G22</f>
        <v>455000</v>
      </c>
      <c r="J13" s="5">
        <f>+I13*$D$13</f>
        <v>9100000</v>
      </c>
      <c r="K13" s="17"/>
      <c r="L13" s="5"/>
      <c r="M13" s="34">
        <f>ROUND(AVERAGE(E13,G13,I13),0)</f>
        <v>445000</v>
      </c>
      <c r="N13" s="48">
        <v>20</v>
      </c>
      <c r="O13" s="35">
        <f t="shared" si="1"/>
        <v>8900000</v>
      </c>
      <c r="P13" s="36"/>
      <c r="Q13" s="34">
        <f>ROUND(MEDIAN(E13,G13,I13),0)</f>
        <v>455000</v>
      </c>
      <c r="R13" s="48">
        <v>20</v>
      </c>
      <c r="S13" s="35">
        <f t="shared" si="0"/>
        <v>9100000</v>
      </c>
    </row>
    <row r="14" spans="2:26" ht="22.5" x14ac:dyDescent="0.15">
      <c r="B14" s="48">
        <v>9</v>
      </c>
      <c r="C14" s="16" t="s">
        <v>71</v>
      </c>
      <c r="D14" s="50">
        <v>3</v>
      </c>
      <c r="E14" s="17">
        <f>'Análisis Atípicos'!E24</f>
        <v>1320000</v>
      </c>
      <c r="F14" s="5">
        <f>+E14*$D$14</f>
        <v>3960000</v>
      </c>
      <c r="G14" s="17">
        <f>'Análisis Atípicos'!F24</f>
        <v>532500</v>
      </c>
      <c r="H14" s="5">
        <f>+G14*$D$14</f>
        <v>1597500</v>
      </c>
      <c r="I14" s="17">
        <f>'Análisis Atípicos'!G24</f>
        <v>1300000</v>
      </c>
      <c r="J14" s="5">
        <f>+I14*$D$14</f>
        <v>3900000</v>
      </c>
      <c r="K14" s="17"/>
      <c r="L14" s="5"/>
      <c r="M14" s="34">
        <f>ROUND(AVERAGE(E14,G14,I14),0)</f>
        <v>1050833</v>
      </c>
      <c r="N14" s="50">
        <v>3</v>
      </c>
      <c r="O14" s="35">
        <f t="shared" si="1"/>
        <v>3152499</v>
      </c>
      <c r="P14" s="36"/>
      <c r="Q14" s="34">
        <f>ROUND(MEDIAN(E14,G14,I14),0)</f>
        <v>1300000</v>
      </c>
      <c r="R14" s="50">
        <v>3</v>
      </c>
      <c r="S14" s="35">
        <f t="shared" si="0"/>
        <v>3900000</v>
      </c>
    </row>
    <row r="15" spans="2:26" ht="15.75" customHeight="1" x14ac:dyDescent="0.15">
      <c r="E15" s="39"/>
      <c r="F15" s="40">
        <f>+SUM(F6:F14)</f>
        <v>89751800</v>
      </c>
      <c r="G15" s="39"/>
      <c r="H15" s="40">
        <f>+SUM(H6:H14)</f>
        <v>89958585</v>
      </c>
      <c r="I15" s="39"/>
      <c r="J15" s="40">
        <f>+SUM(J6:J14)</f>
        <v>91929500</v>
      </c>
      <c r="K15" s="39"/>
      <c r="L15" s="40">
        <f>+SUM(L6:L14)</f>
        <v>26483489</v>
      </c>
      <c r="M15" s="104" t="s">
        <v>77</v>
      </c>
      <c r="N15" s="105"/>
      <c r="O15" s="40">
        <f>+SUM(O6:O14)</f>
        <v>88467321</v>
      </c>
      <c r="Q15" s="104" t="s">
        <v>77</v>
      </c>
      <c r="R15" s="105"/>
      <c r="S15" s="40">
        <f>+SUM(S6:S14)</f>
        <v>92558617</v>
      </c>
    </row>
    <row r="16" spans="2:26" ht="15" x14ac:dyDescent="0.25">
      <c r="O16" s="88"/>
    </row>
    <row r="17" spans="2:26" x14ac:dyDescent="0.15">
      <c r="P17" s="90"/>
      <c r="Q17" s="41"/>
      <c r="R17" s="89"/>
    </row>
    <row r="18" spans="2:26" ht="24" customHeight="1" x14ac:dyDescent="0.15">
      <c r="P18" s="41"/>
      <c r="S18" s="89"/>
      <c r="T18" s="36"/>
    </row>
    <row r="19" spans="2:26" x14ac:dyDescent="0.15">
      <c r="P19" s="41"/>
      <c r="R19" s="89"/>
      <c r="S19" s="89"/>
      <c r="T19" s="36"/>
    </row>
    <row r="20" spans="2:26" ht="11.25" x14ac:dyDescent="0.2">
      <c r="B20" s="94" t="s">
        <v>89</v>
      </c>
      <c r="C20" s="94"/>
      <c r="D20" s="94"/>
      <c r="E20" s="94"/>
      <c r="F20" s="94"/>
      <c r="G20" s="94"/>
      <c r="H20" s="94"/>
      <c r="I20" s="94"/>
      <c r="J20" s="94"/>
      <c r="K20" s="94"/>
      <c r="L20" s="94"/>
      <c r="M20" s="94"/>
      <c r="N20" s="94"/>
      <c r="O20" s="94"/>
      <c r="P20" s="94"/>
      <c r="Q20" s="94"/>
      <c r="R20" s="94"/>
      <c r="S20" s="94"/>
      <c r="T20" s="94"/>
      <c r="U20" s="94"/>
      <c r="V20" s="94"/>
      <c r="W20" s="94"/>
      <c r="X20" s="94"/>
      <c r="Y20" s="94"/>
      <c r="Z20" s="94"/>
    </row>
    <row r="21" spans="2:26" x14ac:dyDescent="0.15">
      <c r="R21" s="36"/>
    </row>
    <row r="22" spans="2:26" s="29" customFormat="1" ht="12" x14ac:dyDescent="0.2">
      <c r="B22" s="95" t="s">
        <v>74</v>
      </c>
      <c r="C22" s="96"/>
      <c r="D22" s="97"/>
      <c r="E22" s="98" t="s">
        <v>1</v>
      </c>
      <c r="F22" s="99"/>
      <c r="G22" s="100" t="s">
        <v>2</v>
      </c>
      <c r="H22" s="101"/>
      <c r="I22" s="102" t="s">
        <v>3</v>
      </c>
      <c r="J22" s="103"/>
      <c r="K22" s="92" t="s">
        <v>92</v>
      </c>
      <c r="L22" s="93"/>
      <c r="M22" s="93"/>
      <c r="O22" s="92" t="s">
        <v>91</v>
      </c>
      <c r="P22" s="93"/>
      <c r="Q22" s="93"/>
      <c r="R22" s="91"/>
    </row>
    <row r="23" spans="2:26" s="29" customFormat="1" ht="18" x14ac:dyDescent="0.2">
      <c r="B23" s="30" t="s">
        <v>75</v>
      </c>
      <c r="C23" s="30" t="s">
        <v>23</v>
      </c>
      <c r="D23" s="30" t="s">
        <v>25</v>
      </c>
      <c r="E23" s="1" t="s">
        <v>76</v>
      </c>
      <c r="F23" s="1" t="s">
        <v>77</v>
      </c>
      <c r="G23" s="43" t="s">
        <v>76</v>
      </c>
      <c r="H23" s="43" t="s">
        <v>77</v>
      </c>
      <c r="I23" s="2" t="s">
        <v>76</v>
      </c>
      <c r="J23" s="2" t="s">
        <v>77</v>
      </c>
      <c r="K23" s="31" t="s">
        <v>78</v>
      </c>
      <c r="L23" s="32" t="s">
        <v>79</v>
      </c>
      <c r="M23" s="31" t="s">
        <v>90</v>
      </c>
      <c r="O23" s="31" t="s">
        <v>81</v>
      </c>
      <c r="P23" s="32" t="s">
        <v>79</v>
      </c>
      <c r="Q23" s="31" t="s">
        <v>90</v>
      </c>
    </row>
    <row r="24" spans="2:26" ht="22.5" x14ac:dyDescent="0.15">
      <c r="B24" s="33" t="s">
        <v>82</v>
      </c>
      <c r="C24" s="16" t="s">
        <v>63</v>
      </c>
      <c r="D24" s="48">
        <v>26</v>
      </c>
      <c r="E24" s="17">
        <v>7690000</v>
      </c>
      <c r="F24" s="5">
        <f>+E24*$D$6</f>
        <v>199940000</v>
      </c>
      <c r="G24" s="17">
        <v>5370000</v>
      </c>
      <c r="H24" s="5">
        <f>+G24*$D$6</f>
        <v>139620000</v>
      </c>
      <c r="I24" s="17">
        <v>5955000</v>
      </c>
      <c r="J24" s="5">
        <f>+I24*$D$6</f>
        <v>154830000</v>
      </c>
      <c r="K24" s="34">
        <f>ROUND(AVERAGE(E24,G24,I24),0)</f>
        <v>6338333</v>
      </c>
      <c r="L24" s="48">
        <v>26</v>
      </c>
      <c r="M24" s="35">
        <f>K24*L24</f>
        <v>164796658</v>
      </c>
      <c r="N24" s="36"/>
      <c r="O24" s="34">
        <f>ROUND(MEDIAN(E24,G24,I24),0)</f>
        <v>5955000</v>
      </c>
      <c r="P24" s="48">
        <v>26</v>
      </c>
      <c r="Q24" s="35">
        <f t="shared" ref="Q24:Q31" si="2">O24*P24</f>
        <v>154830000</v>
      </c>
    </row>
    <row r="25" spans="2:26" ht="22.5" x14ac:dyDescent="0.15">
      <c r="B25" s="33" t="s">
        <v>83</v>
      </c>
      <c r="C25" s="16" t="s">
        <v>64</v>
      </c>
      <c r="D25" s="48">
        <v>2</v>
      </c>
      <c r="E25" s="17">
        <v>24000000</v>
      </c>
      <c r="F25" s="5">
        <f>+E25*$D$7</f>
        <v>48000000</v>
      </c>
      <c r="G25" s="17">
        <v>16565000</v>
      </c>
      <c r="H25" s="5">
        <f>+G25*$D$7</f>
        <v>33130000</v>
      </c>
      <c r="I25" s="17">
        <v>20605000</v>
      </c>
      <c r="J25" s="5">
        <f>+I25*$D$7</f>
        <v>41210000</v>
      </c>
      <c r="K25" s="34">
        <f t="shared" ref="K25:K31" si="3">ROUND(AVERAGE(E25,G25,I25),0)</f>
        <v>20390000</v>
      </c>
      <c r="L25" s="48">
        <v>2</v>
      </c>
      <c r="M25" s="35">
        <f t="shared" ref="M25:M28" si="4">K25*L25</f>
        <v>40780000</v>
      </c>
      <c r="N25" s="36"/>
      <c r="O25" s="34">
        <f t="shared" ref="O25:O31" si="5">ROUND(MEDIAN(E25,G25,I25),0)</f>
        <v>20605000</v>
      </c>
      <c r="P25" s="48">
        <v>2</v>
      </c>
      <c r="Q25" s="35">
        <f t="shared" si="2"/>
        <v>41210000</v>
      </c>
    </row>
    <row r="26" spans="2:26" ht="22.5" x14ac:dyDescent="0.15">
      <c r="B26" s="33" t="s">
        <v>84</v>
      </c>
      <c r="C26" s="16" t="s">
        <v>65</v>
      </c>
      <c r="D26" s="48">
        <v>206</v>
      </c>
      <c r="E26" s="17">
        <v>7530000</v>
      </c>
      <c r="F26" s="5">
        <f>+E26*$D$8</f>
        <v>1551180000</v>
      </c>
      <c r="G26" s="17">
        <v>5570000</v>
      </c>
      <c r="H26" s="5">
        <f>+G26*$D$8</f>
        <v>1147420000</v>
      </c>
      <c r="I26" s="17">
        <v>6865000</v>
      </c>
      <c r="J26" s="5">
        <f>+I26*$D$8</f>
        <v>1414190000</v>
      </c>
      <c r="K26" s="34">
        <f t="shared" si="3"/>
        <v>6655000</v>
      </c>
      <c r="L26" s="48">
        <v>206</v>
      </c>
      <c r="M26" s="35">
        <f t="shared" si="4"/>
        <v>1370930000</v>
      </c>
      <c r="N26" s="36"/>
      <c r="O26" s="34">
        <f t="shared" si="5"/>
        <v>6865000</v>
      </c>
      <c r="P26" s="48">
        <v>206</v>
      </c>
      <c r="Q26" s="35">
        <f t="shared" si="2"/>
        <v>1414190000</v>
      </c>
    </row>
    <row r="27" spans="2:26" ht="22.5" x14ac:dyDescent="0.15">
      <c r="B27" s="33" t="s">
        <v>85</v>
      </c>
      <c r="C27" s="16" t="s">
        <v>66</v>
      </c>
      <c r="D27" s="48">
        <v>63</v>
      </c>
      <c r="E27" s="17">
        <v>8580000</v>
      </c>
      <c r="F27" s="5">
        <f>+E27*$D$9</f>
        <v>540540000</v>
      </c>
      <c r="G27" s="17">
        <v>5970000</v>
      </c>
      <c r="H27" s="5">
        <f>+G27*$D$9</f>
        <v>376110000</v>
      </c>
      <c r="I27" s="17">
        <v>6865000</v>
      </c>
      <c r="J27" s="5">
        <f>+I27*$D$9</f>
        <v>432495000</v>
      </c>
      <c r="K27" s="34">
        <f t="shared" si="3"/>
        <v>7138333</v>
      </c>
      <c r="L27" s="48">
        <v>63</v>
      </c>
      <c r="M27" s="35">
        <f t="shared" si="4"/>
        <v>449714979</v>
      </c>
      <c r="N27" s="36"/>
      <c r="O27" s="34">
        <f t="shared" si="5"/>
        <v>6865000</v>
      </c>
      <c r="P27" s="48">
        <v>63</v>
      </c>
      <c r="Q27" s="35">
        <f t="shared" si="2"/>
        <v>432495000</v>
      </c>
    </row>
    <row r="28" spans="2:26" ht="11.25" x14ac:dyDescent="0.15">
      <c r="B28" s="33" t="s">
        <v>86</v>
      </c>
      <c r="C28" s="16" t="s">
        <v>67</v>
      </c>
      <c r="D28" s="48">
        <v>7</v>
      </c>
      <c r="E28" s="17">
        <v>5515000</v>
      </c>
      <c r="F28" s="5">
        <f>+E28*$D$10</f>
        <v>38605000</v>
      </c>
      <c r="G28" s="17">
        <v>3000000</v>
      </c>
      <c r="H28" s="5">
        <f>+G28*$D$10</f>
        <v>21000000</v>
      </c>
      <c r="I28" s="17">
        <v>3560000</v>
      </c>
      <c r="J28" s="5">
        <f>+I28*$D$10</f>
        <v>24920000</v>
      </c>
      <c r="K28" s="34">
        <f t="shared" si="3"/>
        <v>4025000</v>
      </c>
      <c r="L28" s="48">
        <v>7</v>
      </c>
      <c r="M28" s="35">
        <f t="shared" si="4"/>
        <v>28175000</v>
      </c>
      <c r="N28" s="36"/>
      <c r="O28" s="34">
        <f t="shared" si="5"/>
        <v>3560000</v>
      </c>
      <c r="P28" s="48">
        <v>7</v>
      </c>
      <c r="Q28" s="35">
        <f t="shared" si="2"/>
        <v>24920000</v>
      </c>
    </row>
    <row r="29" spans="2:26" ht="11.25" x14ac:dyDescent="0.15">
      <c r="B29" s="33" t="s">
        <v>87</v>
      </c>
      <c r="C29" s="16" t="s">
        <v>69</v>
      </c>
      <c r="D29" s="48">
        <v>11</v>
      </c>
      <c r="E29" s="17">
        <v>6220000</v>
      </c>
      <c r="F29" s="5">
        <f>+E29*$D$12</f>
        <v>68420000</v>
      </c>
      <c r="G29" s="17">
        <v>4450000</v>
      </c>
      <c r="H29" s="5">
        <f>+G29*$D$12</f>
        <v>48950000</v>
      </c>
      <c r="I29" s="17">
        <v>4660000</v>
      </c>
      <c r="J29" s="5">
        <f>+I29*$D$12</f>
        <v>51260000</v>
      </c>
      <c r="K29" s="34">
        <f t="shared" si="3"/>
        <v>5110000</v>
      </c>
      <c r="L29" s="48">
        <v>11</v>
      </c>
      <c r="M29" s="35">
        <f>K29*L29</f>
        <v>56210000</v>
      </c>
      <c r="N29" s="36"/>
      <c r="O29" s="34">
        <f t="shared" si="5"/>
        <v>4660000</v>
      </c>
      <c r="P29" s="48">
        <v>11</v>
      </c>
      <c r="Q29" s="35">
        <f t="shared" si="2"/>
        <v>51260000</v>
      </c>
    </row>
    <row r="30" spans="2:26" ht="11.25" x14ac:dyDescent="0.15">
      <c r="B30" s="48">
        <v>7</v>
      </c>
      <c r="C30" s="16" t="s">
        <v>70</v>
      </c>
      <c r="D30" s="48">
        <v>20</v>
      </c>
      <c r="E30" s="17">
        <v>3400000</v>
      </c>
      <c r="F30" s="5">
        <f>+E30*$D$13</f>
        <v>68000000</v>
      </c>
      <c r="G30" s="17">
        <v>4740000</v>
      </c>
      <c r="H30" s="5">
        <f>+G30*$D$13</f>
        <v>94800000</v>
      </c>
      <c r="I30" s="17">
        <v>4860000</v>
      </c>
      <c r="J30" s="5">
        <f>+I30*$D$13</f>
        <v>97200000</v>
      </c>
      <c r="K30" s="34">
        <f t="shared" si="3"/>
        <v>4333333</v>
      </c>
      <c r="L30" s="48">
        <v>20</v>
      </c>
      <c r="M30" s="35">
        <f>K30*L30</f>
        <v>86666660</v>
      </c>
      <c r="N30" s="36"/>
      <c r="O30" s="34">
        <f t="shared" si="5"/>
        <v>4740000</v>
      </c>
      <c r="P30" s="48">
        <v>20</v>
      </c>
      <c r="Q30" s="35">
        <f t="shared" si="2"/>
        <v>94800000</v>
      </c>
    </row>
    <row r="31" spans="2:26" ht="22.5" x14ac:dyDescent="0.15">
      <c r="B31" s="48">
        <v>8</v>
      </c>
      <c r="C31" s="16" t="s">
        <v>71</v>
      </c>
      <c r="D31" s="50">
        <v>3</v>
      </c>
      <c r="E31" s="17">
        <v>11140000</v>
      </c>
      <c r="F31" s="5">
        <f>+E31*$D$14</f>
        <v>33420000</v>
      </c>
      <c r="G31" s="17">
        <v>10520000</v>
      </c>
      <c r="H31" s="5">
        <f>+G31*$D$14</f>
        <v>31560000</v>
      </c>
      <c r="I31" s="17">
        <v>12250000</v>
      </c>
      <c r="J31" s="5">
        <f>+I31*$D$14</f>
        <v>36750000</v>
      </c>
      <c r="K31" s="34">
        <f t="shared" si="3"/>
        <v>11303333</v>
      </c>
      <c r="L31" s="50">
        <v>3</v>
      </c>
      <c r="M31" s="35">
        <f>K31*L31</f>
        <v>33909999</v>
      </c>
      <c r="N31" s="36"/>
      <c r="O31" s="34">
        <f t="shared" si="5"/>
        <v>11140000</v>
      </c>
      <c r="P31" s="50">
        <v>3</v>
      </c>
      <c r="Q31" s="35">
        <f t="shared" si="2"/>
        <v>33420000</v>
      </c>
    </row>
    <row r="32" spans="2:26" ht="18" customHeight="1" x14ac:dyDescent="0.15">
      <c r="E32" s="39"/>
      <c r="F32" s="40">
        <f>+SUM(F24:F31)</f>
        <v>2548105000</v>
      </c>
      <c r="G32" s="39"/>
      <c r="H32" s="40">
        <f>+SUM(H24:H31)</f>
        <v>1892590000</v>
      </c>
      <c r="I32" s="39"/>
      <c r="J32" s="40">
        <f>+SUM(J24:J31)</f>
        <v>2252855000</v>
      </c>
      <c r="K32" s="79" t="s">
        <v>77</v>
      </c>
      <c r="L32" s="80"/>
      <c r="M32" s="40">
        <f>+SUM(M24:M31)</f>
        <v>2231183296</v>
      </c>
      <c r="N32" s="28"/>
      <c r="O32" s="79" t="s">
        <v>77</v>
      </c>
      <c r="P32" s="80"/>
      <c r="Q32" s="40">
        <f>+SUM(Q24:Q31)</f>
        <v>2247125000</v>
      </c>
    </row>
    <row r="33" spans="10:26" x14ac:dyDescent="0.15">
      <c r="N33" s="28"/>
      <c r="O33" s="28"/>
    </row>
    <row r="34" spans="10:26" x14ac:dyDescent="0.15">
      <c r="N34" s="28"/>
      <c r="O34" s="28"/>
    </row>
    <row r="35" spans="10:26" x14ac:dyDescent="0.15">
      <c r="P35" s="41"/>
    </row>
    <row r="36" spans="10:26" ht="11.25" x14ac:dyDescent="0.2">
      <c r="J36" s="6"/>
      <c r="K36" s="6"/>
      <c r="L36" s="6"/>
      <c r="M36" s="6"/>
      <c r="N36" s="6"/>
      <c r="O36" s="6"/>
      <c r="P36" s="6"/>
      <c r="Q36" s="6"/>
      <c r="R36" s="6"/>
      <c r="S36" s="6"/>
      <c r="T36" s="6"/>
      <c r="U36" s="6"/>
      <c r="V36" s="6"/>
      <c r="W36" s="6"/>
      <c r="X36" s="6"/>
      <c r="Y36" s="6"/>
      <c r="Z36" s="6"/>
    </row>
    <row r="37" spans="10:26" ht="11.25" x14ac:dyDescent="0.2">
      <c r="J37" s="6"/>
      <c r="K37" s="6"/>
      <c r="L37" s="6"/>
      <c r="M37" s="6"/>
      <c r="N37" s="6"/>
      <c r="O37" s="6"/>
      <c r="P37" s="6"/>
      <c r="Q37" s="6"/>
      <c r="R37" s="6"/>
      <c r="S37" s="6"/>
      <c r="T37" s="6"/>
      <c r="U37" s="6"/>
      <c r="V37" s="6"/>
      <c r="W37" s="6"/>
      <c r="X37" s="6"/>
      <c r="Y37" s="6"/>
      <c r="Z37" s="6"/>
    </row>
  </sheetData>
  <mergeCells count="17">
    <mergeCell ref="E4:F4"/>
    <mergeCell ref="K22:M22"/>
    <mergeCell ref="O22:Q22"/>
    <mergeCell ref="B2:Z2"/>
    <mergeCell ref="B20:Z20"/>
    <mergeCell ref="B22:D22"/>
    <mergeCell ref="E22:F22"/>
    <mergeCell ref="G22:H22"/>
    <mergeCell ref="I22:J22"/>
    <mergeCell ref="M15:N15"/>
    <mergeCell ref="G4:H4"/>
    <mergeCell ref="I4:J4"/>
    <mergeCell ref="K4:L4"/>
    <mergeCell ref="Q4:S4"/>
    <mergeCell ref="Q15:R15"/>
    <mergeCell ref="B4:D4"/>
    <mergeCell ref="M4:O4"/>
  </mergeCells>
  <phoneticPr fontId="12" type="noConversion"/>
  <conditionalFormatting sqref="B2">
    <cfRule type="containsText" dxfId="49" priority="39" operator="containsText" text="NO ATIPICO">
      <formula>NOT(ISERROR(SEARCH("NO ATIPICO",B2)))</formula>
    </cfRule>
    <cfRule type="containsText" dxfId="48" priority="40" operator="containsText" text="ATIPICO">
      <formula>NOT(ISERROR(SEARCH("ATIPICO",B2)))</formula>
    </cfRule>
  </conditionalFormatting>
  <conditionalFormatting sqref="B20">
    <cfRule type="containsText" dxfId="47" priority="7" operator="containsText" text="NO ATIPICO">
      <formula>NOT(ISERROR(SEARCH("NO ATIPICO",B20)))</formula>
    </cfRule>
    <cfRule type="containsText" dxfId="46" priority="8" operator="containsText" text="ATIPICO">
      <formula>NOT(ISERROR(SEARCH("ATIPICO",B20)))</formula>
    </cfRule>
  </conditionalFormatting>
  <conditionalFormatting sqref="B13:D14 L24:L31 P24:P31 J36:Z37">
    <cfRule type="containsText" dxfId="45" priority="136" operator="containsText" text="ATIPICO">
      <formula>NOT(ISERROR(SEARCH("ATIPICO",B13)))</formula>
    </cfRule>
    <cfRule type="containsText" dxfId="44" priority="135" operator="containsText" text="NO ATIPICO">
      <formula>NOT(ISERROR(SEARCH("NO ATIPICO",B13)))</formula>
    </cfRule>
  </conditionalFormatting>
  <conditionalFormatting sqref="B30:D31">
    <cfRule type="containsText" dxfId="43" priority="37" operator="containsText" text="NO ATIPICO">
      <formula>NOT(ISERROR(SEARCH("NO ATIPICO",B30)))</formula>
    </cfRule>
    <cfRule type="containsText" dxfId="42" priority="38" operator="containsText" text="ATIPICO">
      <formula>NOT(ISERROR(SEARCH("ATIPICO",B30)))</formula>
    </cfRule>
  </conditionalFormatting>
  <conditionalFormatting sqref="C11:D12">
    <cfRule type="containsText" dxfId="41" priority="48" operator="containsText" text="ATIPICO">
      <formula>NOT(ISERROR(SEARCH("ATIPICO",C11)))</formula>
    </cfRule>
    <cfRule type="containsText" dxfId="40" priority="47" operator="containsText" text="NO ATIPICO">
      <formula>NOT(ISERROR(SEARCH("NO ATIPICO",C11)))</formula>
    </cfRule>
  </conditionalFormatting>
  <conditionalFormatting sqref="C24:D29">
    <cfRule type="containsText" dxfId="39" priority="35" operator="containsText" text="NO ATIPICO">
      <formula>NOT(ISERROR(SEARCH("NO ATIPICO",C24)))</formula>
    </cfRule>
    <cfRule type="containsText" dxfId="38" priority="36" operator="containsText" text="ATIPICO">
      <formula>NOT(ISERROR(SEARCH("ATIPICO",C24)))</formula>
    </cfRule>
  </conditionalFormatting>
  <conditionalFormatting sqref="C6:E10">
    <cfRule type="containsText" dxfId="37" priority="124" operator="containsText" text="ATIPICO">
      <formula>NOT(ISERROR(SEARCH("ATIPICO",C6)))</formula>
    </cfRule>
    <cfRule type="containsText" dxfId="36" priority="123" operator="containsText" text="NO ATIPICO">
      <formula>NOT(ISERROR(SEARCH("NO ATIPICO",C6)))</formula>
    </cfRule>
  </conditionalFormatting>
  <conditionalFormatting sqref="E4">
    <cfRule type="containsText" dxfId="35" priority="96" operator="containsText" text="ATIPICO">
      <formula>NOT(ISERROR(SEARCH("ATIPICO",E4)))</formula>
    </cfRule>
    <cfRule type="containsText" dxfId="34" priority="95" operator="containsText" text="NO ATIPICO">
      <formula>NOT(ISERROR(SEARCH("NO ATIPICO",E4)))</formula>
    </cfRule>
  </conditionalFormatting>
  <conditionalFormatting sqref="E12:E14">
    <cfRule type="containsText" dxfId="33" priority="117" operator="containsText" text="NO ATIPICO">
      <formula>NOT(ISERROR(SEARCH("NO ATIPICO",E12)))</formula>
    </cfRule>
    <cfRule type="containsText" dxfId="32" priority="118" operator="containsText" text="ATIPICO">
      <formula>NOT(ISERROR(SEARCH("ATIPICO",E12)))</formula>
    </cfRule>
  </conditionalFormatting>
  <conditionalFormatting sqref="E22">
    <cfRule type="containsText" dxfId="31" priority="30" operator="containsText" text="ATIPICO">
      <formula>NOT(ISERROR(SEARCH("ATIPICO",E22)))</formula>
    </cfRule>
    <cfRule type="containsText" dxfId="30" priority="29" operator="containsText" text="NO ATIPICO">
      <formula>NOT(ISERROR(SEARCH("NO ATIPICO",E22)))</formula>
    </cfRule>
  </conditionalFormatting>
  <conditionalFormatting sqref="E24:E31">
    <cfRule type="containsText" dxfId="29" priority="5" operator="containsText" text="NO ATIPICO">
      <formula>NOT(ISERROR(SEARCH("NO ATIPICO",E24)))</formula>
    </cfRule>
    <cfRule type="containsText" dxfId="28" priority="6" operator="containsText" text="ATIPICO">
      <formula>NOT(ISERROR(SEARCH("ATIPICO",E24)))</formula>
    </cfRule>
  </conditionalFormatting>
  <conditionalFormatting sqref="E5:L5 I4">
    <cfRule type="containsText" dxfId="27" priority="87" operator="containsText" text="NO ATIPICO">
      <formula>NOT(ISERROR(SEARCH("NO ATIPICO",E4)))</formula>
    </cfRule>
  </conditionalFormatting>
  <conditionalFormatting sqref="G4">
    <cfRule type="containsText" dxfId="26" priority="93" operator="containsText" text="NO ATIPICO">
      <formula>NOT(ISERROR(SEARCH("NO ATIPICO",G4)))</formula>
    </cfRule>
    <cfRule type="containsText" dxfId="25" priority="94" operator="containsText" text="ATIPICO">
      <formula>NOT(ISERROR(SEARCH("ATIPICO",G4)))</formula>
    </cfRule>
  </conditionalFormatting>
  <conditionalFormatting sqref="G6:G10">
    <cfRule type="containsText" dxfId="24" priority="46" operator="containsText" text="ATIPICO">
      <formula>NOT(ISERROR(SEARCH("ATIPICO",G6)))</formula>
    </cfRule>
    <cfRule type="containsText" dxfId="23" priority="45" operator="containsText" text="NO ATIPICO">
      <formula>NOT(ISERROR(SEARCH("NO ATIPICO",G6)))</formula>
    </cfRule>
  </conditionalFormatting>
  <conditionalFormatting sqref="G12:G14">
    <cfRule type="containsText" dxfId="22" priority="65" operator="containsText" text="NO ATIPICO">
      <formula>NOT(ISERROR(SEARCH("NO ATIPICO",G12)))</formula>
    </cfRule>
    <cfRule type="containsText" dxfId="21" priority="66" operator="containsText" text="ATIPICO">
      <formula>NOT(ISERROR(SEARCH("ATIPICO",G12)))</formula>
    </cfRule>
  </conditionalFormatting>
  <conditionalFormatting sqref="G22">
    <cfRule type="containsText" dxfId="20" priority="28" operator="containsText" text="ATIPICO">
      <formula>NOT(ISERROR(SEARCH("ATIPICO",G22)))</formula>
    </cfRule>
    <cfRule type="containsText" dxfId="19" priority="27" operator="containsText" text="NO ATIPICO">
      <formula>NOT(ISERROR(SEARCH("NO ATIPICO",G22)))</formula>
    </cfRule>
  </conditionalFormatting>
  <conditionalFormatting sqref="G24:G31">
    <cfRule type="containsText" dxfId="18" priority="3" operator="containsText" text="NO ATIPICO">
      <formula>NOT(ISERROR(SEARCH("NO ATIPICO",G24)))</formula>
    </cfRule>
    <cfRule type="containsText" dxfId="17" priority="4" operator="containsText" text="ATIPICO">
      <formula>NOT(ISERROR(SEARCH("ATIPICO",G24)))</formula>
    </cfRule>
  </conditionalFormatting>
  <conditionalFormatting sqref="I4 E5:L5">
    <cfRule type="containsText" dxfId="16" priority="88" operator="containsText" text="ATIPICO">
      <formula>NOT(ISERROR(SEARCH("ATIPICO",E4)))</formula>
    </cfRule>
  </conditionalFormatting>
  <conditionalFormatting sqref="I6:I10">
    <cfRule type="containsText" dxfId="15" priority="61" operator="containsText" text="NO ATIPICO">
      <formula>NOT(ISERROR(SEARCH("NO ATIPICO",I6)))</formula>
    </cfRule>
    <cfRule type="containsText" dxfId="14" priority="62" operator="containsText" text="ATIPICO">
      <formula>NOT(ISERROR(SEARCH("ATIPICO",I6)))</formula>
    </cfRule>
  </conditionalFormatting>
  <conditionalFormatting sqref="I12:I14">
    <cfRule type="containsText" dxfId="13" priority="59" operator="containsText" text="NO ATIPICO">
      <formula>NOT(ISERROR(SEARCH("NO ATIPICO",I12)))</formula>
    </cfRule>
    <cfRule type="containsText" dxfId="12" priority="60" operator="containsText" text="ATIPICO">
      <formula>NOT(ISERROR(SEARCH("ATIPICO",I12)))</formula>
    </cfRule>
  </conditionalFormatting>
  <conditionalFormatting sqref="I22 E23:J23">
    <cfRule type="containsText" dxfId="11" priority="25" operator="containsText" text="NO ATIPICO">
      <formula>NOT(ISERROR(SEARCH("NO ATIPICO",E22)))</formula>
    </cfRule>
    <cfRule type="containsText" dxfId="10" priority="26" operator="containsText" text="ATIPICO">
      <formula>NOT(ISERROR(SEARCH("ATIPICO",E22)))</formula>
    </cfRule>
  </conditionalFormatting>
  <conditionalFormatting sqref="I24:I31">
    <cfRule type="containsText" dxfId="9" priority="2" operator="containsText" text="ATIPICO">
      <formula>NOT(ISERROR(SEARCH("ATIPICO",I24)))</formula>
    </cfRule>
    <cfRule type="containsText" dxfId="8" priority="1" operator="containsText" text="NO ATIPICO">
      <formula>NOT(ISERROR(SEARCH("NO ATIPICO",I24)))</formula>
    </cfRule>
  </conditionalFormatting>
  <conditionalFormatting sqref="K4 K5:L5">
    <cfRule type="containsText" dxfId="7" priority="49" operator="containsText" text="NO ATIPICO">
      <formula>NOT(ISERROR(SEARCH("NO ATIPICO",K4)))</formula>
    </cfRule>
    <cfRule type="containsText" dxfId="6" priority="50" operator="containsText" text="ATIPICO">
      <formula>NOT(ISERROR(SEARCH("ATIPICO",K4)))</formula>
    </cfRule>
  </conditionalFormatting>
  <conditionalFormatting sqref="K6:K14">
    <cfRule type="containsText" dxfId="5" priority="53" operator="containsText" text="NO ATIPICO">
      <formula>NOT(ISERROR(SEARCH("NO ATIPICO",K6)))</formula>
    </cfRule>
    <cfRule type="containsText" dxfId="4" priority="54" operator="containsText" text="ATIPICO">
      <formula>NOT(ISERROR(SEARCH("ATIPICO",K6)))</formula>
    </cfRule>
  </conditionalFormatting>
  <conditionalFormatting sqref="N6:N14">
    <cfRule type="containsText" dxfId="3" priority="99" operator="containsText" text="NO ATIPICO">
      <formula>NOT(ISERROR(SEARCH("NO ATIPICO",N6)))</formula>
    </cfRule>
    <cfRule type="containsText" dxfId="2" priority="100" operator="containsText" text="ATIPICO">
      <formula>NOT(ISERROR(SEARCH("ATIPICO",N6)))</formula>
    </cfRule>
  </conditionalFormatting>
  <conditionalFormatting sqref="R6:R14">
    <cfRule type="containsText" dxfId="1" priority="44" operator="containsText" text="ATIPICO">
      <formula>NOT(ISERROR(SEARCH("ATIPICO",R6)))</formula>
    </cfRule>
    <cfRule type="containsText" dxfId="0" priority="43" operator="containsText" text="NO ATIPICO">
      <formula>NOT(ISERROR(SEARCH("NO ATIPICO",R6)))</formula>
    </cfRule>
  </conditionalFormatting>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cuestionario 1860</vt:lpstr>
      <vt:lpstr>Valores Históricos</vt:lpstr>
      <vt:lpstr>Análisis Atípicos</vt:lpstr>
      <vt:lpstr>Análisis comparativo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TATIANA RODRIGUEZ JIMENEZ</dc:creator>
  <cp:keywords/>
  <dc:description/>
  <cp:lastModifiedBy>TATIANA RODRIGUEZ JIMENEZ</cp:lastModifiedBy>
  <cp:revision/>
  <dcterms:created xsi:type="dcterms:W3CDTF">2025-02-26T15:52:43Z</dcterms:created>
  <dcterms:modified xsi:type="dcterms:W3CDTF">2026-10-01T15:38:43Z</dcterms:modified>
  <cp:category/>
  <cp:contentStatus/>
</cp:coreProperties>
</file>