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mc:AlternateContent xmlns:mc="http://schemas.openxmlformats.org/markup-compatibility/2006">
    <mc:Choice Requires="x15">
      <x15ac:absPath xmlns:x15ac="http://schemas.microsoft.com/office/spreadsheetml/2010/11/ac" url="\\192.168.250.200\Planeacion Usuario 1\PLAN 2024_2027\2026\4. EST_PREV\EP MANT SEDES ALCALDIA\"/>
    </mc:Choice>
  </mc:AlternateContent>
  <xr:revisionPtr revIDLastSave="0" documentId="13_ncr:1_{C2122392-1BCB-4E41-866D-36DDBBDA1754}" xr6:coauthVersionLast="47" xr6:coauthVersionMax="47" xr10:uidLastSave="{00000000-0000-0000-0000-000000000000}"/>
  <bookViews>
    <workbookView xWindow="-120" yWindow="-120" windowWidth="29040" windowHeight="15840" tabRatio="74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(Entidad)'!$I$11:$I$115</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(Entidad)'!$A$1:$M$128</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(Entidad)'!$K$123</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(Entidad)'!$K$123</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(Entidad)'!$K$124</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46" i="265" l="1"/>
  <c r="K46" i="265" s="1"/>
  <c r="J112" i="265"/>
  <c r="J111" i="265"/>
  <c r="K111" i="265" s="1"/>
  <c r="J110" i="265"/>
  <c r="J109" i="265"/>
  <c r="K109" i="265" s="1"/>
  <c r="J108" i="265"/>
  <c r="J107" i="265"/>
  <c r="J106" i="265"/>
  <c r="K106" i="265" s="1"/>
  <c r="J105" i="265"/>
  <c r="K105" i="265" s="1"/>
  <c r="J104" i="265"/>
  <c r="J103" i="265"/>
  <c r="J102" i="265"/>
  <c r="J101" i="265"/>
  <c r="J100" i="265"/>
  <c r="K100" i="265" s="1"/>
  <c r="J99" i="265"/>
  <c r="K99" i="265" s="1"/>
  <c r="J98" i="265"/>
  <c r="J97" i="265"/>
  <c r="J96" i="265"/>
  <c r="K96" i="265" s="1"/>
  <c r="J95" i="265"/>
  <c r="K95" i="265" s="1"/>
  <c r="J94" i="265"/>
  <c r="K94" i="265" s="1"/>
  <c r="J93" i="265"/>
  <c r="K93" i="265" s="1"/>
  <c r="J92" i="265"/>
  <c r="J91" i="265"/>
  <c r="J90" i="265"/>
  <c r="K90" i="265" s="1"/>
  <c r="J89" i="265"/>
  <c r="K89" i="265" s="1"/>
  <c r="J88" i="265"/>
  <c r="K88" i="265" s="1"/>
  <c r="J87" i="265"/>
  <c r="K87" i="265" s="1"/>
  <c r="J86" i="265"/>
  <c r="J85" i="265"/>
  <c r="J84" i="265"/>
  <c r="K84" i="265" s="1"/>
  <c r="J83" i="265"/>
  <c r="K83" i="265" s="1"/>
  <c r="J82" i="265"/>
  <c r="K82" i="265" s="1"/>
  <c r="J81" i="265"/>
  <c r="J80" i="265"/>
  <c r="K80" i="265" s="1"/>
  <c r="J79" i="265"/>
  <c r="J78" i="265"/>
  <c r="J77" i="265"/>
  <c r="K77" i="265" s="1"/>
  <c r="J76" i="265"/>
  <c r="K76" i="265" s="1"/>
  <c r="J75" i="265"/>
  <c r="K75" i="265" s="1"/>
  <c r="J74" i="265"/>
  <c r="K74" i="265" s="1"/>
  <c r="J73" i="265"/>
  <c r="J72" i="265"/>
  <c r="K72" i="265" s="1"/>
  <c r="J71" i="265"/>
  <c r="K71" i="265" s="1"/>
  <c r="J70" i="265"/>
  <c r="K70" i="265" s="1"/>
  <c r="J69" i="265"/>
  <c r="K69" i="265" s="1"/>
  <c r="J68" i="265"/>
  <c r="K68" i="265" s="1"/>
  <c r="J67" i="265"/>
  <c r="K67" i="265" s="1"/>
  <c r="J66" i="265"/>
  <c r="K66" i="265" s="1"/>
  <c r="J65" i="265"/>
  <c r="J64" i="265"/>
  <c r="K64" i="265" s="1"/>
  <c r="J63" i="265"/>
  <c r="K63" i="265" s="1"/>
  <c r="J62" i="265"/>
  <c r="K62" i="265" s="1"/>
  <c r="J61" i="265"/>
  <c r="J60" i="265"/>
  <c r="K60" i="265" s="1"/>
  <c r="J59" i="265"/>
  <c r="K59" i="265" s="1"/>
  <c r="J58" i="265"/>
  <c r="K58" i="265" s="1"/>
  <c r="J57" i="265"/>
  <c r="J56" i="265"/>
  <c r="K56" i="265" s="1"/>
  <c r="J55" i="265"/>
  <c r="J54" i="265"/>
  <c r="J53" i="265"/>
  <c r="K53" i="265" s="1"/>
  <c r="J52" i="265"/>
  <c r="K52" i="265" s="1"/>
  <c r="J51" i="265"/>
  <c r="J50" i="265"/>
  <c r="J49" i="265"/>
  <c r="K49" i="265" s="1"/>
  <c r="J48" i="265"/>
  <c r="K48" i="265" s="1"/>
  <c r="J47" i="265"/>
  <c r="J45" i="265"/>
  <c r="K45" i="265" s="1"/>
  <c r="J44" i="265"/>
  <c r="J43" i="265"/>
  <c r="J42" i="265"/>
  <c r="J41" i="265"/>
  <c r="J40" i="265"/>
  <c r="J39" i="265"/>
  <c r="J38" i="265"/>
  <c r="J37" i="265"/>
  <c r="J36" i="265"/>
  <c r="K36" i="265" s="1"/>
  <c r="J35" i="265"/>
  <c r="K35" i="265" s="1"/>
  <c r="J34" i="265"/>
  <c r="K34" i="265" s="1"/>
  <c r="J33" i="265"/>
  <c r="K33" i="265" s="1"/>
  <c r="J32" i="265"/>
  <c r="J31" i="265"/>
  <c r="J30" i="265"/>
  <c r="K30" i="265" s="1"/>
  <c r="J29" i="265"/>
  <c r="K29" i="265" s="1"/>
  <c r="J28" i="265"/>
  <c r="J27" i="265"/>
  <c r="J26" i="265"/>
  <c r="K26" i="265" s="1"/>
  <c r="J25" i="265"/>
  <c r="J24" i="265"/>
  <c r="K24" i="265" s="1"/>
  <c r="J23" i="265"/>
  <c r="K23" i="265" s="1"/>
  <c r="J22" i="265"/>
  <c r="K22" i="265" s="1"/>
  <c r="J21" i="265"/>
  <c r="K21" i="265" s="1"/>
  <c r="J20" i="265"/>
  <c r="K20" i="265" s="1"/>
  <c r="J19" i="265"/>
  <c r="K19" i="265" s="1"/>
  <c r="J18" i="265"/>
  <c r="J17" i="265"/>
  <c r="K17" i="265" s="1"/>
  <c r="J16" i="265"/>
  <c r="K16" i="265" s="1"/>
  <c r="J15" i="265"/>
  <c r="K15" i="265" s="1"/>
  <c r="J14" i="265"/>
  <c r="K57" i="265"/>
  <c r="K61" i="265"/>
  <c r="K65" i="265"/>
  <c r="K73" i="265"/>
  <c r="K78" i="265"/>
  <c r="K79" i="265"/>
  <c r="K81" i="265"/>
  <c r="K85" i="265"/>
  <c r="K86" i="265"/>
  <c r="K91" i="265"/>
  <c r="K92" i="265"/>
  <c r="K97" i="265"/>
  <c r="K98" i="265"/>
  <c r="K101" i="265"/>
  <c r="K102" i="265"/>
  <c r="K103" i="265"/>
  <c r="K104" i="265"/>
  <c r="K107" i="265"/>
  <c r="K108" i="265"/>
  <c r="K110" i="265"/>
  <c r="K112" i="265"/>
  <c r="K28" i="265"/>
  <c r="K37" i="265"/>
  <c r="K44" i="265"/>
  <c r="K18" i="265"/>
  <c r="K25" i="265"/>
  <c r="K27" i="265"/>
  <c r="K31" i="265"/>
  <c r="K32" i="265"/>
  <c r="K38" i="265"/>
  <c r="K39" i="265"/>
  <c r="K40" i="265"/>
  <c r="K41" i="265"/>
  <c r="K42" i="265"/>
  <c r="K43" i="265"/>
  <c r="K47" i="265"/>
  <c r="K50" i="265"/>
  <c r="K51" i="265"/>
  <c r="K54" i="265"/>
  <c r="K55" i="265"/>
  <c r="K125" i="265" l="1"/>
  <c r="K14" i="265"/>
  <c r="K115" i="265" s="1"/>
  <c r="K118" i="265" l="1"/>
</calcChain>
</file>

<file path=xl/sharedStrings.xml><?xml version="1.0" encoding="utf-8"?>
<sst xmlns="http://schemas.openxmlformats.org/spreadsheetml/2006/main" count="370" uniqueCount="223">
  <si>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</si>
  <si>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</si>
  <si>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</si>
  <si>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</si>
  <si>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</si>
  <si>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</si>
  <si>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</si>
  <si>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</si>
  <si>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</si>
  <si>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</si>
  <si>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</si>
  <si>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</si>
  <si>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</si>
  <si>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</si>
  <si>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</si>
  <si>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</si>
  <si>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</si>
  <si>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</si>
  <si>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</si>
  <si>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</si>
  <si>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</si>
  <si>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</si>
  <si>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</si>
  <si>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</si>
  <si>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</si>
  <si>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</si>
  <si>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</si>
  <si>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</si>
  <si>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</si>
  <si>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</si>
  <si>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</si>
  <si>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</si>
  <si>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</si>
  <si>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</si>
  <si>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</si>
  <si>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</si>
  <si>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</si>
  <si>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</si>
  <si>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</si>
  <si>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</si>
  <si>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</si>
  <si>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</si>
  <si>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</si>
  <si>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</si>
  <si>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</si>
  <si>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</si>
  <si>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</si>
  <si>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</si>
  <si>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</si>
  <si>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</si>
  <si>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</si>
  <si>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</si>
  <si>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</si>
  <si>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</si>
  <si>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</si>
  <si>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</si>
  <si>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</si>
  <si>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</si>
  <si>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</si>
  <si>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</si>
  <si>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</si>
  <si>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</si>
  <si>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</si>
  <si>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</si>
  <si>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</si>
  <si>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</si>
  <si>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</si>
  <si>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</si>
  <si>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</si>
  <si>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</si>
  <si>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</si>
  <si>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</si>
  <si>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</si>
  <si>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</si>
  <si>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</si>
  <si>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</si>
  <si>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</si>
  <si>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</si>
  <si>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</si>
  <si>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</si>
  <si>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</si>
  <si>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</si>
  <si>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</si>
  <si>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</si>
  <si>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</si>
  <si>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</si>
  <si>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</si>
  <si>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</si>
  <si>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</si>
  <si>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</si>
  <si>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</si>
  <si>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</si>
  <si>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M3</t>
  </si>
  <si>
    <t>EXCAVACIÓN MANUAL EN MATERIAL COMÚN H=0.0-2.0 M (INCLUYE RETIRO DE SOBRANTES A UNA DISTANCIA MENOR DE 5 KM)</t>
  </si>
  <si>
    <t>ACERO FIGURADO 60000 PSI</t>
  </si>
  <si>
    <t>6.2</t>
  </si>
  <si>
    <t>DESCAPOTE MANUAL Y RETIRO E= 0.20 M APILE A 15 M</t>
  </si>
  <si>
    <t>REFUERZO MALLA ELECTROSOLDADA</t>
  </si>
  <si>
    <t>PAÑETE LISO MUROS 1:4, E=1.5 CM</t>
  </si>
  <si>
    <t>FILOS O DILATACIONES B/PLACA</t>
  </si>
  <si>
    <t xml:space="preserve"> ESMALTE SOBRE LAMINA LLENA</t>
  </si>
  <si>
    <t>ml</t>
  </si>
  <si>
    <t>AJUSTE AL PESO</t>
  </si>
  <si>
    <t>CERÁMICA PISO TRÁFICO 5, CALIDAD PRIMERA</t>
  </si>
  <si>
    <t>m2</t>
  </si>
  <si>
    <t>14.12</t>
  </si>
  <si>
    <t>15.10</t>
  </si>
  <si>
    <t>APU 1</t>
  </si>
  <si>
    <t>APU 2</t>
  </si>
  <si>
    <t>APU 3</t>
  </si>
  <si>
    <t>APU 4</t>
  </si>
  <si>
    <t>APU 5</t>
  </si>
  <si>
    <t>APU 6</t>
  </si>
  <si>
    <t>APU 7</t>
  </si>
  <si>
    <t>APU 8</t>
  </si>
  <si>
    <t>APU 9</t>
  </si>
  <si>
    <t>APU 10</t>
  </si>
  <si>
    <t>APU 11</t>
  </si>
  <si>
    <t>APU 12</t>
  </si>
  <si>
    <t>APU 13</t>
  </si>
  <si>
    <t>APU 14</t>
  </si>
  <si>
    <t>APU 15</t>
  </si>
  <si>
    <t>APU 16</t>
  </si>
  <si>
    <t>APU 17</t>
  </si>
  <si>
    <t>APU 18</t>
  </si>
  <si>
    <t>APU 19</t>
  </si>
  <si>
    <t>APU 20</t>
  </si>
  <si>
    <t>DEMOLICIÓN BALDOSA DE PISO H=0.02 M, INC RETIRO</t>
  </si>
  <si>
    <t>DEMOLICIÓN ENCHAPE MURO, INC RETIRO</t>
  </si>
  <si>
    <t xml:space="preserve"> DEMOLICIÓN PAÑETE MURO, INC RETIRO</t>
  </si>
  <si>
    <t>DEMOLICIÓN CIELO RASO FALSO, INC RETIRO</t>
  </si>
  <si>
    <t>DEMOLICIÓN MUROS EN MAMPOSTERÍA 0.15 M, INC RETIRO</t>
  </si>
  <si>
    <t>DEMOLICIÓN PLACA MACIZA 0.15 M, INC RETIRO</t>
  </si>
  <si>
    <t>DEMOLICIÓN VIGAS Y COLUMNAS, INC RETIRO</t>
  </si>
  <si>
    <t>m3</t>
  </si>
  <si>
    <t>DESMONTE APARATOS SANITARIOS, INC RETIRO</t>
  </si>
  <si>
    <t>und</t>
  </si>
  <si>
    <t>DESMONTE DE CUBIERTAS (TEJA DE BARRO), INC RETIRO</t>
  </si>
  <si>
    <t>DESMONTE DE CUBIERTAS (ASBESTO CEMENTO)</t>
  </si>
  <si>
    <t>DESMONTE DE CUBIERTAS (TERMOACÚSTICA), INC RETIRO</t>
  </si>
  <si>
    <t>DESMONTE MARCOS Y PUERTAS, INC RETIRO</t>
  </si>
  <si>
    <t>REPLANTEO MANUAL DE CIMIENTOS</t>
  </si>
  <si>
    <t>VIGA DE AMARRE EN CONCRETO 3500 PSI</t>
  </si>
  <si>
    <t>COLUMNAS 3500 PSI</t>
  </si>
  <si>
    <t>CONCRETO CICLÓPEO 2000 PSI, 40% RAJÓN</t>
  </si>
  <si>
    <t>ENTREPISO PLACA MACIZA 3500 PSI E=0.15 M</t>
  </si>
  <si>
    <t>ACERO FIGURADO 37000 PSI</t>
  </si>
  <si>
    <t>kg</t>
  </si>
  <si>
    <t>Kg</t>
  </si>
  <si>
    <t>VIGA AÉREA 3500 PSI</t>
  </si>
  <si>
    <t>VIGA  CINTA 3500 PSI</t>
  </si>
  <si>
    <t>MURO SUPERBOARD DOBLE CARA 0.12 M</t>
  </si>
  <si>
    <t>MURO EN BLOQUE Nº 5 E=0.12 M</t>
  </si>
  <si>
    <t>FILOS O DILATACIONES S/MURO</t>
  </si>
  <si>
    <t>GOTERA EN MORTERO 1:4</t>
  </si>
  <si>
    <t>IMPERMEABILIZACIÓN INTEGRAL MORTERO SIKA</t>
  </si>
  <si>
    <t>PAÑETE LISO PLACAS 1:5, E=2 CM</t>
  </si>
  <si>
    <t>AFINADO CUBIERTAS PLANAS EN MORTERO 1:4 E=0.03 M</t>
  </si>
  <si>
    <t>BAJANTE PVC AGUAS LLUVIAS D=3"</t>
  </si>
  <si>
    <t>CANAL PVC AMAZONAS</t>
  </si>
  <si>
    <t>TEJA FIBROCEMENTO No. 6</t>
  </si>
  <si>
    <t xml:space="preserve"> MORTERO 1:4  ARENA LAVADA DE PEÑA</t>
  </si>
  <si>
    <t>MARCO PUERTA Y ENCHAPE, TABLA CHAPA x 0.20 M</t>
  </si>
  <si>
    <t>HOJA PUERTA FORTEC 0.81</t>
  </si>
  <si>
    <t>HOJA PUERTA FORTEC 1.50</t>
  </si>
  <si>
    <t>SUMINISTRO E INSTALACION CERRADURA DE POMO ALCOBA</t>
  </si>
  <si>
    <t>ESPEJO BISELADO INCOLORO 4 mm</t>
  </si>
  <si>
    <t>MARCO PARA PUERTA EN LÁMINA CAL 18 -0.8</t>
  </si>
  <si>
    <t xml:space="preserve"> PUERTA EN LAMINA CAL 18 INC. ANTICORROSIVO</t>
  </si>
  <si>
    <t>VENTANA EN ALUMINIO CORREDIZA</t>
  </si>
  <si>
    <t>SALIDA SANITARIA PVC-S/PARAL 3"</t>
  </si>
  <si>
    <t>LLAVE MANGUERA</t>
  </si>
  <si>
    <t>RED SUMINISTRO PVC 1/2". INC ACCESORIOS</t>
  </si>
  <si>
    <t>RED SANITARIA PVC-S 3". INC ACCESORIOS</t>
  </si>
  <si>
    <t>TANQUE PLÁSTICO ELEVADO 1000 LT (INCLUYE ACCESSORIOS E INSTALACIÓN)</t>
  </si>
  <si>
    <t>SALIDA TIMBRE PVC COMPLETA</t>
  </si>
  <si>
    <t>SALIDA TOMA DOBLE PVC COMPLETA</t>
  </si>
  <si>
    <t xml:space="preserve"> SALIDA LÁMPARA TOMA PVC COMPLETA. INC INTERRUPTOR</t>
  </si>
  <si>
    <t>LAMPARA A PRUEBA DE HUMEDAD TIPO TORTUGA</t>
  </si>
  <si>
    <t>TUBERÍA PVC 3" - tipo DB (pesado) INC. ACCESORIOS</t>
  </si>
  <si>
    <t>CANALETA PLÁSTICA 100mm x 45mm INC. ACCESORIOS</t>
  </si>
  <si>
    <t>LUMINARIA PANEL LED REDONDO - 24W - 4000K/6000K - IP20 - 120V - DE INCRUSTAR 30cmX3cm</t>
  </si>
  <si>
    <t>LUMINARIA PANEL LED REDONDO - 24W - 4000K/6000K - IP20 - 120V - DE SOBREPONER 30cmX3cm</t>
  </si>
  <si>
    <t>ALISTADO PISOS 1:3, E= 0.04</t>
  </si>
  <si>
    <t>CONCRETO BASE GRADAS 2500 PSI</t>
  </si>
  <si>
    <t>PLACA BASE CONCRETO 0.10 2500 PSI</t>
  </si>
  <si>
    <t xml:space="preserve"> BALDOSA CERÁMICA PARED 20X20, CALIDAD PRIMERA</t>
  </si>
  <si>
    <t>BALDOSA INSTITUCIONAL GRANO MARMOL P2; PAYANDE FONDO BLANCO. INCLUYE ALISTADO</t>
  </si>
  <si>
    <t>ACABADO EN GRANITO (INCLUYE DILATACIÓN EN BRONCE Y PULIDA)</t>
  </si>
  <si>
    <t>GUARDAESCOBA PVC CARAMELO</t>
  </si>
  <si>
    <t>CIELO RASO PLANO DRYWALL (INCLUYE PINTURA)</t>
  </si>
  <si>
    <t>CIELO RASO EN PVC e=8 mm (INCLUYE ESTRUCTURA DE APOYO)</t>
  </si>
  <si>
    <t>RELLENO EN RECEBO COMUN COMPACTADO MECÁNICAMENTE</t>
  </si>
  <si>
    <t>SUMINISTRO E INSTALACIÓN SANITARIO TANQUE (INCLUYE GRIFERÍA)</t>
  </si>
  <si>
    <t>SUMINISTRO E INSTALACIÓN SANITARIO INFANTIL (INCLUYE GRIFERÍA)</t>
  </si>
  <si>
    <t>SUMINISTRO E INSTALACIÓN LAVAMANOS PEDESTAL (INCLUYE  GRIFERÍA)</t>
  </si>
  <si>
    <t>SUMINISTRO E INSTALACIÓN LAVAMANOS DE EMPOTRAR (INCLUYE GRIFERÍA)</t>
  </si>
  <si>
    <t>ESTUCO Y VINILO 3 MANOS</t>
  </si>
  <si>
    <t>VINILO SOBRE PAÑETE 2 MANOS</t>
  </si>
  <si>
    <t>PINTURA EPOXICA</t>
  </si>
  <si>
    <t>CABLE UTP CATEGORIA 6A</t>
  </si>
  <si>
    <t>CANALETA PLÁSTICA 40X60 MM</t>
  </si>
  <si>
    <t>SUMINISTRO E INSTALACIÓN DE GRIFERÍA Y ACOPLE PARA SANITARIO</t>
  </si>
  <si>
    <t>SUMINISTRO E INSTALACIÓN DE CERRADURA PUERTA</t>
  </si>
  <si>
    <t>RASPADO Y LIMPIEZA DE SUPERFICIE DE MUROS</t>
  </si>
  <si>
    <t>SUMINISTRO E INSTALACIÓN DE CAJONERA Y CARPINTERÍA ALTURA 1M</t>
  </si>
  <si>
    <t>BOQUILLA IMPERMEABILIZANTE PARA JUNTAS DE BALDOSA</t>
  </si>
  <si>
    <t>SUMINISTRO E INSTALACIÓN DE PELDAÑOS DE BARRO COCIDO</t>
  </si>
  <si>
    <t>SUMINISTRO E INSTALACION DE PANEL LED D=17,8 cm</t>
  </si>
  <si>
    <t>FLOTADOR TANQUE ELEVADO (INCLUYE INSTALACION)</t>
  </si>
  <si>
    <t>CHAPA PARA PUERTAS REJAS, INCLUYE INSTALACIÓN</t>
  </si>
  <si>
    <t>ESMALTE SOBRE PAÑETE (ZOCALO)</t>
  </si>
  <si>
    <t>PERFILES METALICOS (COLUMNAS VIGAS) INCLUYE PLACAS, SODADURA Y TORNIILLERIA</t>
  </si>
  <si>
    <t>ALAMBRE N14 1mt DESNUDO</t>
  </si>
  <si>
    <t xml:space="preserve"> ALAMBRE CALIBRE 12AWG ROJO/VERDE</t>
  </si>
  <si>
    <t>SUMINISTRO E INSTALACION DE TOMA DOBLE</t>
  </si>
  <si>
    <t xml:space="preserve"> SUMINISTRO E INSTALACION DE INTERRUPTOR SENCILLO</t>
  </si>
  <si>
    <t xml:space="preserve"> SUMINISTRO E INSTALACION DE BREAKER  20 - 30A </t>
  </si>
  <si>
    <t>TEJA CLARABOYA 1.83m ETERNIT (INCLUYE INSTALACION)</t>
  </si>
  <si>
    <t>LAMPARA LED ANTIPOLVO (INCLUTE NSTALACION)</t>
  </si>
  <si>
    <t>VALVULA REGULACION LAVADORA CRUCETA</t>
  </si>
  <si>
    <t>PERFIL METALICO 10X4</t>
  </si>
  <si>
    <t>ITEM DE PAGO ICCU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</si>
</sst>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2" formatCode="_-&quot;$&quot;* #,##0_-;\-&quot;$&quot;* #,##0_-;_-&quot;$&quot;* &quot;-&quot;_-;_-@_-"/>
    <numFmt numFmtId="44" formatCode="_-&quot;$&quot;* #,##0.00_-;\-&quot;$&quot;* #,##0.00_-;_-&quot;$&quot;* &quot;-&quot;??_-;_-@_-"/>
    <numFmt numFmtId="43" formatCode="_-* #,##0.00_-;\-* #,##0.00_-;_-* &quot;-&quot;??_-;_-@_-"/>
    <numFmt numFmtId="164" formatCode="_-* #,##0.00\ &quot;€&quot;_-;\-* #,##0.00\ &quot;€&quot;_-;_-* &quot;-&quot;??\ &quot;€&quot;_-;_-@_-"/>
    <numFmt numFmtId="165" formatCode="_-* #,##0.00\ _€_-;\-* #,##0.00\ _€_-;_-* &quot;-&quot;??\ _€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0.0%"/>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_-&quot;$&quot;\ * #,##0.00_-;\-&quot;$&quot;\ * #,##0.00_-;_-&quot;$&quot;\ * &quot;-&quot;??_-;_-@_-"/>
  </numFmts>
  <fonts count="5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65">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2" fontId="6" fillId="0" borderId="0" applyFont="0" applyFill="0" applyBorder="0" applyAlignment="0" applyProtection="0"/>
    <xf numFmtId="0" fontId="17" fillId="3" borderId="0" applyNumberFormat="0" applyBorder="0" applyAlignment="0" applyProtection="0"/>
    <xf numFmtId="172" fontId="5" fillId="0" borderId="0" applyFont="0" applyFill="0" applyBorder="0" applyAlignment="0" applyProtection="0"/>
    <xf numFmtId="2" fontId="7" fillId="0" borderId="4" applyFont="0" applyBorder="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68" fontId="6" fillId="0" borderId="0" applyFont="0" applyFill="0" applyBorder="0" applyAlignment="0" applyProtection="0"/>
    <xf numFmtId="177"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7" fontId="6" fillId="0" borderId="0" applyFont="0" applyFill="0" applyBorder="0" applyAlignment="0" applyProtection="0"/>
    <xf numFmtId="173" fontId="6" fillId="0" borderId="0" applyFont="0" applyFill="0" applyBorder="0" applyAlignment="0" applyProtection="0"/>
    <xf numFmtId="168" fontId="9" fillId="0" borderId="0" applyFont="0" applyFill="0" applyBorder="0" applyAlignment="0" applyProtection="0"/>
    <xf numFmtId="173" fontId="6" fillId="0" borderId="0" applyFont="0" applyFill="0" applyBorder="0" applyAlignment="0" applyProtection="0"/>
    <xf numFmtId="168" fontId="6" fillId="0" borderId="0" applyFont="0" applyFill="0" applyBorder="0" applyAlignment="0" applyProtection="0"/>
    <xf numFmtId="168" fontId="27" fillId="0" borderId="0" applyFont="0" applyFill="0" applyBorder="0" applyAlignment="0" applyProtection="0"/>
    <xf numFmtId="172"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8" fontId="6" fillId="0" borderId="0" applyFont="0" applyFill="0" applyBorder="0" applyAlignment="0" applyProtection="0"/>
    <xf numFmtId="167" fontId="9" fillId="0" borderId="0" applyFont="0" applyFill="0" applyBorder="0" applyAlignment="0" applyProtection="0"/>
    <xf numFmtId="169" fontId="6" fillId="0" borderId="0" applyFont="0" applyFill="0" applyBorder="0" applyAlignment="0" applyProtection="0"/>
    <xf numFmtId="176" fontId="6" fillId="0" borderId="0" applyFont="0" applyFill="0" applyBorder="0" applyAlignment="0" applyProtection="0"/>
    <xf numFmtId="164" fontId="6" fillId="0" borderId="0" applyFont="0" applyFill="0" applyBorder="0" applyAlignment="0" applyProtection="0"/>
    <xf numFmtId="176"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9"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2"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6"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7" fontId="7" fillId="0" borderId="47">
      <alignment horizontal="right"/>
    </xf>
    <xf numFmtId="187" fontId="7" fillId="0" borderId="47">
      <alignment horizontal="right"/>
    </xf>
    <xf numFmtId="2" fontId="7" fillId="0" borderId="0"/>
    <xf numFmtId="2" fontId="7" fillId="0" borderId="0"/>
    <xf numFmtId="2" fontId="7" fillId="0" borderId="0"/>
    <xf numFmtId="188" fontId="7" fillId="0" borderId="0"/>
    <xf numFmtId="188" fontId="7" fillId="0" borderId="0"/>
    <xf numFmtId="188" fontId="7" fillId="0" borderId="0"/>
    <xf numFmtId="189" fontId="8" fillId="0" borderId="0"/>
    <xf numFmtId="189" fontId="8" fillId="0" borderId="0"/>
    <xf numFmtId="189" fontId="8" fillId="0" borderId="0"/>
    <xf numFmtId="187" fontId="7" fillId="0" borderId="47">
      <alignment horizontal="right"/>
    </xf>
    <xf numFmtId="3" fontId="30" fillId="0" borderId="0" applyFont="0" applyFill="0" applyBorder="0" applyAlignment="0" applyProtection="0"/>
    <xf numFmtId="190" fontId="5" fillId="0" borderId="0">
      <protection locked="0"/>
    </xf>
    <xf numFmtId="191" fontId="30" fillId="0" borderId="0" applyFont="0" applyFill="0" applyBorder="0" applyAlignment="0" applyProtection="0"/>
    <xf numFmtId="192"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3" fontId="31" fillId="0" borderId="0">
      <protection locked="0"/>
    </xf>
    <xf numFmtId="193" fontId="31" fillId="0" borderId="0">
      <protection locked="0"/>
    </xf>
    <xf numFmtId="193" fontId="31" fillId="0" borderId="0">
      <protection locked="0"/>
    </xf>
    <xf numFmtId="193" fontId="31" fillId="0" borderId="0">
      <protection locked="0"/>
    </xf>
    <xf numFmtId="193" fontId="31" fillId="0" borderId="0">
      <protection locked="0"/>
    </xf>
    <xf numFmtId="193" fontId="31" fillId="0" borderId="0">
      <protection locked="0"/>
    </xf>
    <xf numFmtId="193" fontId="31" fillId="0" borderId="0">
      <protection locked="0"/>
    </xf>
    <xf numFmtId="194" fontId="5" fillId="0" borderId="0">
      <protection locked="0"/>
    </xf>
    <xf numFmtId="0" fontId="32" fillId="0" borderId="0" applyNumberFormat="0" applyFill="0" applyBorder="0" applyAlignment="0" applyProtection="0"/>
    <xf numFmtId="0" fontId="33" fillId="0" borderId="0" applyNumberFormat="0" applyFill="0" applyBorder="0" applyAlignment="0" applyProtection="0"/>
    <xf numFmtId="195" fontId="5" fillId="0" borderId="0">
      <protection locked="0"/>
    </xf>
    <xf numFmtId="195" fontId="5" fillId="0" borderId="0">
      <protection locked="0"/>
    </xf>
    <xf numFmtId="0" fontId="17" fillId="3" borderId="0" applyNumberFormat="0" applyBorder="0" applyAlignment="0" applyProtection="0"/>
    <xf numFmtId="196" fontId="7" fillId="0" borderId="0">
      <alignment horizontal="right"/>
    </xf>
    <xf numFmtId="196" fontId="7" fillId="0" borderId="0">
      <alignment horizontal="right"/>
    </xf>
    <xf numFmtId="196" fontId="7" fillId="0" borderId="0">
      <alignment horizontal="right"/>
    </xf>
    <xf numFmtId="197" fontId="7" fillId="0" borderId="0" applyFont="0" applyFill="0" applyBorder="0" applyAlignment="0">
      <alignment horizontal="center"/>
    </xf>
    <xf numFmtId="197" fontId="7" fillId="0" borderId="0" applyFont="0" applyFill="0" applyBorder="0" applyAlignment="0">
      <alignment horizontal="center"/>
    </xf>
    <xf numFmtId="2" fontId="7" fillId="0" borderId="4" applyFont="0" applyBorder="0"/>
    <xf numFmtId="168" fontId="9"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98" fontId="7" fillId="0" borderId="0">
      <alignment horizontal="right"/>
    </xf>
    <xf numFmtId="198" fontId="7" fillId="0" borderId="0">
      <alignment horizontal="right"/>
    </xf>
    <xf numFmtId="198" fontId="7" fillId="0" borderId="0">
      <alignment horizontal="right"/>
    </xf>
    <xf numFmtId="199" fontId="5" fillId="0" borderId="0" applyFont="0" applyFill="0" applyBorder="0" applyAlignment="0" applyProtection="0"/>
    <xf numFmtId="199" fontId="5" fillId="0" borderId="0" applyFont="0" applyFill="0" applyBorder="0" applyAlignment="0" applyProtection="0"/>
    <xf numFmtId="44" fontId="5" fillId="0" borderId="0" applyFont="0" applyFill="0" applyBorder="0" applyAlignment="0" applyProtection="0"/>
    <xf numFmtId="167"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44" fontId="5" fillId="0" borderId="0" applyFont="0" applyFill="0" applyBorder="0" applyAlignment="0" applyProtection="0"/>
    <xf numFmtId="167" fontId="9" fillId="0" borderId="0" applyFont="0" applyFill="0" applyBorder="0" applyAlignment="0" applyProtection="0"/>
    <xf numFmtId="191" fontId="35" fillId="0" borderId="0" applyFont="0" applyFill="0" applyBorder="0" applyAlignment="0" applyProtection="0"/>
    <xf numFmtId="0" fontId="18" fillId="22" borderId="0" applyNumberFormat="0" applyBorder="0" applyAlignment="0" applyProtection="0"/>
    <xf numFmtId="200" fontId="7" fillId="0" borderId="0" applyFont="0" applyFill="0" applyBorder="0" applyAlignment="0">
      <alignment horizontal="center"/>
    </xf>
    <xf numFmtId="200" fontId="7" fillId="0" borderId="0" applyFont="0" applyFill="0" applyBorder="0" applyAlignment="0">
      <alignment horizontal="center"/>
    </xf>
    <xf numFmtId="0" fontId="5" fillId="0" borderId="0"/>
    <xf numFmtId="0" fontId="5" fillId="0" borderId="0"/>
    <xf numFmtId="0" fontId="34" fillId="0" borderId="0"/>
    <xf numFmtId="0" fontId="2" fillId="0" borderId="0"/>
    <xf numFmtId="0" fontId="34" fillId="0" borderId="0"/>
    <xf numFmtId="0" fontId="5" fillId="0" borderId="0"/>
    <xf numFmtId="0" fontId="5" fillId="0" borderId="0"/>
    <xf numFmtId="0" fontId="5" fillId="0" borderId="0"/>
    <xf numFmtId="0" fontId="5" fillId="0" borderId="0"/>
    <xf numFmtId="0" fontId="36" fillId="0" borderId="0"/>
    <xf numFmtId="0" fontId="5" fillId="0" borderId="0"/>
    <xf numFmtId="0" fontId="5" fillId="23" borderId="5" applyNumberFormat="0" applyFon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4" fillId="0" borderId="0" applyFont="0" applyFill="0" applyBorder="0" applyAlignment="0" applyProtection="0"/>
    <xf numFmtId="0" fontId="37"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5" fontId="5" fillId="0" borderId="52">
      <protection locked="0"/>
    </xf>
    <xf numFmtId="0" fontId="38" fillId="0" borderId="0"/>
    <xf numFmtId="0" fontId="39" fillId="0" borderId="0" applyNumberFormat="0" applyFill="0" applyBorder="0" applyAlignment="0" applyProtection="0">
      <alignment vertical="top"/>
      <protection locked="0"/>
    </xf>
    <xf numFmtId="0" fontId="1" fillId="0" borderId="0"/>
    <xf numFmtId="201" fontId="1" fillId="0" borderId="0" applyFont="0" applyFill="0" applyBorder="0" applyAlignment="0" applyProtection="0"/>
    <xf numFmtId="9" fontId="1" fillId="0" borderId="0" applyFont="0" applyFill="0" applyBorder="0" applyAlignment="0" applyProtection="0"/>
    <xf numFmtId="0" fontId="5" fillId="0" borderId="0"/>
    <xf numFmtId="0" fontId="50" fillId="0" borderId="0"/>
    <xf numFmtId="42" fontId="1" fillId="0" borderId="0" applyFont="0" applyFill="0" applyBorder="0" applyAlignment="0" applyProtection="0"/>
    <xf numFmtId="9" fontId="1" fillId="0" borderId="0" applyFont="0" applyFill="0" applyBorder="0" applyAlignment="0" applyProtection="0"/>
    <xf numFmtId="9" fontId="5" fillId="0" borderId="0" applyFont="0" applyFill="0" applyBorder="0" applyAlignment="0" applyProtection="0"/>
    <xf numFmtId="201" fontId="1" fillId="0" borderId="0" applyFont="0" applyFill="0" applyBorder="0" applyAlignment="0" applyProtection="0"/>
    <xf numFmtId="201" fontId="1" fillId="0" borderId="0" applyFont="0" applyFill="0" applyBorder="0" applyAlignment="0" applyProtection="0"/>
  </cellStyleXfs>
  <cellXfs count="361">
    <xf numFmtId="0" fontId="0" fillId="0" borderId="0" xfId="0"/>
    <xf numFmtId="0" fontId="40" fillId="0" borderId="0" xfId="89" applyFont="1"/>
    <xf numFmtId="0" fontId="40" fillId="25" borderId="0" xfId="89" applyFont="1" applyFill="1"/>
    <xf numFmtId="0" fontId="40" fillId="0" borderId="36" xfId="89" applyFont="1" applyBorder="1"/>
    <xf numFmtId="0" fontId="40" fillId="0" borderId="37" xfId="89" applyFont="1" applyBorder="1"/>
    <xf numFmtId="0" fontId="40" fillId="0" borderId="0" xfId="89" applyFont="1" applyAlignment="1">
      <alignment horizontal="center"/>
    </xf>
    <xf numFmtId="0" fontId="41" fillId="0" borderId="0" xfId="0" applyFont="1" applyAlignment="1">
      <alignment horizontal="left"/>
    </xf>
    <xf numFmtId="0" fontId="42" fillId="0" borderId="0" xfId="0" applyFont="1" applyAlignment="1">
      <alignment horizontal="left"/>
    </xf>
    <xf numFmtId="0" fontId="40" fillId="0" borderId="87" xfId="89" applyFont="1" applyBorder="1"/>
    <xf numFmtId="0" fontId="40" fillId="25" borderId="87" xfId="89" applyFont="1" applyFill="1" applyBorder="1"/>
    <xf numFmtId="0" fontId="40" fillId="25" borderId="37" xfId="89" applyFont="1" applyFill="1" applyBorder="1"/>
    <xf numFmtId="0" fontId="43" fillId="0" borderId="20" xfId="126" applyFont="1" applyBorder="1" applyAlignment="1">
      <alignment horizontal="center" vertical="center" wrapText="1"/>
    </xf>
    <xf numFmtId="0" fontId="43" fillId="24" borderId="39" xfId="73" applyFont="1" applyFill="1" applyBorder="1" applyAlignment="1">
      <alignment vertical="center"/>
    </xf>
    <xf numFmtId="0" fontId="43" fillId="24" borderId="41" xfId="73" applyFont="1" applyFill="1" applyBorder="1" applyAlignment="1">
      <alignment vertical="center"/>
    </xf>
    <xf numFmtId="0" fontId="43" fillId="24" borderId="42" xfId="73" applyFont="1" applyFill="1" applyBorder="1" applyAlignment="1">
      <alignment vertical="center"/>
    </xf>
    <xf numFmtId="0" fontId="40" fillId="0" borderId="50" xfId="73" applyFont="1" applyBorder="1" applyAlignment="1">
      <alignment horizontal="center" vertical="center"/>
    </xf>
    <xf numFmtId="0" fontId="40" fillId="0" borderId="18" xfId="74" applyFont="1" applyBorder="1" applyAlignment="1">
      <alignment horizontal="center" vertical="center"/>
    </xf>
    <xf numFmtId="0" fontId="40" fillId="0" borderId="18" xfId="74" applyFont="1" applyBorder="1" applyAlignment="1">
      <alignment horizontal="left" vertical="center" wrapText="1"/>
    </xf>
    <xf numFmtId="4" fontId="40" fillId="0" borderId="18" xfId="39" applyNumberFormat="1" applyFont="1" applyBorder="1" applyAlignment="1">
      <alignment vertical="center" wrapText="1"/>
    </xf>
    <xf numFmtId="166" fontId="40" fillId="0" borderId="18" xfId="62" applyNumberFormat="1" applyFont="1" applyBorder="1" applyAlignment="1">
      <alignment horizontal="right" vertical="center" wrapText="1"/>
    </xf>
    <xf numFmtId="166" fontId="40" fillId="0" borderId="45" xfId="62" applyNumberFormat="1" applyFont="1" applyBorder="1" applyAlignment="1">
      <alignment horizontal="right" vertical="center" wrapText="1"/>
    </xf>
    <xf numFmtId="0" fontId="40" fillId="0" borderId="13" xfId="73" applyFont="1" applyBorder="1" applyAlignment="1">
      <alignment horizontal="left" vertical="center"/>
    </xf>
    <xf numFmtId="0" fontId="40" fillId="0" borderId="14" xfId="74" applyFont="1" applyBorder="1" applyAlignment="1">
      <alignment horizontal="center" vertical="center"/>
    </xf>
    <xf numFmtId="0" fontId="40" fillId="0" borderId="14" xfId="74" applyFont="1" applyBorder="1" applyAlignment="1">
      <alignment horizontal="left" vertical="center" wrapText="1"/>
    </xf>
    <xf numFmtId="166" fontId="40" fillId="0" borderId="24" xfId="62" applyNumberFormat="1" applyFont="1" applyBorder="1" applyAlignment="1">
      <alignment horizontal="right" vertical="center" wrapText="1"/>
    </xf>
    <xf numFmtId="175" fontId="43" fillId="0" borderId="38" xfId="39" applyNumberFormat="1" applyFont="1" applyBorder="1" applyAlignment="1">
      <alignment horizontal="right" vertical="center"/>
    </xf>
    <xf numFmtId="0" fontId="40" fillId="0" borderId="18" xfId="74" applyFont="1" applyBorder="1" applyAlignment="1">
      <alignment horizontal="left" vertical="center"/>
    </xf>
    <xf numFmtId="166" fontId="40" fillId="0" borderId="30" xfId="62" applyNumberFormat="1" applyFont="1" applyBorder="1" applyAlignment="1">
      <alignment horizontal="right" vertical="center" wrapText="1"/>
    </xf>
    <xf numFmtId="0" fontId="40" fillId="0" borderId="18" xfId="135" applyFont="1" applyBorder="1" applyAlignment="1">
      <alignment horizontal="center" vertical="center"/>
    </xf>
    <xf numFmtId="0" fontId="40" fillId="0" borderId="18" xfId="135" applyFont="1" applyBorder="1" applyAlignment="1">
      <alignment horizontal="left" vertical="center"/>
    </xf>
    <xf numFmtId="0" fontId="40" fillId="0" borderId="14" xfId="89" applyFont="1" applyBorder="1"/>
    <xf numFmtId="0" fontId="40" fillId="0" borderId="14" xfId="89" applyFont="1" applyBorder="1" applyAlignment="1">
      <alignment horizontal="center"/>
    </xf>
    <xf numFmtId="0" fontId="40" fillId="0" borderId="18" xfId="73" applyFont="1" applyBorder="1" applyAlignment="1">
      <alignment horizontal="center" vertical="center"/>
    </xf>
    <xf numFmtId="0" fontId="40" fillId="0" borderId="18" xfId="73" applyFont="1" applyBorder="1" applyAlignment="1">
      <alignment horizontal="left" vertical="center" wrapText="1"/>
    </xf>
    <xf numFmtId="0" fontId="40" fillId="0" borderId="18" xfId="126" applyFont="1" applyBorder="1" applyAlignment="1">
      <alignment horizontal="center" vertical="center"/>
    </xf>
    <xf numFmtId="0" fontId="40" fillId="0" borderId="18" xfId="135" applyFont="1" applyBorder="1" applyAlignment="1">
      <alignment horizontal="left" vertical="center" wrapText="1"/>
    </xf>
    <xf numFmtId="166" fontId="40" fillId="0" borderId="18" xfId="62" quotePrefix="1" applyNumberFormat="1" applyFont="1" applyBorder="1" applyAlignment="1">
      <alignment horizontal="right" vertical="center" wrapText="1"/>
    </xf>
    <xf numFmtId="0" fontId="40" fillId="0" borderId="50" xfId="135" applyFont="1" applyBorder="1" applyAlignment="1">
      <alignment horizontal="center" vertical="center"/>
    </xf>
    <xf numFmtId="0" fontId="40" fillId="0" borderId="18" xfId="73" applyFont="1" applyBorder="1" applyAlignment="1">
      <alignment horizontal="center" vertical="center" wrapText="1"/>
    </xf>
    <xf numFmtId="0" fontId="40" fillId="0" borderId="49" xfId="73" applyFont="1" applyBorder="1" applyAlignment="1">
      <alignment horizontal="left" vertical="center"/>
    </xf>
    <xf numFmtId="0" fontId="40" fillId="0" borderId="0" xfId="73" applyFont="1" applyAlignment="1">
      <alignment horizontal="center" vertical="center"/>
    </xf>
    <xf numFmtId="0" fontId="40" fillId="0" borderId="0" xfId="73" applyFont="1" applyAlignment="1">
      <alignment horizontal="left" vertical="center" wrapText="1"/>
    </xf>
    <xf numFmtId="166" fontId="40" fillId="0" borderId="43" xfId="62" applyNumberFormat="1" applyFont="1" applyBorder="1" applyAlignment="1">
      <alignment horizontal="right" vertical="center" wrapText="1"/>
    </xf>
    <xf numFmtId="175" fontId="43" fillId="0" borderId="48" xfId="39" applyNumberFormat="1" applyFont="1" applyBorder="1" applyAlignment="1">
      <alignment horizontal="right" vertical="center"/>
    </xf>
    <xf numFmtId="0" fontId="40" fillId="0" borderId="33" xfId="73" applyFont="1" applyBorder="1" applyAlignment="1">
      <alignment horizontal="center" vertical="center"/>
    </xf>
    <xf numFmtId="2" fontId="40" fillId="0" borderId="14" xfId="73" applyNumberFormat="1" applyFont="1" applyBorder="1" applyAlignment="1">
      <alignment horizontal="center" vertical="center"/>
    </xf>
    <xf numFmtId="0" fontId="40" fillId="0" borderId="14" xfId="73" applyFont="1" applyBorder="1" applyAlignment="1">
      <alignment horizontal="left" vertical="center"/>
    </xf>
    <xf numFmtId="0" fontId="40" fillId="0" borderId="14" xfId="73" applyFont="1" applyBorder="1" applyAlignment="1">
      <alignment horizontal="center" vertical="center"/>
    </xf>
    <xf numFmtId="0" fontId="40" fillId="0" borderId="14" xfId="73" applyFont="1" applyBorder="1" applyAlignment="1">
      <alignment horizontal="left" vertical="center" wrapText="1"/>
    </xf>
    <xf numFmtId="0" fontId="40" fillId="0" borderId="0" xfId="90" applyFont="1"/>
    <xf numFmtId="0" fontId="40" fillId="0" borderId="36" xfId="90" applyFont="1" applyBorder="1"/>
    <xf numFmtId="186" fontId="43" fillId="24" borderId="42" xfId="73" applyNumberFormat="1" applyFont="1" applyFill="1" applyBorder="1" applyAlignment="1">
      <alignment vertical="center"/>
    </xf>
    <xf numFmtId="0" fontId="40" fillId="0" borderId="37" xfId="90" applyFont="1" applyBorder="1"/>
    <xf numFmtId="49" fontId="43" fillId="0" borderId="0" xfId="131" applyNumberFormat="1" applyFont="1" applyAlignment="1">
      <alignment horizontal="right" vertical="center"/>
    </xf>
    <xf numFmtId="185" fontId="43" fillId="0" borderId="0" xfId="131" applyNumberFormat="1" applyFont="1" applyAlignment="1">
      <alignment vertical="center"/>
    </xf>
    <xf numFmtId="0" fontId="40" fillId="0" borderId="0" xfId="128" applyFont="1"/>
    <xf numFmtId="0" fontId="40" fillId="0" borderId="0" xfId="128" applyFont="1" applyAlignment="1">
      <alignment horizontal="center"/>
    </xf>
    <xf numFmtId="0" fontId="45" fillId="0" borderId="17" xfId="128" applyFont="1" applyBorder="1" applyAlignment="1">
      <alignment horizontal="right" vertical="center"/>
    </xf>
    <xf numFmtId="180" fontId="40" fillId="0" borderId="35" xfId="129" applyNumberFormat="1" applyFont="1" applyBorder="1" applyAlignment="1">
      <alignment vertical="center"/>
    </xf>
    <xf numFmtId="0" fontId="40" fillId="0" borderId="21" xfId="128" applyFont="1" applyBorder="1" applyAlignment="1">
      <alignment horizontal="left" vertical="center"/>
    </xf>
    <xf numFmtId="179" fontId="40" fillId="0" borderId="22" xfId="129" applyNumberFormat="1" applyFont="1" applyBorder="1" applyAlignment="1">
      <alignment horizontal="center" vertical="center"/>
    </xf>
    <xf numFmtId="0" fontId="43" fillId="0" borderId="22" xfId="128" applyFont="1" applyBorder="1" applyAlignment="1">
      <alignment vertical="center"/>
    </xf>
    <xf numFmtId="0" fontId="43" fillId="0" borderId="23" xfId="128" applyFont="1" applyBorder="1" applyAlignment="1">
      <alignment horizontal="right" vertical="center"/>
    </xf>
    <xf numFmtId="180" fontId="40" fillId="0" borderId="30" xfId="129" applyNumberFormat="1" applyFont="1" applyBorder="1" applyAlignment="1">
      <alignment vertical="center"/>
    </xf>
    <xf numFmtId="0" fontId="40" fillId="0" borderId="0" xfId="126" applyFont="1" applyAlignment="1">
      <alignment horizontal="center" vertical="center"/>
    </xf>
    <xf numFmtId="9" fontId="40" fillId="0" borderId="22" xfId="129" applyNumberFormat="1" applyFont="1" applyBorder="1" applyAlignment="1">
      <alignment horizontal="center" vertical="center"/>
    </xf>
    <xf numFmtId="180" fontId="40" fillId="0" borderId="22" xfId="129" applyNumberFormat="1" applyFont="1" applyBorder="1" applyAlignment="1">
      <alignment vertical="center"/>
    </xf>
    <xf numFmtId="0" fontId="40" fillId="0" borderId="23" xfId="128" applyFont="1" applyBorder="1" applyAlignment="1">
      <alignment vertical="center"/>
    </xf>
    <xf numFmtId="0" fontId="43" fillId="0" borderId="21" xfId="128" applyFont="1" applyBorder="1" applyAlignment="1">
      <alignment horizontal="left" vertical="center"/>
    </xf>
    <xf numFmtId="180" fontId="43" fillId="0" borderId="30" xfId="129" applyNumberFormat="1" applyFont="1" applyBorder="1" applyAlignment="1">
      <alignment vertical="center"/>
    </xf>
    <xf numFmtId="0" fontId="40" fillId="0" borderId="21" xfId="128" applyFont="1" applyBorder="1" applyAlignment="1">
      <alignment horizontal="left" vertical="center" wrapText="1"/>
    </xf>
    <xf numFmtId="0" fontId="40" fillId="0" borderId="23" xfId="128" applyFont="1" applyBorder="1" applyAlignment="1">
      <alignment horizontal="right" vertical="center"/>
    </xf>
    <xf numFmtId="0" fontId="40" fillId="0" borderId="0" xfId="128" applyFont="1" applyAlignment="1">
      <alignment horizontal="center" vertical="center" wrapText="1"/>
    </xf>
    <xf numFmtId="0" fontId="43" fillId="0" borderId="27" xfId="128" applyFont="1" applyBorder="1" applyAlignment="1">
      <alignment horizontal="left" vertical="center"/>
    </xf>
    <xf numFmtId="9" fontId="40" fillId="0" borderId="31" xfId="129" applyNumberFormat="1" applyFont="1" applyBorder="1" applyAlignment="1">
      <alignment horizontal="center" vertical="center"/>
    </xf>
    <xf numFmtId="180" fontId="43" fillId="0" borderId="31" xfId="129" applyNumberFormat="1" applyFont="1" applyBorder="1" applyAlignment="1">
      <alignment vertical="center"/>
    </xf>
    <xf numFmtId="0" fontId="40" fillId="0" borderId="28" xfId="128" applyFont="1" applyBorder="1" applyAlignment="1">
      <alignment vertical="center"/>
    </xf>
    <xf numFmtId="2" fontId="40" fillId="0" borderId="0" xfId="128" applyNumberFormat="1" applyFont="1"/>
    <xf numFmtId="180" fontId="40" fillId="0" borderId="0" xfId="129" applyNumberFormat="1" applyFont="1" applyBorder="1"/>
    <xf numFmtId="39" fontId="43" fillId="0" borderId="0" xfId="129" applyNumberFormat="1" applyFont="1" applyBorder="1" applyAlignment="1">
      <alignment vertical="center"/>
    </xf>
    <xf numFmtId="0" fontId="43" fillId="0" borderId="34" xfId="79" applyFont="1" applyBorder="1" applyAlignment="1">
      <alignment vertical="center"/>
    </xf>
    <xf numFmtId="181" fontId="40" fillId="0" borderId="37" xfId="90" applyNumberFormat="1" applyFont="1" applyBorder="1"/>
    <xf numFmtId="185" fontId="43" fillId="26" borderId="45" xfId="60" applyNumberFormat="1" applyFont="1" applyFill="1" applyBorder="1" applyAlignment="1">
      <alignment horizontal="center" vertical="center"/>
    </xf>
    <xf numFmtId="183" fontId="40" fillId="0" borderId="37" xfId="90" applyNumberFormat="1" applyFont="1" applyBorder="1"/>
    <xf numFmtId="185" fontId="43" fillId="26" borderId="18" xfId="60" applyNumberFormat="1" applyFont="1" applyFill="1" applyBorder="1" applyAlignment="1">
      <alignment horizontal="center" vertical="center"/>
    </xf>
    <xf numFmtId="9" fontId="40" fillId="27" borderId="30" xfId="95" applyFont="1" applyFill="1" applyBorder="1" applyAlignment="1">
      <alignment horizontal="center" vertical="center"/>
    </xf>
    <xf numFmtId="0" fontId="40" fillId="0" borderId="80" xfId="90" applyFont="1" applyBorder="1"/>
    <xf numFmtId="0" fontId="40" fillId="0" borderId="81" xfId="89" applyFont="1" applyBorder="1"/>
    <xf numFmtId="0" fontId="40" fillId="0" borderId="81" xfId="89" applyFont="1" applyBorder="1" applyAlignment="1">
      <alignment horizontal="center"/>
    </xf>
    <xf numFmtId="184" fontId="40" fillId="0" borderId="81" xfId="34" applyNumberFormat="1" applyFont="1" applyBorder="1"/>
    <xf numFmtId="0" fontId="40" fillId="0" borderId="82" xfId="89" applyFont="1" applyBorder="1"/>
    <xf numFmtId="0" fontId="40" fillId="25" borderId="36" xfId="89" applyFont="1" applyFill="1" applyBorder="1"/>
    <xf numFmtId="0" fontId="43" fillId="0" borderId="21" xfId="128" applyFont="1" applyBorder="1" applyAlignment="1">
      <alignment horizontal="left" vertical="center" wrapText="1"/>
    </xf>
    <xf numFmtId="0" fontId="40" fillId="25" borderId="0" xfId="130" applyFont="1" applyFill="1" applyAlignment="1">
      <alignment horizontal="center" vertical="center" wrapText="1"/>
    </xf>
    <xf numFmtId="0" fontId="43" fillId="25" borderId="53" xfId="130" applyFont="1" applyFill="1" applyBorder="1" applyAlignment="1">
      <alignment horizontal="center" vertical="center" wrapText="1"/>
    </xf>
    <xf numFmtId="0" fontId="40" fillId="0" borderId="0" xfId="0" applyFont="1"/>
    <xf numFmtId="0" fontId="40" fillId="0" borderId="37" xfId="0" applyFont="1" applyBorder="1"/>
    <xf numFmtId="0" fontId="40" fillId="0" borderId="36" xfId="0" applyFont="1" applyBorder="1"/>
    <xf numFmtId="0" fontId="43" fillId="0" borderId="57" xfId="0" applyFont="1" applyBorder="1" applyAlignment="1">
      <alignment horizontal="center"/>
    </xf>
    <xf numFmtId="0" fontId="43" fillId="0" borderId="0" xfId="0" applyFont="1" applyAlignment="1">
      <alignment horizontal="center"/>
    </xf>
    <xf numFmtId="0" fontId="40" fillId="0" borderId="61" xfId="0" applyFont="1" applyBorder="1" applyAlignment="1">
      <alignment horizontal="center"/>
    </xf>
    <xf numFmtId="0" fontId="43" fillId="0" borderId="53" xfId="0" applyFont="1" applyBorder="1" applyAlignment="1">
      <alignment horizontal="center"/>
    </xf>
    <xf numFmtId="0" fontId="40" fillId="0" borderId="53" xfId="0" applyFont="1" applyBorder="1" applyAlignment="1">
      <alignment vertical="center"/>
    </xf>
    <xf numFmtId="0" fontId="40" fillId="0" borderId="72" xfId="0" applyFont="1" applyBorder="1" applyAlignment="1">
      <alignment vertical="center"/>
    </xf>
    <xf numFmtId="0" fontId="40" fillId="0" borderId="58" xfId="0" applyFont="1" applyBorder="1" applyAlignment="1">
      <alignment horizontal="center"/>
    </xf>
    <xf numFmtId="0" fontId="40" fillId="0" borderId="57" xfId="0" applyFont="1" applyBorder="1" applyAlignment="1">
      <alignment horizontal="right" vertical="center"/>
    </xf>
    <xf numFmtId="0" fontId="40" fillId="0" borderId="29" xfId="0" applyFont="1" applyBorder="1" applyAlignment="1">
      <alignment horizontal="center" vertical="center"/>
    </xf>
    <xf numFmtId="0" fontId="40" fillId="0" borderId="35" xfId="0" applyFont="1" applyBorder="1" applyAlignment="1">
      <alignment horizontal="center" vertical="center"/>
    </xf>
    <xf numFmtId="0" fontId="40" fillId="0" borderId="11" xfId="0" applyFont="1" applyBorder="1" applyAlignment="1">
      <alignment horizontal="center"/>
    </xf>
    <xf numFmtId="0" fontId="40" fillId="0" borderId="0" xfId="0" applyFont="1" applyAlignment="1">
      <alignment horizontal="right" vertical="center"/>
    </xf>
    <xf numFmtId="1" fontId="40" fillId="0" borderId="18" xfId="0" applyNumberFormat="1" applyFont="1" applyBorder="1" applyAlignment="1">
      <alignment horizontal="center" vertical="center"/>
    </xf>
    <xf numFmtId="1" fontId="40" fillId="0" borderId="30" xfId="0" applyNumberFormat="1" applyFont="1" applyBorder="1" applyAlignment="1">
      <alignment horizontal="center" vertical="center"/>
    </xf>
    <xf numFmtId="1" fontId="40" fillId="0" borderId="12" xfId="0" applyNumberFormat="1" applyFont="1" applyBorder="1" applyAlignment="1">
      <alignment horizontal="center" vertical="center"/>
    </xf>
    <xf numFmtId="0" fontId="40" fillId="0" borderId="71" xfId="0" applyFont="1" applyBorder="1" applyAlignment="1">
      <alignment horizontal="left"/>
    </xf>
    <xf numFmtId="0" fontId="40" fillId="0" borderId="54" xfId="0" applyFont="1" applyBorder="1" applyAlignment="1">
      <alignment horizontal="center"/>
    </xf>
    <xf numFmtId="0" fontId="40" fillId="0" borderId="70" xfId="0" applyFont="1" applyBorder="1" applyAlignment="1">
      <alignment horizontal="center"/>
    </xf>
    <xf numFmtId="0" fontId="40" fillId="0" borderId="27" xfId="0" applyFont="1" applyBorder="1"/>
    <xf numFmtId="0" fontId="40" fillId="0" borderId="31" xfId="0" applyFont="1" applyBorder="1"/>
    <xf numFmtId="0" fontId="40" fillId="0" borderId="68" xfId="0" applyFont="1" applyBorder="1"/>
    <xf numFmtId="0" fontId="40" fillId="0" borderId="58" xfId="0" applyFont="1" applyBorder="1"/>
    <xf numFmtId="0" fontId="40" fillId="0" borderId="57" xfId="0" applyFont="1" applyBorder="1"/>
    <xf numFmtId="0" fontId="40" fillId="0" borderId="56" xfId="0" applyFont="1" applyBorder="1"/>
    <xf numFmtId="0" fontId="40" fillId="0" borderId="11" xfId="0" applyFont="1" applyBorder="1"/>
    <xf numFmtId="0" fontId="40" fillId="0" borderId="12" xfId="0" applyFont="1" applyBorder="1"/>
    <xf numFmtId="0" fontId="48" fillId="24" borderId="69" xfId="0" applyFont="1" applyFill="1" applyBorder="1" applyAlignment="1">
      <alignment horizontal="center" vertical="center"/>
    </xf>
    <xf numFmtId="0" fontId="40" fillId="24" borderId="67" xfId="0" applyFont="1" applyFill="1" applyBorder="1" applyAlignment="1">
      <alignment horizontal="center" vertical="center"/>
    </xf>
    <xf numFmtId="4" fontId="40" fillId="24" borderId="67" xfId="0" applyNumberFormat="1" applyFont="1" applyFill="1" applyBorder="1" applyAlignment="1">
      <alignment horizontal="center" vertical="center"/>
    </xf>
    <xf numFmtId="0" fontId="43" fillId="24" borderId="44" xfId="0" applyFont="1" applyFill="1" applyBorder="1" applyAlignment="1">
      <alignment horizontal="center"/>
    </xf>
    <xf numFmtId="0" fontId="43" fillId="24" borderId="29" xfId="0" applyFont="1" applyFill="1" applyBorder="1" applyAlignment="1">
      <alignment horizontal="center"/>
    </xf>
    <xf numFmtId="0" fontId="43" fillId="24" borderId="35" xfId="0" applyFont="1" applyFill="1" applyBorder="1" applyAlignment="1">
      <alignment horizontal="center"/>
    </xf>
    <xf numFmtId="0" fontId="40" fillId="0" borderId="22" xfId="0" applyFont="1" applyBorder="1"/>
    <xf numFmtId="172" fontId="40" fillId="0" borderId="18" xfId="34" applyFont="1" applyBorder="1"/>
    <xf numFmtId="172" fontId="40" fillId="0" borderId="30" xfId="34" applyFont="1" applyBorder="1"/>
    <xf numFmtId="0" fontId="40" fillId="0" borderId="61" xfId="0" applyFont="1" applyBorder="1"/>
    <xf numFmtId="0" fontId="40" fillId="0" borderId="53" xfId="0" applyFont="1" applyBorder="1"/>
    <xf numFmtId="0" fontId="40" fillId="0" borderId="63" xfId="0" applyFont="1" applyBorder="1"/>
    <xf numFmtId="0" fontId="40" fillId="0" borderId="64" xfId="0" applyFont="1" applyBorder="1"/>
    <xf numFmtId="172" fontId="40" fillId="0" borderId="62" xfId="34" applyFont="1" applyBorder="1"/>
    <xf numFmtId="172" fontId="40" fillId="0" borderId="59" xfId="0" applyNumberFormat="1" applyFont="1" applyBorder="1"/>
    <xf numFmtId="0" fontId="43" fillId="24" borderId="16" xfId="0" applyFont="1" applyFill="1" applyBorder="1" applyAlignment="1">
      <alignment horizontal="center"/>
    </xf>
    <xf numFmtId="0" fontId="40" fillId="0" borderId="22" xfId="0" applyFont="1" applyBorder="1" applyAlignment="1">
      <alignment horizontal="center"/>
    </xf>
    <xf numFmtId="2" fontId="40" fillId="0" borderId="18" xfId="0" applyNumberFormat="1" applyFont="1" applyBorder="1"/>
    <xf numFmtId="0" fontId="40" fillId="0" borderId="20" xfId="0" applyFont="1" applyBorder="1"/>
    <xf numFmtId="172" fontId="40" fillId="0" borderId="40" xfId="34" applyFont="1" applyBorder="1"/>
    <xf numFmtId="172" fontId="40" fillId="0" borderId="59" xfId="34" applyFont="1" applyBorder="1"/>
    <xf numFmtId="0" fontId="43" fillId="24" borderId="29" xfId="0" applyFont="1" applyFill="1" applyBorder="1"/>
    <xf numFmtId="2" fontId="40" fillId="0" borderId="18" xfId="0" applyNumberFormat="1" applyFont="1" applyBorder="1" applyAlignment="1">
      <alignment horizontal="center"/>
    </xf>
    <xf numFmtId="2" fontId="40" fillId="0" borderId="22" xfId="0" applyNumberFormat="1" applyFont="1" applyBorder="1" applyAlignment="1">
      <alignment horizontal="center"/>
    </xf>
    <xf numFmtId="0" fontId="40" fillId="0" borderId="62" xfId="0" applyFont="1" applyBorder="1"/>
    <xf numFmtId="0" fontId="40" fillId="0" borderId="14" xfId="0" applyFont="1" applyBorder="1"/>
    <xf numFmtId="172" fontId="40" fillId="0" borderId="38" xfId="34" applyFont="1" applyBorder="1"/>
    <xf numFmtId="0" fontId="43" fillId="24" borderId="16" xfId="0" applyFont="1" applyFill="1" applyBorder="1" applyAlignment="1">
      <alignment horizontal="center" wrapText="1"/>
    </xf>
    <xf numFmtId="0" fontId="43" fillId="24" borderId="29" xfId="0" applyFont="1" applyFill="1" applyBorder="1" applyAlignment="1">
      <alignment horizontal="center" wrapText="1"/>
    </xf>
    <xf numFmtId="0" fontId="43" fillId="24" borderId="17" xfId="0" applyFont="1" applyFill="1" applyBorder="1" applyAlignment="1">
      <alignment horizontal="center" wrapText="1"/>
    </xf>
    <xf numFmtId="0" fontId="43" fillId="24" borderId="35" xfId="0" applyFont="1" applyFill="1" applyBorder="1" applyAlignment="1">
      <alignment horizontal="center" wrapText="1"/>
    </xf>
    <xf numFmtId="0" fontId="40" fillId="0" borderId="21" xfId="0" applyFont="1" applyBorder="1" applyAlignment="1">
      <alignment horizontal="left"/>
    </xf>
    <xf numFmtId="0" fontId="40" fillId="0" borderId="22" xfId="0" applyFont="1" applyBorder="1" applyAlignment="1">
      <alignment horizontal="left"/>
    </xf>
    <xf numFmtId="172" fontId="40" fillId="0" borderId="18" xfId="34" applyFont="1" applyBorder="1" applyAlignment="1">
      <alignment horizontal="center"/>
    </xf>
    <xf numFmtId="0" fontId="40" fillId="0" borderId="22" xfId="95" applyNumberFormat="1" applyFont="1" applyBorder="1" applyAlignment="1">
      <alignment horizontal="center"/>
    </xf>
    <xf numFmtId="165" fontId="40" fillId="0" borderId="25" xfId="0" applyNumberFormat="1" applyFont="1" applyBorder="1" applyAlignment="1">
      <alignment horizontal="center" wrapText="1"/>
    </xf>
    <xf numFmtId="172" fontId="40" fillId="0" borderId="45" xfId="34" applyFont="1" applyBorder="1" applyAlignment="1">
      <alignment horizontal="center" wrapText="1"/>
    </xf>
    <xf numFmtId="165" fontId="40" fillId="24" borderId="59" xfId="0" applyNumberFormat="1" applyFont="1" applyFill="1" applyBorder="1"/>
    <xf numFmtId="43" fontId="40" fillId="0" borderId="22" xfId="34" applyNumberFormat="1" applyFont="1" applyBorder="1"/>
    <xf numFmtId="9" fontId="40" fillId="0" borderId="23" xfId="95" applyFont="1" applyBorder="1"/>
    <xf numFmtId="9" fontId="40" fillId="0" borderId="18" xfId="95" applyFont="1" applyBorder="1" applyAlignment="1">
      <alignment horizontal="center"/>
    </xf>
    <xf numFmtId="43" fontId="40" fillId="0" borderId="30" xfId="34" applyNumberFormat="1" applyFont="1" applyBorder="1"/>
    <xf numFmtId="43" fontId="40" fillId="0" borderId="31" xfId="34" applyNumberFormat="1" applyFont="1" applyBorder="1"/>
    <xf numFmtId="9" fontId="40" fillId="0" borderId="28" xfId="95" applyFont="1" applyBorder="1"/>
    <xf numFmtId="43" fontId="40" fillId="0" borderId="59" xfId="0" applyNumberFormat="1" applyFont="1" applyBorder="1"/>
    <xf numFmtId="43" fontId="40" fillId="24" borderId="59" xfId="0" applyNumberFormat="1" applyFont="1" applyFill="1" applyBorder="1"/>
    <xf numFmtId="0" fontId="40" fillId="0" borderId="54" xfId="0" applyFont="1" applyBorder="1"/>
    <xf numFmtId="0" fontId="40" fillId="0" borderId="0" xfId="0" applyFont="1" applyAlignment="1">
      <alignment horizontal="center"/>
    </xf>
    <xf numFmtId="0" fontId="40" fillId="0" borderId="12" xfId="0" applyFont="1" applyBorder="1" applyAlignment="1">
      <alignment horizontal="center"/>
    </xf>
    <xf numFmtId="0" fontId="43" fillId="0" borderId="21" xfId="0" applyFont="1" applyBorder="1"/>
    <xf numFmtId="0" fontId="40" fillId="0" borderId="55" xfId="0" applyFont="1" applyBorder="1"/>
    <xf numFmtId="0" fontId="43" fillId="0" borderId="11" xfId="0" applyFont="1" applyBorder="1" applyAlignment="1">
      <alignment horizontal="left"/>
    </xf>
    <xf numFmtId="0" fontId="40" fillId="0" borderId="0" xfId="0" applyFont="1" applyAlignment="1">
      <alignment horizontal="left"/>
    </xf>
    <xf numFmtId="0" fontId="40" fillId="0" borderId="11" xfId="0" applyFont="1" applyBorder="1" applyAlignment="1">
      <alignment horizontal="left"/>
    </xf>
    <xf numFmtId="0" fontId="40" fillId="0" borderId="80" xfId="0" applyFont="1" applyBorder="1"/>
    <xf numFmtId="0" fontId="40" fillId="0" borderId="81" xfId="0" applyFont="1" applyBorder="1"/>
    <xf numFmtId="0" fontId="40" fillId="0" borderId="82" xfId="0" applyFont="1" applyBorder="1"/>
    <xf numFmtId="0" fontId="43" fillId="24" borderId="57" xfId="73" applyFont="1" applyFill="1" applyBorder="1" applyAlignment="1">
      <alignment vertical="center"/>
    </xf>
    <xf numFmtId="0" fontId="43" fillId="24" borderId="56" xfId="73" applyFont="1" applyFill="1" applyBorder="1" applyAlignment="1">
      <alignment vertical="center"/>
    </xf>
    <xf numFmtId="4" fontId="40" fillId="0" borderId="25" xfId="39" applyNumberFormat="1" applyFont="1" applyBorder="1" applyAlignment="1">
      <alignment vertical="center" wrapText="1"/>
    </xf>
    <xf numFmtId="0" fontId="43" fillId="24" borderId="58" xfId="73" applyFont="1" applyFill="1" applyBorder="1" applyAlignment="1">
      <alignment horizontal="center" vertical="center"/>
    </xf>
    <xf numFmtId="166" fontId="40" fillId="0" borderId="0" xfId="62" applyNumberFormat="1" applyFont="1" applyBorder="1" applyAlignment="1">
      <alignment horizontal="right" vertical="center" wrapText="1"/>
    </xf>
    <xf numFmtId="0" fontId="40" fillId="0" borderId="18" xfId="74" applyFont="1" applyBorder="1" applyAlignment="1">
      <alignment horizontal="center" vertical="center" wrapText="1"/>
    </xf>
    <xf numFmtId="166" fontId="40" fillId="0" borderId="25" xfId="62" applyNumberFormat="1" applyFont="1" applyBorder="1" applyAlignment="1">
      <alignment horizontal="right" vertical="center" wrapText="1"/>
    </xf>
    <xf numFmtId="0" fontId="40" fillId="0" borderId="19" xfId="74" applyFont="1" applyBorder="1" applyAlignment="1">
      <alignment horizontal="center" vertical="center" wrapText="1"/>
    </xf>
    <xf numFmtId="0" fontId="40" fillId="0" borderId="22" xfId="74" applyFont="1" applyBorder="1" applyAlignment="1">
      <alignment horizontal="center" vertical="center" wrapText="1"/>
    </xf>
    <xf numFmtId="0" fontId="40" fillId="0" borderId="22" xfId="74" applyFont="1" applyBorder="1" applyAlignment="1">
      <alignment horizontal="left" vertical="center" wrapText="1"/>
    </xf>
    <xf numFmtId="166" fontId="40" fillId="0" borderId="23" xfId="62" applyNumberFormat="1" applyFont="1" applyBorder="1" applyAlignment="1">
      <alignment horizontal="right" vertical="center" wrapText="1"/>
    </xf>
    <xf numFmtId="0" fontId="40" fillId="25" borderId="20" xfId="130" applyFont="1" applyFill="1" applyBorder="1" applyAlignment="1">
      <alignment horizontal="center" vertical="center" wrapText="1"/>
    </xf>
    <xf numFmtId="0" fontId="40" fillId="25" borderId="40" xfId="130" applyFont="1" applyFill="1" applyBorder="1" applyAlignment="1">
      <alignment horizontal="center" vertical="center" wrapText="1"/>
    </xf>
    <xf numFmtId="0" fontId="40" fillId="26" borderId="33" xfId="130" applyFont="1" applyFill="1" applyBorder="1" applyAlignment="1">
      <alignment vertical="center" wrapText="1"/>
    </xf>
    <xf numFmtId="0" fontId="40" fillId="26" borderId="18" xfId="130" applyFont="1" applyFill="1" applyBorder="1" applyAlignment="1">
      <alignment vertical="center" wrapText="1"/>
    </xf>
    <xf numFmtId="0" fontId="43" fillId="26" borderId="18" xfId="130" applyFont="1" applyFill="1" applyBorder="1" applyAlignment="1">
      <alignment horizontal="center" vertical="center" wrapText="1"/>
    </xf>
    <xf numFmtId="0" fontId="43" fillId="26" borderId="18" xfId="130" applyFont="1" applyFill="1" applyBorder="1" applyAlignment="1">
      <alignment horizontal="center" vertical="center"/>
    </xf>
    <xf numFmtId="3" fontId="43" fillId="26" borderId="18" xfId="130" applyNumberFormat="1" applyFont="1" applyFill="1" applyBorder="1" applyAlignment="1">
      <alignment horizontal="center" vertical="center" wrapText="1"/>
    </xf>
    <xf numFmtId="3" fontId="43" fillId="26" borderId="18" xfId="130" applyNumberFormat="1" applyFont="1" applyFill="1" applyBorder="1" applyAlignment="1">
      <alignment horizontal="center" vertical="center"/>
    </xf>
    <xf numFmtId="0" fontId="40" fillId="0" borderId="61" xfId="0" applyFont="1" applyBorder="1" applyAlignment="1">
      <alignment horizontal="center" vertical="center" wrapText="1"/>
    </xf>
    <xf numFmtId="0" fontId="40" fillId="0" borderId="53" xfId="0" applyFont="1" applyBorder="1" applyAlignment="1">
      <alignment horizontal="center" vertical="center" wrapText="1"/>
    </xf>
    <xf numFmtId="0" fontId="40" fillId="0" borderId="63" xfId="0" applyFont="1" applyBorder="1" applyAlignment="1">
      <alignment horizontal="center" vertical="center" wrapText="1"/>
    </xf>
    <xf numFmtId="0" fontId="40" fillId="0" borderId="11" xfId="0" applyFont="1" applyBorder="1" applyAlignment="1">
      <alignment horizontal="center" vertical="center" wrapText="1"/>
    </xf>
    <xf numFmtId="0" fontId="40" fillId="0" borderId="0" xfId="0" applyFont="1" applyAlignment="1">
      <alignment horizontal="center" vertical="center" wrapText="1"/>
    </xf>
    <xf numFmtId="0" fontId="40" fillId="0" borderId="43" xfId="0" applyFont="1" applyBorder="1" applyAlignment="1">
      <alignment horizontal="center" vertical="center" wrapText="1"/>
    </xf>
    <xf numFmtId="0" fontId="40" fillId="0" borderId="13" xfId="0" applyFont="1" applyBorder="1" applyAlignment="1">
      <alignment horizontal="center" vertical="center" wrapText="1"/>
    </xf>
    <xf numFmtId="0" fontId="40" fillId="0" borderId="14" xfId="0" applyFont="1" applyBorder="1" applyAlignment="1">
      <alignment horizontal="center" vertical="center" wrapText="1"/>
    </xf>
    <xf numFmtId="0" fontId="40" fillId="0" borderId="24" xfId="0" applyFont="1" applyBorder="1" applyAlignment="1">
      <alignment horizontal="center" vertical="center" wrapText="1"/>
    </xf>
    <xf numFmtId="0" fontId="43" fillId="24" borderId="13" xfId="73" applyFont="1" applyFill="1" applyBorder="1" applyAlignment="1">
      <alignment horizontal="left" vertical="center"/>
    </xf>
    <xf numFmtId="0" fontId="43" fillId="24" borderId="14" xfId="73" applyFont="1" applyFill="1" applyBorder="1" applyAlignment="1">
      <alignment horizontal="left" vertical="center"/>
    </xf>
    <xf numFmtId="0" fontId="43" fillId="24" borderId="15" xfId="73" applyFont="1" applyFill="1" applyBorder="1" applyAlignment="1">
      <alignment horizontal="left" vertical="center"/>
    </xf>
    <xf numFmtId="0" fontId="43" fillId="24" borderId="39" xfId="73" applyFont="1" applyFill="1" applyBorder="1" applyAlignment="1">
      <alignment horizontal="right" vertical="center"/>
    </xf>
    <xf numFmtId="0" fontId="43" fillId="24" borderId="41" xfId="73" applyFont="1" applyFill="1" applyBorder="1" applyAlignment="1">
      <alignment horizontal="right" vertical="center"/>
    </xf>
    <xf numFmtId="0" fontId="43" fillId="24" borderId="51" xfId="73" applyFont="1" applyFill="1" applyBorder="1" applyAlignment="1">
      <alignment horizontal="right" vertical="center"/>
    </xf>
    <xf numFmtId="3" fontId="43" fillId="26" borderId="25" xfId="130" applyNumberFormat="1" applyFont="1" applyFill="1" applyBorder="1" applyAlignment="1">
      <alignment horizontal="center" vertical="center" wrapText="1"/>
    </xf>
    <xf numFmtId="0" fontId="40" fillId="0" borderId="16" xfId="79" applyFont="1" applyBorder="1" applyAlignment="1">
      <alignment horizontal="center" vertical="center"/>
    </xf>
    <xf numFmtId="0" fontId="40" fillId="0" borderId="26" xfId="79" applyFont="1" applyBorder="1" applyAlignment="1">
      <alignment horizontal="center" vertical="center"/>
    </xf>
    <xf numFmtId="0" fontId="43" fillId="25" borderId="29" xfId="73" applyFont="1" applyFill="1" applyBorder="1" applyAlignment="1">
      <alignment horizontal="center" vertical="center" wrapText="1"/>
    </xf>
    <xf numFmtId="0" fontId="43" fillId="25" borderId="20" xfId="73" applyFont="1" applyFill="1" applyBorder="1" applyAlignment="1">
      <alignment horizontal="center" vertical="center" wrapText="1"/>
    </xf>
    <xf numFmtId="4" fontId="43" fillId="25" borderId="29" xfId="73" applyNumberFormat="1" applyFont="1" applyFill="1" applyBorder="1" applyAlignment="1">
      <alignment horizontal="center" vertical="center" wrapText="1"/>
    </xf>
    <xf numFmtId="4" fontId="43" fillId="25" borderId="20" xfId="73" applyNumberFormat="1" applyFont="1" applyFill="1" applyBorder="1" applyAlignment="1">
      <alignment horizontal="center" vertical="center" wrapText="1"/>
    </xf>
    <xf numFmtId="4" fontId="43" fillId="25" borderId="35" xfId="73" applyNumberFormat="1" applyFont="1" applyFill="1" applyBorder="1" applyAlignment="1">
      <alignment horizontal="center" vertical="center" wrapText="1"/>
    </xf>
    <xf numFmtId="4" fontId="43" fillId="25" borderId="40" xfId="73" applyNumberFormat="1" applyFont="1" applyFill="1" applyBorder="1" applyAlignment="1">
      <alignment horizontal="center" vertical="center" wrapText="1"/>
    </xf>
    <xf numFmtId="0" fontId="43" fillId="25" borderId="32" xfId="73" applyFont="1" applyFill="1" applyBorder="1" applyAlignment="1">
      <alignment horizontal="center" vertical="center" wrapText="1"/>
    </xf>
    <xf numFmtId="0" fontId="43" fillId="25" borderId="46" xfId="73" applyFont="1" applyFill="1" applyBorder="1" applyAlignment="1">
      <alignment horizontal="center" vertical="center" wrapText="1"/>
    </xf>
    <xf numFmtId="0" fontId="43" fillId="0" borderId="29" xfId="126" applyFont="1" applyBorder="1" applyAlignment="1">
      <alignment horizontal="center" vertical="center" wrapText="1"/>
    </xf>
    <xf numFmtId="0" fontId="40" fillId="27" borderId="33" xfId="89" applyFont="1" applyFill="1" applyBorder="1" applyAlignment="1">
      <alignment horizontal="left" wrapText="1"/>
    </xf>
    <xf numFmtId="0" fontId="40" fillId="27" borderId="18" xfId="89" applyFont="1" applyFill="1" applyBorder="1" applyAlignment="1">
      <alignment horizontal="left" wrapText="1"/>
    </xf>
    <xf numFmtId="0" fontId="40" fillId="27" borderId="30" xfId="89" applyFont="1" applyFill="1" applyBorder="1" applyAlignment="1">
      <alignment horizontal="left" wrapText="1"/>
    </xf>
    <xf numFmtId="0" fontId="40" fillId="26" borderId="21" xfId="89" applyFont="1" applyFill="1" applyBorder="1" applyAlignment="1">
      <alignment horizontal="center" wrapText="1"/>
    </xf>
    <xf numFmtId="0" fontId="40" fillId="26" borderId="22" xfId="89" applyFont="1" applyFill="1" applyBorder="1" applyAlignment="1">
      <alignment horizontal="center" wrapText="1"/>
    </xf>
    <xf numFmtId="0" fontId="40" fillId="26" borderId="55" xfId="89" applyFont="1" applyFill="1" applyBorder="1" applyAlignment="1">
      <alignment horizontal="center" wrapText="1"/>
    </xf>
    <xf numFmtId="0" fontId="41" fillId="0" borderId="0" xfId="0" applyFont="1" applyAlignment="1">
      <alignment horizontal="left"/>
    </xf>
    <xf numFmtId="0" fontId="40" fillId="0" borderId="86" xfId="89" applyFont="1" applyBorder="1" applyAlignment="1">
      <alignment horizontal="center"/>
    </xf>
    <xf numFmtId="0" fontId="40" fillId="0" borderId="79" xfId="89" applyFont="1" applyBorder="1" applyAlignment="1">
      <alignment horizontal="center"/>
    </xf>
    <xf numFmtId="0" fontId="40" fillId="0" borderId="88" xfId="89" applyFont="1" applyBorder="1" applyAlignment="1">
      <alignment horizontal="center"/>
    </xf>
    <xf numFmtId="0" fontId="43" fillId="0" borderId="85" xfId="130" applyFont="1" applyBorder="1" applyAlignment="1">
      <alignment horizontal="center"/>
    </xf>
    <xf numFmtId="0" fontId="43" fillId="0" borderId="83" xfId="130" applyFont="1" applyBorder="1" applyAlignment="1">
      <alignment horizontal="center"/>
    </xf>
    <xf numFmtId="0" fontId="43" fillId="0" borderId="84" xfId="130" applyFont="1" applyBorder="1" applyAlignment="1">
      <alignment horizontal="center"/>
    </xf>
    <xf numFmtId="0" fontId="40" fillId="0" borderId="54" xfId="130" applyFont="1" applyBorder="1" applyAlignment="1">
      <alignment horizontal="center"/>
    </xf>
    <xf numFmtId="0" fontId="40" fillId="0" borderId="70" xfId="130" applyFont="1" applyBorder="1" applyAlignment="1">
      <alignment horizontal="center"/>
    </xf>
    <xf numFmtId="0" fontId="40" fillId="0" borderId="34" xfId="128" applyFont="1" applyBorder="1" applyAlignment="1">
      <alignment horizontal="left" vertical="center" wrapText="1"/>
    </xf>
    <xf numFmtId="0" fontId="40" fillId="0" borderId="16" xfId="128" applyFont="1" applyBorder="1" applyAlignment="1">
      <alignment horizontal="left" vertical="center" wrapText="1"/>
    </xf>
    <xf numFmtId="0" fontId="40" fillId="0" borderId="17" xfId="128" applyFont="1" applyBorder="1" applyAlignment="1">
      <alignment horizontal="left" vertical="center" wrapText="1"/>
    </xf>
    <xf numFmtId="0" fontId="43" fillId="0" borderId="58" xfId="130" applyFont="1" applyBorder="1" applyAlignment="1">
      <alignment horizontal="center"/>
    </xf>
    <xf numFmtId="0" fontId="43" fillId="0" borderId="57" xfId="130" applyFont="1" applyBorder="1" applyAlignment="1">
      <alignment horizontal="center"/>
    </xf>
    <xf numFmtId="0" fontId="43" fillId="0" borderId="56" xfId="130" applyFont="1" applyBorder="1" applyAlignment="1">
      <alignment horizontal="center"/>
    </xf>
    <xf numFmtId="0" fontId="43" fillId="0" borderId="11" xfId="130" applyFont="1" applyBorder="1" applyAlignment="1">
      <alignment horizontal="center"/>
    </xf>
    <xf numFmtId="0" fontId="43" fillId="0" borderId="0" xfId="130" applyFont="1" applyAlignment="1">
      <alignment horizontal="center"/>
    </xf>
    <xf numFmtId="0" fontId="43" fillId="0" borderId="12" xfId="130" applyFont="1" applyBorder="1" applyAlignment="1">
      <alignment horizontal="center"/>
    </xf>
    <xf numFmtId="0" fontId="40" fillId="27" borderId="18" xfId="89" applyFont="1" applyFill="1" applyBorder="1" applyAlignment="1">
      <alignment horizontal="justify" vertical="center" wrapText="1"/>
    </xf>
    <xf numFmtId="0" fontId="40" fillId="26" borderId="19" xfId="89" applyFont="1" applyFill="1" applyBorder="1" applyAlignment="1">
      <alignment horizontal="center" wrapText="1"/>
    </xf>
    <xf numFmtId="0" fontId="40" fillId="26" borderId="23" xfId="89" applyFont="1" applyFill="1" applyBorder="1" applyAlignment="1">
      <alignment horizontal="center" wrapText="1"/>
    </xf>
    <xf numFmtId="0" fontId="40" fillId="27" borderId="18" xfId="0" applyFont="1" applyFill="1" applyBorder="1" applyAlignment="1">
      <alignment horizontal="center" wrapText="1"/>
    </xf>
    <xf numFmtId="0" fontId="40" fillId="0" borderId="75" xfId="253" applyFont="1" applyBorder="1" applyAlignment="1">
      <alignment horizontal="center" vertical="center"/>
    </xf>
    <xf numFmtId="0" fontId="40" fillId="0" borderId="47" xfId="253" applyFont="1" applyBorder="1" applyAlignment="1">
      <alignment horizontal="center" vertical="center"/>
    </xf>
    <xf numFmtId="0" fontId="43" fillId="0" borderId="73" xfId="0" applyFont="1" applyBorder="1" applyAlignment="1">
      <alignment horizontal="center"/>
    </xf>
    <xf numFmtId="0" fontId="43" fillId="0" borderId="0" xfId="0" applyFont="1" applyAlignment="1">
      <alignment horizontal="center"/>
    </xf>
    <xf numFmtId="0" fontId="43" fillId="0" borderId="43" xfId="0" applyFont="1" applyBorder="1" applyAlignment="1">
      <alignment horizontal="center"/>
    </xf>
    <xf numFmtId="0" fontId="43" fillId="0" borderId="73" xfId="0" applyFont="1" applyBorder="1" applyAlignment="1">
      <alignment horizontal="center" vertical="center" wrapText="1"/>
    </xf>
    <xf numFmtId="0" fontId="43" fillId="0" borderId="0" xfId="0" applyFont="1" applyAlignment="1">
      <alignment horizontal="center" vertical="center" wrapText="1"/>
    </xf>
    <xf numFmtId="0" fontId="43" fillId="0" borderId="43" xfId="0" applyFont="1" applyBorder="1" applyAlignment="1">
      <alignment horizontal="center" vertical="center" wrapText="1"/>
    </xf>
    <xf numFmtId="0" fontId="47" fillId="0" borderId="78" xfId="254" applyFont="1" applyBorder="1" applyAlignment="1" applyProtection="1">
      <alignment horizontal="center"/>
    </xf>
    <xf numFmtId="0" fontId="47" fillId="0" borderId="49" xfId="254" applyFont="1" applyBorder="1" applyAlignment="1" applyProtection="1">
      <alignment horizontal="center"/>
    </xf>
    <xf numFmtId="0" fontId="43" fillId="0" borderId="76" xfId="0" applyFont="1" applyBorder="1" applyAlignment="1">
      <alignment horizontal="center"/>
    </xf>
    <xf numFmtId="0" fontId="43" fillId="0" borderId="57" xfId="0" applyFont="1" applyBorder="1" applyAlignment="1">
      <alignment horizontal="center"/>
    </xf>
    <xf numFmtId="0" fontId="43" fillId="0" borderId="77" xfId="0" applyFont="1" applyBorder="1" applyAlignment="1">
      <alignment horizontal="center"/>
    </xf>
    <xf numFmtId="0" fontId="40" fillId="0" borderId="25" xfId="0" applyFont="1" applyBorder="1" applyAlignment="1">
      <alignment horizontal="center" vertical="center"/>
    </xf>
    <xf numFmtId="0" fontId="48" fillId="24" borderId="34" xfId="0" applyFont="1" applyFill="1" applyBorder="1" applyAlignment="1">
      <alignment horizontal="center" vertical="center" wrapText="1"/>
    </xf>
    <xf numFmtId="0" fontId="48" fillId="24" borderId="16" xfId="0" applyFont="1" applyFill="1" applyBorder="1" applyAlignment="1">
      <alignment horizontal="center" vertical="center" wrapText="1"/>
    </xf>
    <xf numFmtId="0" fontId="48" fillId="24" borderId="26" xfId="0" applyFont="1" applyFill="1" applyBorder="1" applyAlignment="1">
      <alignment horizontal="center" vertical="center" wrapText="1"/>
    </xf>
    <xf numFmtId="0" fontId="43" fillId="0" borderId="58" xfId="0" applyFont="1" applyBorder="1" applyAlignment="1">
      <alignment horizontal="left" vertical="center"/>
    </xf>
    <xf numFmtId="0" fontId="43" fillId="0" borderId="57" xfId="0" applyFont="1" applyBorder="1" applyAlignment="1">
      <alignment horizontal="left" vertical="center"/>
    </xf>
    <xf numFmtId="0" fontId="43" fillId="0" borderId="56" xfId="0" applyFont="1" applyBorder="1" applyAlignment="1">
      <alignment horizontal="left" vertical="center"/>
    </xf>
    <xf numFmtId="0" fontId="43" fillId="0" borderId="11" xfId="0" applyFont="1" applyBorder="1" applyAlignment="1">
      <alignment horizontal="left" vertical="center"/>
    </xf>
    <xf numFmtId="0" fontId="43" fillId="0" borderId="0" xfId="0" applyFont="1" applyAlignment="1">
      <alignment horizontal="left" vertical="center"/>
    </xf>
    <xf numFmtId="0" fontId="43" fillId="0" borderId="12" xfId="0" applyFont="1" applyBorder="1" applyAlignment="1">
      <alignment horizontal="left" vertical="center"/>
    </xf>
    <xf numFmtId="0" fontId="43" fillId="0" borderId="13" xfId="0" applyFont="1" applyBorder="1" applyAlignment="1">
      <alignment horizontal="left" vertical="center"/>
    </xf>
    <xf numFmtId="0" fontId="43" fillId="0" borderId="14" xfId="0" applyFont="1" applyBorder="1" applyAlignment="1">
      <alignment horizontal="left" vertical="center"/>
    </xf>
    <xf numFmtId="0" fontId="43" fillId="0" borderId="15" xfId="0" applyFont="1" applyBorder="1" applyAlignment="1">
      <alignment horizontal="left" vertical="center"/>
    </xf>
    <xf numFmtId="0" fontId="40" fillId="0" borderId="74" xfId="253" applyFont="1" applyBorder="1" applyAlignment="1">
      <alignment horizontal="center" vertical="center"/>
    </xf>
    <xf numFmtId="0" fontId="40" fillId="0" borderId="48" xfId="253" applyFont="1" applyBorder="1" applyAlignment="1">
      <alignment horizontal="center" vertical="center"/>
    </xf>
    <xf numFmtId="0" fontId="40" fillId="0" borderId="76" xfId="253" applyFont="1" applyBorder="1" applyAlignment="1">
      <alignment horizontal="center" vertical="center"/>
    </xf>
    <xf numFmtId="0" fontId="40" fillId="0" borderId="57" xfId="253" applyFont="1" applyBorder="1" applyAlignment="1">
      <alignment horizontal="center" vertical="center"/>
    </xf>
    <xf numFmtId="0" fontId="40" fillId="0" borderId="56" xfId="253" applyFont="1" applyBorder="1" applyAlignment="1">
      <alignment horizontal="center" vertical="center"/>
    </xf>
    <xf numFmtId="0" fontId="40" fillId="0" borderId="66" xfId="253" applyFont="1" applyBorder="1" applyAlignment="1">
      <alignment horizontal="center" vertical="center"/>
    </xf>
    <xf numFmtId="0" fontId="40" fillId="0" borderId="54" xfId="253" applyFont="1" applyBorder="1" applyAlignment="1">
      <alignment horizontal="center" vertical="center"/>
    </xf>
    <xf numFmtId="0" fontId="40" fillId="0" borderId="70" xfId="253" applyFont="1" applyBorder="1" applyAlignment="1">
      <alignment horizontal="center" vertical="center"/>
    </xf>
    <xf numFmtId="0" fontId="40" fillId="0" borderId="64" xfId="253" applyFont="1" applyBorder="1" applyAlignment="1">
      <alignment horizontal="center" vertical="center"/>
    </xf>
    <xf numFmtId="0" fontId="40" fillId="0" borderId="53" xfId="253" applyFont="1" applyBorder="1" applyAlignment="1">
      <alignment horizontal="center" vertical="center"/>
    </xf>
    <xf numFmtId="0" fontId="40" fillId="0" borderId="72" xfId="253" applyFont="1" applyBorder="1" applyAlignment="1">
      <alignment horizontal="center" vertical="center"/>
    </xf>
    <xf numFmtId="0" fontId="40" fillId="0" borderId="66" xfId="0" applyFont="1" applyBorder="1" applyAlignment="1">
      <alignment horizontal="center" vertical="center"/>
    </xf>
    <xf numFmtId="0" fontId="40" fillId="0" borderId="54" xfId="0" applyFont="1" applyBorder="1" applyAlignment="1">
      <alignment horizontal="center" vertical="center"/>
    </xf>
    <xf numFmtId="0" fontId="40" fillId="0" borderId="70" xfId="0" applyFont="1" applyBorder="1" applyAlignment="1">
      <alignment horizontal="center" vertical="center"/>
    </xf>
    <xf numFmtId="0" fontId="40" fillId="24" borderId="27" xfId="0" applyFont="1" applyFill="1" applyBorder="1" applyAlignment="1">
      <alignment horizontal="center" vertical="center"/>
    </xf>
    <xf numFmtId="0" fontId="40" fillId="24" borderId="68" xfId="0" applyFont="1" applyFill="1" applyBorder="1" applyAlignment="1">
      <alignment horizontal="center" vertical="center"/>
    </xf>
    <xf numFmtId="0" fontId="43" fillId="24" borderId="34" xfId="0" applyFont="1" applyFill="1" applyBorder="1" applyAlignment="1">
      <alignment horizontal="center"/>
    </xf>
    <xf numFmtId="0" fontId="40" fillId="24" borderId="16" xfId="0" applyFont="1" applyFill="1" applyBorder="1" applyAlignment="1">
      <alignment horizontal="center"/>
    </xf>
    <xf numFmtId="0" fontId="40" fillId="24" borderId="17" xfId="0" applyFont="1" applyFill="1" applyBorder="1" applyAlignment="1">
      <alignment horizontal="center"/>
    </xf>
    <xf numFmtId="0" fontId="43" fillId="24" borderId="44" xfId="0" applyFont="1" applyFill="1" applyBorder="1" applyAlignment="1">
      <alignment horizontal="center"/>
    </xf>
    <xf numFmtId="0" fontId="48" fillId="24" borderId="34" xfId="0" applyFont="1" applyFill="1" applyBorder="1" applyAlignment="1">
      <alignment horizontal="center" vertical="center"/>
    </xf>
    <xf numFmtId="0" fontId="48" fillId="24" borderId="26" xfId="0" applyFont="1" applyFill="1" applyBorder="1" applyAlignment="1">
      <alignment horizontal="center" vertical="center"/>
    </xf>
    <xf numFmtId="0" fontId="43" fillId="0" borderId="58" xfId="0" applyFont="1" applyBorder="1" applyAlignment="1" applyProtection="1">
      <alignment horizontal="center"/>
      <protection locked="0"/>
    </xf>
    <xf numFmtId="0" fontId="43" fillId="0" borderId="57" xfId="0" applyFont="1" applyBorder="1" applyAlignment="1" applyProtection="1">
      <alignment horizontal="center"/>
      <protection locked="0"/>
    </xf>
    <xf numFmtId="0" fontId="43" fillId="0" borderId="56" xfId="0" applyFont="1" applyBorder="1" applyAlignment="1" applyProtection="1">
      <alignment horizontal="center"/>
      <protection locked="0"/>
    </xf>
    <xf numFmtId="0" fontId="40" fillId="0" borderId="21" xfId="0" applyFont="1" applyBorder="1"/>
    <xf numFmtId="0" fontId="40" fillId="0" borderId="22" xfId="0" applyFont="1" applyBorder="1"/>
    <xf numFmtId="0" fontId="40" fillId="0" borderId="23" xfId="0" applyFont="1" applyBorder="1"/>
    <xf numFmtId="0" fontId="40" fillId="0" borderId="19" xfId="0" applyFont="1" applyBorder="1"/>
    <xf numFmtId="0" fontId="40" fillId="0" borderId="19" xfId="0" applyFont="1" applyBorder="1" applyAlignment="1">
      <alignment horizontal="center"/>
    </xf>
    <xf numFmtId="0" fontId="40" fillId="0" borderId="23" xfId="0" applyFont="1" applyBorder="1" applyAlignment="1">
      <alignment horizontal="center"/>
    </xf>
    <xf numFmtId="0" fontId="43" fillId="24" borderId="66" xfId="0" applyFont="1" applyFill="1" applyBorder="1" applyAlignment="1">
      <alignment horizontal="center"/>
    </xf>
    <xf numFmtId="0" fontId="43" fillId="24" borderId="65" xfId="0" applyFont="1" applyFill="1" applyBorder="1" applyAlignment="1">
      <alignment horizontal="center"/>
    </xf>
    <xf numFmtId="0" fontId="43" fillId="24" borderId="17" xfId="0" applyFont="1" applyFill="1" applyBorder="1" applyAlignment="1">
      <alignment horizontal="center"/>
    </xf>
    <xf numFmtId="0" fontId="40" fillId="24" borderId="31" xfId="0" applyFont="1" applyFill="1" applyBorder="1" applyAlignment="1">
      <alignment horizontal="center" vertical="center"/>
    </xf>
    <xf numFmtId="0" fontId="40" fillId="0" borderId="27" xfId="0" applyFont="1" applyBorder="1"/>
    <xf numFmtId="0" fontId="40" fillId="0" borderId="31" xfId="0" applyFont="1" applyBorder="1"/>
    <xf numFmtId="0" fontId="40" fillId="0" borderId="28" xfId="0" applyFont="1" applyBorder="1"/>
    <xf numFmtId="0" fontId="40" fillId="0" borderId="60" xfId="0" applyFont="1" applyBorder="1"/>
    <xf numFmtId="2" fontId="40" fillId="0" borderId="60" xfId="0" applyNumberFormat="1" applyFont="1" applyBorder="1" applyAlignment="1">
      <alignment horizontal="center"/>
    </xf>
    <xf numFmtId="2" fontId="40" fillId="0" borderId="28" xfId="0" applyNumberFormat="1" applyFont="1" applyBorder="1" applyAlignment="1">
      <alignment horizontal="center"/>
    </xf>
    <xf numFmtId="0" fontId="43" fillId="24" borderId="16" xfId="0" applyFont="1" applyFill="1" applyBorder="1" applyAlignment="1">
      <alignment horizontal="center"/>
    </xf>
    <xf numFmtId="0" fontId="43" fillId="24" borderId="44" xfId="0" applyFont="1" applyFill="1" applyBorder="1" applyAlignment="1">
      <alignment horizontal="center" wrapText="1"/>
    </xf>
    <xf numFmtId="0" fontId="43" fillId="24" borderId="17" xfId="0" applyFont="1" applyFill="1" applyBorder="1" applyAlignment="1">
      <alignment horizontal="center" wrapText="1"/>
    </xf>
    <xf numFmtId="2" fontId="40" fillId="0" borderId="19" xfId="0" applyNumberFormat="1" applyFont="1" applyBorder="1" applyAlignment="1">
      <alignment horizontal="center"/>
    </xf>
    <xf numFmtId="2" fontId="40" fillId="0" borderId="23" xfId="0" applyNumberFormat="1" applyFont="1" applyBorder="1" applyAlignment="1">
      <alignment horizontal="center"/>
    </xf>
    <xf numFmtId="0" fontId="40" fillId="0" borderId="60" xfId="0" applyFont="1" applyBorder="1" applyAlignment="1">
      <alignment horizontal="center"/>
    </xf>
    <xf numFmtId="0" fontId="40" fillId="0" borderId="28" xfId="0" applyFont="1" applyBorder="1" applyAlignment="1">
      <alignment horizontal="center"/>
    </xf>
    <xf numFmtId="0" fontId="43" fillId="0" borderId="39" xfId="0" applyFont="1" applyBorder="1" applyAlignment="1">
      <alignment horizontal="right"/>
    </xf>
    <xf numFmtId="0" fontId="43" fillId="0" borderId="41" xfId="0" applyFont="1" applyBorder="1" applyAlignment="1">
      <alignment horizontal="right"/>
    </xf>
    <xf numFmtId="0" fontId="43" fillId="0" borderId="42" xfId="0" applyFont="1" applyBorder="1" applyAlignment="1">
      <alignment horizontal="right"/>
    </xf>
    <xf numFmtId="2" fontId="40" fillId="0" borderId="19" xfId="0" applyNumberFormat="1" applyFont="1" applyBorder="1" applyAlignment="1">
      <alignment horizontal="center" wrapText="1"/>
    </xf>
    <xf numFmtId="2" fontId="40" fillId="0" borderId="23" xfId="0" applyNumberFormat="1" applyFont="1" applyBorder="1" applyAlignment="1">
      <alignment horizontal="center" wrapText="1"/>
    </xf>
    <xf numFmtId="0" fontId="43" fillId="24" borderId="39" xfId="0" applyFont="1" applyFill="1" applyBorder="1" applyAlignment="1">
      <alignment horizontal="right"/>
    </xf>
    <xf numFmtId="0" fontId="43" fillId="24" borderId="41" xfId="0" applyFont="1" applyFill="1" applyBorder="1" applyAlignment="1">
      <alignment horizontal="right"/>
    </xf>
    <xf numFmtId="0" fontId="43" fillId="24" borderId="42" xfId="0" applyFont="1" applyFill="1" applyBorder="1" applyAlignment="1">
      <alignment horizontal="right"/>
    </xf>
    <xf numFmtId="172" fontId="40" fillId="0" borderId="19" xfId="34" applyFont="1" applyBorder="1" applyAlignment="1">
      <alignment horizontal="center"/>
    </xf>
    <xf numFmtId="172" fontId="40" fillId="0" borderId="23" xfId="34" applyFont="1" applyBorder="1" applyAlignment="1">
      <alignment horizontal="center"/>
    </xf>
    <xf numFmtId="0" fontId="41" fillId="0" borderId="86" xfId="0" applyFont="1" applyBorder="1" applyAlignment="1">
      <alignment horizontal="center"/>
    </xf>
    <xf numFmtId="0" fontId="41" fillId="0" borderId="79" xfId="0" applyFont="1" applyBorder="1" applyAlignment="1">
      <alignment horizontal="center"/>
    </xf>
    <xf numFmtId="0" fontId="41" fillId="0" borderId="88" xfId="0" applyFont="1" applyBorder="1" applyAlignment="1">
      <alignment horizontal="center"/>
    </xf>
    <xf numFmtId="0" fontId="40" fillId="0" borderId="0" xfId="0" applyFont="1" applyAlignment="1">
      <alignment horizontal="right"/>
    </xf>
    <xf numFmtId="0" fontId="40" fillId="0" borderId="12" xfId="0" applyFont="1" applyBorder="1" applyAlignment="1">
      <alignment horizontal="right"/>
    </xf>
    <xf numFmtId="0" fontId="40" fillId="0" borderId="14" xfId="0" applyFont="1" applyBorder="1" applyAlignment="1">
      <alignment horizontal="right"/>
    </xf>
    <xf numFmtId="0" fontId="40" fillId="0" borderId="15" xfId="0" applyFont="1" applyBorder="1" applyAlignment="1">
      <alignment horizontal="right"/>
    </xf>
    <xf numFmtId="0" fontId="40" fillId="0" borderId="13" xfId="0" applyFont="1" applyBorder="1" applyAlignment="1">
      <alignment horizontal="left"/>
    </xf>
    <xf numFmtId="0" fontId="40" fillId="0" borderId="14" xfId="0" applyFont="1" applyBorder="1" applyAlignment="1">
      <alignment horizontal="left"/>
    </xf>
    <xf numFmtId="0" fontId="43" fillId="0" borderId="11" xfId="0" applyFont="1" applyBorder="1" applyAlignment="1">
      <alignment horizontal="right" vertical="center"/>
    </xf>
    <xf numFmtId="0" fontId="43" fillId="0" borderId="0" xfId="0" applyFont="1" applyAlignment="1">
      <alignment horizontal="right" vertical="center"/>
    </xf>
    <xf numFmtId="0" fontId="43" fillId="0" borderId="11" xfId="0" applyFont="1" applyBorder="1" applyAlignment="1">
      <alignment wrapText="1"/>
    </xf>
    <xf numFmtId="0" fontId="43" fillId="0" borderId="0" xfId="0" applyFont="1" applyAlignment="1">
      <alignment wrapText="1"/>
    </xf>
    <xf numFmtId="0" fontId="43" fillId="0" borderId="12" xfId="0" applyFont="1" applyBorder="1" applyAlignment="1">
      <alignment wrapText="1"/>
    </xf>
    <xf numFmtId="0" fontId="40" fillId="0" borderId="21" xfId="0" applyFont="1" applyBorder="1" applyAlignment="1">
      <alignment horizontal="center"/>
    </xf>
    <xf numFmtId="0" fontId="40" fillId="0" borderId="22" xfId="0" applyFont="1" applyBorder="1" applyAlignment="1">
      <alignment horizontal="center"/>
    </xf>
    <xf numFmtId="0" fontId="40" fillId="0" borderId="55" xfId="0" applyFont="1" applyBorder="1" applyAlignment="1">
      <alignment horizontal="center"/>
    </xf>
    <xf numFmtId="43" fontId="40" fillId="0" borderId="19" xfId="34" applyNumberFormat="1" applyFont="1" applyBorder="1" applyAlignment="1">
      <alignment horizontal="center"/>
    </xf>
    <xf numFmtId="43" fontId="40" fillId="0" borderId="23" xfId="34" applyNumberFormat="1" applyFont="1" applyBorder="1" applyAlignment="1">
      <alignment horizontal="center"/>
    </xf>
    <xf numFmtId="43" fontId="40" fillId="0" borderId="60" xfId="34" applyNumberFormat="1" applyFont="1" applyBorder="1" applyAlignment="1">
      <alignment horizontal="center"/>
    </xf>
    <xf numFmtId="43" fontId="40" fillId="0" borderId="28" xfId="34" applyNumberFormat="1" applyFont="1" applyBorder="1" applyAlignment="1">
      <alignment horizontal="center"/>
    </xf>
    <xf numFmtId="2" fontId="40" fillId="0" borderId="18" xfId="74" applyNumberFormat="1" applyFont="1" applyBorder="1" applyAlignment="1">
      <alignment horizontal="center" vertical="center" wrapText="1"/>
    </xf>
  </cellXfs>
  <cellStyles count="26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0] 2" xfId="260" xr:uid="{DDD014E9-8BEC-43B5-9F4F-C906262B2FCB}"/>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da 5" xfId="256" xr:uid="{0E798644-53B2-4876-9DF7-FC3DE5DF6C5D}"/>
    <cellStyle name="Moneda 6" xfId="263" xr:uid="{20CBF6FD-386F-4D2C-8C8B-ACCC69992347}"/>
    <cellStyle name="Moneda 7" xfId="264" xr:uid="{F31F8CA9-6DD6-4791-BB3E-8EA56192052A}"/>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10" xfId="255" xr:uid="{338DD937-3696-4284-B641-DB45C92B1B67}"/>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14" xfId="259" xr:uid="{EF270C1C-0EA0-4D9E-A536-36B9031E37BD}"/>
    <cellStyle name="Normal 2 2" xfId="79" xr:uid="{00000000-0005-0000-0000-0000B1000000}"/>
    <cellStyle name="Normal 2 2 2" xfId="227" xr:uid="{00000000-0005-0000-0000-0000B2000000}"/>
    <cellStyle name="Normal 2 2 3" xfId="228" xr:uid="{00000000-0005-0000-0000-0000B3000000}"/>
    <cellStyle name="Normal 2 2 32" xfId="258" xr:uid="{4C5722C4-3DCF-476D-9305-4F81FC65A2D3}"/>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2 2" xfId="262" xr:uid="{94A5F239-A4DC-4BE7-8A04-969A9E70189F}"/>
    <cellStyle name="Porcentaje 2 3" xfId="261" xr:uid="{E7DB89C8-43A5-4982-B59E-6DC8F25A0B1F}"/>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aje 6" xfId="257" xr:uid="{B4AC040F-9E0F-4AC9-A6BD-72F3D9372252}"/>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O128"/>
  <sheetViews>
    <sheetView showGridLines="0" tabSelected="1" view="pageBreakPreview" zoomScale="85" zoomScaleNormal="55" zoomScaleSheetLayoutView="85" zoomScalePageLayoutView="70" workbookViewId="0">
      <selection activeCell="G69" sqref="G69"/>
    </sheetView>
  </sheetViews>
  <sheetFormatPr baseColWidth="10" defaultColWidth="11.42578125" defaultRowHeight="14.25"/>
  <cols>
    <col min="1" max="2" width="4.42578125" style="1" customWidth="1"/>
    <col min="3" max="3" width="10.140625" style="1" bestFit="1" customWidth="1"/>
    <col min="4" max="4" width="12" style="1" customWidth="1"/>
    <col min="5" max="5" width="12.42578125" style="5" bestFit="1" customWidth="1"/>
    <col min="6" max="6" width="17.140625" style="1" bestFit="1" customWidth="1"/>
    <col min="7" max="7" width="76.42578125" style="1" customWidth="1"/>
    <col min="8" max="8" width="8.7109375" style="1" customWidth="1"/>
    <col min="9" max="9" width="14" style="1" bestFit="1" customWidth="1"/>
    <col min="10" max="10" width="23" style="1" bestFit="1" customWidth="1"/>
    <col min="11" max="11" width="24.5703125" style="1" bestFit="1" customWidth="1"/>
    <col min="12" max="13" width="4.42578125" style="1" customWidth="1"/>
    <col min="14" max="14" width="11.42578125" style="1"/>
    <col min="15" max="15" width="17.140625" style="1" bestFit="1" customWidth="1"/>
    <col min="16" max="16" width="11.42578125" style="1"/>
    <col min="17" max="17" width="15.7109375" style="1" customWidth="1"/>
    <col min="18" max="16384" width="11.42578125" style="1"/>
  </cols>
  <sheetData>
    <row r="1" spans="2:15">
      <c r="B1" s="233" t="s">
        <v>0</v>
      </c>
      <c r="C1" s="233"/>
      <c r="D1" s="233"/>
      <c r="E1" s="233"/>
      <c r="F1" s="233"/>
      <c r="G1" s="233"/>
    </row>
    <row r="2" spans="2:15">
      <c r="B2" s="233" t="s">
        <v>1</v>
      </c>
      <c r="C2" s="233"/>
      <c r="D2" s="233"/>
      <c r="E2" s="233"/>
    </row>
    <row r="3" spans="2:15" ht="15" thickBot="1">
      <c r="B3" s="6"/>
      <c r="C3" s="7"/>
      <c r="D3" s="6"/>
      <c r="E3" s="7"/>
    </row>
    <row r="4" spans="2:15" ht="15.75" thickTop="1" thickBot="1">
      <c r="B4" s="234"/>
      <c r="C4" s="235"/>
      <c r="D4" s="235"/>
      <c r="E4" s="235"/>
      <c r="F4" s="235"/>
      <c r="G4" s="235"/>
      <c r="H4" s="235"/>
      <c r="I4" s="235"/>
      <c r="J4" s="235"/>
      <c r="K4" s="235"/>
      <c r="L4" s="236"/>
    </row>
    <row r="5" spans="2:15" ht="31.5" customHeight="1" thickTop="1">
      <c r="B5" s="3"/>
      <c r="C5" s="237" t="s">
        <v>2</v>
      </c>
      <c r="D5" s="238"/>
      <c r="E5" s="238"/>
      <c r="F5" s="238"/>
      <c r="G5" s="238"/>
      <c r="H5" s="238"/>
      <c r="I5" s="238"/>
      <c r="J5" s="238"/>
      <c r="K5" s="239"/>
      <c r="L5" s="4"/>
    </row>
    <row r="6" spans="2:15">
      <c r="B6" s="8"/>
      <c r="C6" s="240" t="s">
        <v>3</v>
      </c>
      <c r="D6" s="240"/>
      <c r="E6" s="240"/>
      <c r="F6" s="240"/>
      <c r="G6" s="240"/>
      <c r="H6" s="240"/>
      <c r="I6" s="240"/>
      <c r="J6" s="240"/>
      <c r="K6" s="241"/>
      <c r="L6" s="4"/>
    </row>
    <row r="7" spans="2:15" s="2" customFormat="1">
      <c r="B7" s="9"/>
      <c r="C7" s="227" t="s">
        <v>4</v>
      </c>
      <c r="D7" s="228"/>
      <c r="E7" s="228"/>
      <c r="F7" s="228"/>
      <c r="G7" s="228"/>
      <c r="H7" s="228"/>
      <c r="I7" s="228"/>
      <c r="J7" s="228"/>
      <c r="K7" s="229"/>
      <c r="L7" s="10"/>
    </row>
    <row r="8" spans="2:15" ht="30" customHeight="1">
      <c r="B8" s="8"/>
      <c r="C8" s="227"/>
      <c r="D8" s="228"/>
      <c r="E8" s="228"/>
      <c r="F8" s="228"/>
      <c r="G8" s="228"/>
      <c r="H8" s="228"/>
      <c r="I8" s="228"/>
      <c r="J8" s="228"/>
      <c r="K8" s="229"/>
      <c r="L8" s="4"/>
    </row>
    <row r="9" spans="2:15" ht="44.25" customHeight="1">
      <c r="B9" s="8"/>
      <c r="C9" s="230" t="s">
        <v>5</v>
      </c>
      <c r="D9" s="231"/>
      <c r="E9" s="231"/>
      <c r="F9" s="231"/>
      <c r="G9" s="231"/>
      <c r="H9" s="231"/>
      <c r="I9" s="231"/>
      <c r="J9" s="231"/>
      <c r="K9" s="232"/>
      <c r="L9" s="4"/>
    </row>
    <row r="10" spans="2:15" ht="30" customHeight="1" thickBot="1">
      <c r="B10" s="3"/>
      <c r="C10" s="209"/>
      <c r="D10" s="210"/>
      <c r="E10" s="210"/>
      <c r="F10" s="210"/>
      <c r="G10" s="210"/>
      <c r="H10" s="210"/>
      <c r="I10" s="210"/>
      <c r="J10" s="210"/>
      <c r="K10" s="211"/>
      <c r="L10" s="4"/>
    </row>
    <row r="11" spans="2:15" ht="30" customHeight="1">
      <c r="B11" s="3"/>
      <c r="C11" s="224" t="s">
        <v>6</v>
      </c>
      <c r="D11" s="218" t="s">
        <v>222</v>
      </c>
      <c r="E11" s="226" t="s">
        <v>7</v>
      </c>
      <c r="F11" s="226"/>
      <c r="G11" s="224" t="s">
        <v>8</v>
      </c>
      <c r="H11" s="218" t="s">
        <v>9</v>
      </c>
      <c r="I11" s="218" t="s">
        <v>10</v>
      </c>
      <c r="J11" s="220" t="s">
        <v>11</v>
      </c>
      <c r="K11" s="222" t="s">
        <v>12</v>
      </c>
      <c r="L11" s="4"/>
    </row>
    <row r="12" spans="2:15" ht="30" customHeight="1" thickBot="1">
      <c r="B12" s="3"/>
      <c r="C12" s="225"/>
      <c r="D12" s="219"/>
      <c r="E12" s="11" t="s">
        <v>13</v>
      </c>
      <c r="F12" s="11" t="s">
        <v>14</v>
      </c>
      <c r="G12" s="225"/>
      <c r="H12" s="219"/>
      <c r="I12" s="219"/>
      <c r="J12" s="221"/>
      <c r="K12" s="223"/>
      <c r="L12" s="4"/>
    </row>
    <row r="13" spans="2:15" ht="30" customHeight="1">
      <c r="B13" s="3"/>
      <c r="C13" s="184">
        <v>1</v>
      </c>
      <c r="D13" s="181"/>
      <c r="E13" s="181"/>
      <c r="F13" s="181"/>
      <c r="G13" s="181"/>
      <c r="H13" s="181"/>
      <c r="I13" s="181"/>
      <c r="J13" s="181"/>
      <c r="K13" s="182"/>
      <c r="L13" s="4"/>
    </row>
    <row r="14" spans="2:15" ht="30" customHeight="1">
      <c r="B14" s="3"/>
      <c r="C14" s="186">
        <v>1</v>
      </c>
      <c r="D14" s="186">
        <v>1.1000000000000001</v>
      </c>
      <c r="E14" s="17"/>
      <c r="F14" s="17"/>
      <c r="G14" s="17" t="s">
        <v>127</v>
      </c>
      <c r="H14" s="186" t="s">
        <v>104</v>
      </c>
      <c r="I14" s="360">
        <v>22.830000000000002</v>
      </c>
      <c r="J14" s="19">
        <f>+ROUND(13166*1.33,2)</f>
        <v>17510.78</v>
      </c>
      <c r="K14" s="19">
        <f>+I14*J14</f>
        <v>399771.10739999998</v>
      </c>
      <c r="L14" s="4"/>
      <c r="O14" s="185"/>
    </row>
    <row r="15" spans="2:15" ht="30" customHeight="1">
      <c r="B15" s="3"/>
      <c r="C15" s="186">
        <v>2</v>
      </c>
      <c r="D15" s="186">
        <v>1.1200000000000001</v>
      </c>
      <c r="E15" s="17"/>
      <c r="F15" s="17"/>
      <c r="G15" s="17" t="s">
        <v>128</v>
      </c>
      <c r="H15" s="186" t="s">
        <v>104</v>
      </c>
      <c r="I15" s="360">
        <v>14.850000000000001</v>
      </c>
      <c r="J15" s="19">
        <f>+ROUND(14116*1.33,2)</f>
        <v>18774.28</v>
      </c>
      <c r="K15" s="19">
        <f t="shared" ref="K15:K112" si="0">+I15*J15</f>
        <v>278798.05800000002</v>
      </c>
      <c r="L15" s="4"/>
      <c r="O15" s="185"/>
    </row>
    <row r="16" spans="2:15" ht="30" customHeight="1">
      <c r="B16" s="3"/>
      <c r="C16" s="186">
        <v>3</v>
      </c>
      <c r="D16" s="186">
        <v>1.1299999999999999</v>
      </c>
      <c r="E16" s="17"/>
      <c r="F16" s="17"/>
      <c r="G16" s="17" t="s">
        <v>129</v>
      </c>
      <c r="H16" s="186" t="s">
        <v>104</v>
      </c>
      <c r="I16" s="360">
        <v>5.0599999999999996</v>
      </c>
      <c r="J16" s="19">
        <f>+ROUND(14955*1.33,2)</f>
        <v>19890.150000000001</v>
      </c>
      <c r="K16" s="19">
        <f t="shared" si="0"/>
        <v>100644.159</v>
      </c>
      <c r="L16" s="4"/>
      <c r="O16" s="185"/>
    </row>
    <row r="17" spans="2:15" ht="30" customHeight="1">
      <c r="B17" s="3"/>
      <c r="C17" s="186">
        <v>4</v>
      </c>
      <c r="D17" s="186">
        <v>1.1399999999999999</v>
      </c>
      <c r="E17" s="17"/>
      <c r="F17" s="17"/>
      <c r="G17" s="17" t="s">
        <v>130</v>
      </c>
      <c r="H17" s="186" t="s">
        <v>104</v>
      </c>
      <c r="I17" s="360">
        <v>23.4</v>
      </c>
      <c r="J17" s="19">
        <f>+ROUND(19598*1.33,2)</f>
        <v>26065.34</v>
      </c>
      <c r="K17" s="19">
        <f t="shared" si="0"/>
        <v>609928.95600000001</v>
      </c>
      <c r="L17" s="4"/>
      <c r="O17" s="185"/>
    </row>
    <row r="18" spans="2:15" ht="30" customHeight="1">
      <c r="B18" s="3"/>
      <c r="C18" s="186">
        <v>5</v>
      </c>
      <c r="D18" s="186">
        <v>1.1599999999999999</v>
      </c>
      <c r="E18" s="17"/>
      <c r="F18" s="17"/>
      <c r="G18" s="17" t="s">
        <v>131</v>
      </c>
      <c r="H18" s="186" t="s">
        <v>104</v>
      </c>
      <c r="I18" s="360">
        <v>38.11</v>
      </c>
      <c r="J18" s="19">
        <f>+ROUND(26178*1.33,2)</f>
        <v>34816.74</v>
      </c>
      <c r="K18" s="19">
        <f t="shared" si="0"/>
        <v>1326865.9613999999</v>
      </c>
      <c r="L18" s="4"/>
      <c r="O18" s="185"/>
    </row>
    <row r="19" spans="2:15" ht="30" customHeight="1">
      <c r="B19" s="3"/>
      <c r="C19" s="186">
        <v>6</v>
      </c>
      <c r="D19" s="186">
        <v>1.21</v>
      </c>
      <c r="E19" s="17"/>
      <c r="F19" s="17"/>
      <c r="G19" s="17" t="s">
        <v>132</v>
      </c>
      <c r="H19" s="186" t="s">
        <v>104</v>
      </c>
      <c r="I19" s="360">
        <v>1.2</v>
      </c>
      <c r="J19" s="19">
        <f>+ROUND(47422*1.33,2)</f>
        <v>63071.26</v>
      </c>
      <c r="K19" s="19">
        <f t="shared" si="0"/>
        <v>75685.512000000002</v>
      </c>
      <c r="L19" s="4"/>
      <c r="O19" s="185"/>
    </row>
    <row r="20" spans="2:15" ht="30" customHeight="1">
      <c r="B20" s="3"/>
      <c r="C20" s="186">
        <v>7</v>
      </c>
      <c r="D20" s="186">
        <v>1.29</v>
      </c>
      <c r="E20" s="17"/>
      <c r="F20" s="17"/>
      <c r="G20" s="17" t="s">
        <v>133</v>
      </c>
      <c r="H20" s="186" t="s">
        <v>134</v>
      </c>
      <c r="I20" s="360">
        <v>1.3</v>
      </c>
      <c r="J20" s="19">
        <f>+ROUND(324368*1.33,2)</f>
        <v>431409.44</v>
      </c>
      <c r="K20" s="19">
        <f t="shared" si="0"/>
        <v>560832.272</v>
      </c>
      <c r="L20" s="4"/>
      <c r="O20" s="185"/>
    </row>
    <row r="21" spans="2:15" ht="30" customHeight="1">
      <c r="B21" s="3"/>
      <c r="C21" s="186">
        <v>8</v>
      </c>
      <c r="D21" s="186">
        <v>1.31</v>
      </c>
      <c r="E21" s="17"/>
      <c r="F21" s="17"/>
      <c r="G21" s="17" t="s">
        <v>96</v>
      </c>
      <c r="H21" s="186" t="s">
        <v>104</v>
      </c>
      <c r="I21" s="360">
        <v>3.15</v>
      </c>
      <c r="J21" s="19">
        <f>+ROUND(11851*1.33,2)</f>
        <v>15761.83</v>
      </c>
      <c r="K21" s="19">
        <f t="shared" si="0"/>
        <v>49649.764499999997</v>
      </c>
      <c r="L21" s="4"/>
      <c r="O21" s="185"/>
    </row>
    <row r="22" spans="2:15" ht="30" customHeight="1">
      <c r="B22" s="3"/>
      <c r="C22" s="186">
        <v>9</v>
      </c>
      <c r="D22" s="186">
        <v>1.32</v>
      </c>
      <c r="E22" s="17"/>
      <c r="F22" s="17"/>
      <c r="G22" s="17" t="s">
        <v>135</v>
      </c>
      <c r="H22" s="186" t="s">
        <v>136</v>
      </c>
      <c r="I22" s="360">
        <v>6</v>
      </c>
      <c r="J22" s="19">
        <f>+ROUND(40253*1.33,2)</f>
        <v>53536.49</v>
      </c>
      <c r="K22" s="19">
        <f t="shared" si="0"/>
        <v>321218.94</v>
      </c>
      <c r="L22" s="4"/>
      <c r="O22" s="185"/>
    </row>
    <row r="23" spans="2:15" ht="30" customHeight="1">
      <c r="B23" s="3"/>
      <c r="C23" s="186">
        <v>10</v>
      </c>
      <c r="D23" s="186">
        <v>1.33</v>
      </c>
      <c r="E23" s="17"/>
      <c r="F23" s="17"/>
      <c r="G23" s="17" t="s">
        <v>137</v>
      </c>
      <c r="H23" s="186" t="s">
        <v>104</v>
      </c>
      <c r="I23" s="360">
        <v>48.239999999999995</v>
      </c>
      <c r="J23" s="19">
        <f>+ROUND(23092*1.33,2)</f>
        <v>30712.36</v>
      </c>
      <c r="K23" s="19">
        <f t="shared" si="0"/>
        <v>1481564.2463999998</v>
      </c>
      <c r="L23" s="4"/>
      <c r="O23" s="185"/>
    </row>
    <row r="24" spans="2:15" ht="30" customHeight="1">
      <c r="B24" s="3"/>
      <c r="C24" s="186">
        <v>11</v>
      </c>
      <c r="D24" s="186">
        <v>1.34</v>
      </c>
      <c r="E24" s="17"/>
      <c r="F24" s="17"/>
      <c r="G24" s="17" t="s">
        <v>138</v>
      </c>
      <c r="H24" s="186" t="s">
        <v>104</v>
      </c>
      <c r="I24" s="360">
        <v>57.22</v>
      </c>
      <c r="J24" s="19">
        <f>+ROUND(21694*1.33,2)</f>
        <v>28853.02</v>
      </c>
      <c r="K24" s="19">
        <f t="shared" si="0"/>
        <v>1650969.8044</v>
      </c>
      <c r="L24" s="4"/>
      <c r="O24" s="185"/>
    </row>
    <row r="25" spans="2:15" ht="30" customHeight="1">
      <c r="B25" s="3"/>
      <c r="C25" s="186">
        <v>12</v>
      </c>
      <c r="D25" s="186">
        <v>1.35</v>
      </c>
      <c r="E25" s="17"/>
      <c r="F25" s="17"/>
      <c r="G25" s="17" t="s">
        <v>139</v>
      </c>
      <c r="H25" s="186" t="s">
        <v>104</v>
      </c>
      <c r="I25" s="360">
        <v>4.1100000000000003</v>
      </c>
      <c r="J25" s="19">
        <f>+ROUND(20103*1.33,2)</f>
        <v>26736.99</v>
      </c>
      <c r="K25" s="19">
        <f t="shared" si="0"/>
        <v>109889.02890000002</v>
      </c>
      <c r="L25" s="4"/>
      <c r="O25" s="185"/>
    </row>
    <row r="26" spans="2:15" ht="30" customHeight="1">
      <c r="B26" s="3"/>
      <c r="C26" s="186">
        <v>13</v>
      </c>
      <c r="D26" s="186">
        <v>1.38</v>
      </c>
      <c r="E26" s="17"/>
      <c r="F26" s="17"/>
      <c r="G26" s="17" t="s">
        <v>140</v>
      </c>
      <c r="H26" s="186" t="s">
        <v>136</v>
      </c>
      <c r="I26" s="360">
        <v>1</v>
      </c>
      <c r="J26" s="19">
        <f>+ROUND(26090*1.33,2)</f>
        <v>34699.699999999997</v>
      </c>
      <c r="K26" s="19">
        <f t="shared" si="0"/>
        <v>34699.699999999997</v>
      </c>
      <c r="L26" s="4"/>
      <c r="O26" s="185"/>
    </row>
    <row r="27" spans="2:15" ht="30" customHeight="1">
      <c r="B27" s="3"/>
      <c r="C27" s="186">
        <v>14</v>
      </c>
      <c r="D27" s="186">
        <v>1.42</v>
      </c>
      <c r="E27" s="17"/>
      <c r="F27" s="17"/>
      <c r="G27" s="17" t="s">
        <v>141</v>
      </c>
      <c r="H27" s="186" t="s">
        <v>104</v>
      </c>
      <c r="I27" s="360">
        <v>17.559999999999999</v>
      </c>
      <c r="J27" s="19">
        <f>+ROUND(4962*1.33,2)</f>
        <v>6599.46</v>
      </c>
      <c r="K27" s="19">
        <f t="shared" si="0"/>
        <v>115886.51759999999</v>
      </c>
      <c r="L27" s="4"/>
      <c r="O27" s="185"/>
    </row>
    <row r="28" spans="2:15" ht="30" customHeight="1">
      <c r="B28" s="3"/>
      <c r="C28" s="186">
        <v>15</v>
      </c>
      <c r="D28" s="186">
        <v>2.7</v>
      </c>
      <c r="E28" s="17"/>
      <c r="F28" s="17"/>
      <c r="G28" s="17" t="s">
        <v>142</v>
      </c>
      <c r="H28" s="186" t="s">
        <v>134</v>
      </c>
      <c r="I28" s="360">
        <v>0.67</v>
      </c>
      <c r="J28" s="19">
        <f>+ROUND(990362*1.33,2)</f>
        <v>1317181.46</v>
      </c>
      <c r="K28" s="19">
        <f t="shared" si="0"/>
        <v>882511.57819999999</v>
      </c>
      <c r="L28" s="4"/>
      <c r="O28" s="185"/>
    </row>
    <row r="29" spans="2:15" ht="30" customHeight="1">
      <c r="B29" s="3"/>
      <c r="C29" s="186">
        <v>16</v>
      </c>
      <c r="D29" s="186">
        <v>4.3</v>
      </c>
      <c r="E29" s="17"/>
      <c r="F29" s="17"/>
      <c r="G29" s="17" t="s">
        <v>143</v>
      </c>
      <c r="H29" s="186" t="s">
        <v>134</v>
      </c>
      <c r="I29" s="360">
        <v>0.48000000000000004</v>
      </c>
      <c r="J29" s="19">
        <f>+ROUND(1233806*1.33,2)</f>
        <v>1640961.98</v>
      </c>
      <c r="K29" s="19">
        <f t="shared" si="0"/>
        <v>787661.75040000002</v>
      </c>
      <c r="L29" s="4"/>
      <c r="O29" s="185"/>
    </row>
    <row r="30" spans="2:15" ht="30" customHeight="1">
      <c r="B30" s="3"/>
      <c r="C30" s="186">
        <v>17</v>
      </c>
      <c r="D30" s="186">
        <v>4.4000000000000004</v>
      </c>
      <c r="E30" s="17"/>
      <c r="F30" s="17"/>
      <c r="G30" s="17" t="s">
        <v>144</v>
      </c>
      <c r="H30" s="186" t="s">
        <v>134</v>
      </c>
      <c r="I30" s="360">
        <v>1.96</v>
      </c>
      <c r="J30" s="19">
        <f>+ROUND(370167*1.33,2)</f>
        <v>492322.11</v>
      </c>
      <c r="K30" s="19">
        <f t="shared" si="0"/>
        <v>964951.33559999999</v>
      </c>
      <c r="L30" s="4"/>
      <c r="O30" s="185"/>
    </row>
    <row r="31" spans="2:15" ht="30" customHeight="1">
      <c r="B31" s="3"/>
      <c r="C31" s="186">
        <v>18</v>
      </c>
      <c r="D31" s="186">
        <v>4.17</v>
      </c>
      <c r="E31" s="17"/>
      <c r="F31" s="17"/>
      <c r="G31" s="17" t="s">
        <v>145</v>
      </c>
      <c r="H31" s="186" t="s">
        <v>104</v>
      </c>
      <c r="I31" s="360">
        <v>1.26</v>
      </c>
      <c r="J31" s="19">
        <f>+ROUND(147430*1.33,2)</f>
        <v>196081.9</v>
      </c>
      <c r="K31" s="19">
        <f t="shared" si="0"/>
        <v>247063.19399999999</v>
      </c>
      <c r="L31" s="4"/>
      <c r="O31" s="185"/>
    </row>
    <row r="32" spans="2:15" ht="30" customHeight="1">
      <c r="B32" s="3"/>
      <c r="C32" s="186">
        <v>19</v>
      </c>
      <c r="D32" s="186">
        <v>4.21</v>
      </c>
      <c r="E32" s="17"/>
      <c r="F32" s="17"/>
      <c r="G32" s="17" t="s">
        <v>146</v>
      </c>
      <c r="H32" s="186" t="s">
        <v>147</v>
      </c>
      <c r="I32" s="360">
        <v>383.1</v>
      </c>
      <c r="J32" s="19">
        <f>+ROUND(8433*1.33,2)</f>
        <v>11215.89</v>
      </c>
      <c r="K32" s="19">
        <f t="shared" si="0"/>
        <v>4296807.4589999998</v>
      </c>
      <c r="L32" s="4"/>
      <c r="O32" s="185"/>
    </row>
    <row r="33" spans="2:15" ht="30" customHeight="1">
      <c r="B33" s="3"/>
      <c r="C33" s="186">
        <v>20</v>
      </c>
      <c r="D33" s="186">
        <v>4.22</v>
      </c>
      <c r="E33" s="17"/>
      <c r="F33" s="17"/>
      <c r="G33" s="17" t="s">
        <v>94</v>
      </c>
      <c r="H33" s="186" t="s">
        <v>148</v>
      </c>
      <c r="I33" s="360">
        <v>200</v>
      </c>
      <c r="J33" s="19">
        <f>+ROUND(8657*1.33,2)</f>
        <v>11513.81</v>
      </c>
      <c r="K33" s="19">
        <f t="shared" si="0"/>
        <v>2302762</v>
      </c>
      <c r="L33" s="4"/>
      <c r="O33" s="185"/>
    </row>
    <row r="34" spans="2:15" ht="30" customHeight="1">
      <c r="B34" s="3"/>
      <c r="C34" s="186">
        <v>21</v>
      </c>
      <c r="D34" s="186">
        <v>4.2300000000000004</v>
      </c>
      <c r="E34" s="17"/>
      <c r="F34" s="17"/>
      <c r="G34" s="17" t="s">
        <v>97</v>
      </c>
      <c r="H34" s="186" t="s">
        <v>147</v>
      </c>
      <c r="I34" s="360">
        <v>72.260000000000005</v>
      </c>
      <c r="J34" s="19">
        <f>+ROUND(11371*1.33,2)</f>
        <v>15123.43</v>
      </c>
      <c r="K34" s="19">
        <f t="shared" si="0"/>
        <v>1092819.0518</v>
      </c>
      <c r="L34" s="4"/>
      <c r="O34" s="185"/>
    </row>
    <row r="35" spans="2:15" ht="30" customHeight="1">
      <c r="B35" s="3"/>
      <c r="C35" s="186">
        <v>22</v>
      </c>
      <c r="D35" s="186">
        <v>4.26</v>
      </c>
      <c r="E35" s="17"/>
      <c r="F35" s="17"/>
      <c r="G35" s="17" t="s">
        <v>149</v>
      </c>
      <c r="H35" s="186" t="s">
        <v>134</v>
      </c>
      <c r="I35" s="360">
        <v>0.15</v>
      </c>
      <c r="J35" s="19">
        <f>+ROUND(1223844*1.33,2)</f>
        <v>1627712.52</v>
      </c>
      <c r="K35" s="19">
        <f t="shared" si="0"/>
        <v>244156.878</v>
      </c>
      <c r="L35" s="4"/>
      <c r="O35" s="185"/>
    </row>
    <row r="36" spans="2:15" ht="30" customHeight="1">
      <c r="B36" s="3"/>
      <c r="C36" s="186">
        <v>23</v>
      </c>
      <c r="D36" s="186">
        <v>4.2699999999999996</v>
      </c>
      <c r="E36" s="17"/>
      <c r="F36" s="17"/>
      <c r="G36" s="17" t="s">
        <v>150</v>
      </c>
      <c r="H36" s="186" t="s">
        <v>134</v>
      </c>
      <c r="I36" s="360">
        <v>0.38</v>
      </c>
      <c r="J36" s="19">
        <f>+ROUND(1298926*1.33,2)</f>
        <v>1727571.58</v>
      </c>
      <c r="K36" s="19">
        <f t="shared" si="0"/>
        <v>656477.20040000009</v>
      </c>
      <c r="L36" s="4"/>
      <c r="O36" s="185"/>
    </row>
    <row r="37" spans="2:15" ht="30" customHeight="1">
      <c r="B37" s="3"/>
      <c r="C37" s="186">
        <v>24</v>
      </c>
      <c r="D37" s="186">
        <v>5.15</v>
      </c>
      <c r="E37" s="17"/>
      <c r="F37" s="17"/>
      <c r="G37" s="17" t="s">
        <v>151</v>
      </c>
      <c r="H37" s="186" t="s">
        <v>104</v>
      </c>
      <c r="I37" s="360">
        <v>3.92</v>
      </c>
      <c r="J37" s="19">
        <f>+ROUND(189703*1.33,2)</f>
        <v>252304.99</v>
      </c>
      <c r="K37" s="19">
        <f t="shared" si="0"/>
        <v>989035.56079999998</v>
      </c>
      <c r="L37" s="4"/>
      <c r="O37" s="185"/>
    </row>
    <row r="38" spans="2:15" ht="30" customHeight="1">
      <c r="B38" s="3"/>
      <c r="C38" s="186">
        <v>25</v>
      </c>
      <c r="D38" s="186">
        <v>5.17</v>
      </c>
      <c r="E38" s="17"/>
      <c r="F38" s="17"/>
      <c r="G38" s="17" t="s">
        <v>152</v>
      </c>
      <c r="H38" s="186" t="s">
        <v>104</v>
      </c>
      <c r="I38" s="360">
        <v>117.53</v>
      </c>
      <c r="J38" s="19">
        <f>+ROUND(65057*1.33,2)</f>
        <v>86525.81</v>
      </c>
      <c r="K38" s="19">
        <f t="shared" si="0"/>
        <v>10169378.4493</v>
      </c>
      <c r="L38" s="4"/>
      <c r="O38" s="185"/>
    </row>
    <row r="39" spans="2:15" ht="30" customHeight="1">
      <c r="B39" s="3"/>
      <c r="C39" s="186">
        <v>26</v>
      </c>
      <c r="D39" s="186" t="s">
        <v>95</v>
      </c>
      <c r="E39" s="17"/>
      <c r="F39" s="17"/>
      <c r="G39" s="17" t="s">
        <v>99</v>
      </c>
      <c r="H39" s="186" t="s">
        <v>101</v>
      </c>
      <c r="I39" s="360">
        <v>6</v>
      </c>
      <c r="J39" s="19">
        <f>+ROUND(8098*1.33,2)</f>
        <v>10770.34</v>
      </c>
      <c r="K39" s="19">
        <f t="shared" si="0"/>
        <v>64622.04</v>
      </c>
      <c r="L39" s="4"/>
      <c r="O39" s="185"/>
    </row>
    <row r="40" spans="2:15" ht="30" customHeight="1">
      <c r="B40" s="3"/>
      <c r="C40" s="186">
        <v>27</v>
      </c>
      <c r="D40" s="186">
        <v>6.3</v>
      </c>
      <c r="E40" s="17"/>
      <c r="F40" s="17"/>
      <c r="G40" s="17" t="s">
        <v>153</v>
      </c>
      <c r="H40" s="186" t="s">
        <v>101</v>
      </c>
      <c r="I40" s="360">
        <v>58.099999999999994</v>
      </c>
      <c r="J40" s="19">
        <f>+ROUND(7688*1.33,2)</f>
        <v>10225.040000000001</v>
      </c>
      <c r="K40" s="19">
        <f t="shared" si="0"/>
        <v>594074.82400000002</v>
      </c>
      <c r="L40" s="4"/>
      <c r="O40" s="185"/>
    </row>
    <row r="41" spans="2:15" ht="30" customHeight="1">
      <c r="B41" s="3"/>
      <c r="C41" s="186">
        <v>28</v>
      </c>
      <c r="D41" s="186">
        <v>6.4</v>
      </c>
      <c r="E41" s="17"/>
      <c r="F41" s="17"/>
      <c r="G41" s="17" t="s">
        <v>154</v>
      </c>
      <c r="H41" s="186" t="s">
        <v>101</v>
      </c>
      <c r="I41" s="360">
        <v>9</v>
      </c>
      <c r="J41" s="19">
        <f>+ROUND(13853*1.33,2)</f>
        <v>18424.490000000002</v>
      </c>
      <c r="K41" s="19">
        <f t="shared" si="0"/>
        <v>165820.41</v>
      </c>
      <c r="L41" s="4"/>
      <c r="O41" s="185"/>
    </row>
    <row r="42" spans="2:15" ht="30" customHeight="1">
      <c r="B42" s="3"/>
      <c r="C42" s="186">
        <v>29</v>
      </c>
      <c r="D42" s="186">
        <v>6.5</v>
      </c>
      <c r="E42" s="17"/>
      <c r="F42" s="17"/>
      <c r="G42" s="17" t="s">
        <v>155</v>
      </c>
      <c r="H42" s="186" t="s">
        <v>104</v>
      </c>
      <c r="I42" s="360">
        <v>59.25</v>
      </c>
      <c r="J42" s="19">
        <f>+ROUND(25547*1.33,2)</f>
        <v>33977.51</v>
      </c>
      <c r="K42" s="19">
        <f t="shared" si="0"/>
        <v>2013167.4675</v>
      </c>
      <c r="L42" s="4"/>
      <c r="O42" s="185"/>
    </row>
    <row r="43" spans="2:15" ht="30" customHeight="1">
      <c r="B43" s="3"/>
      <c r="C43" s="186">
        <v>30</v>
      </c>
      <c r="D43" s="186">
        <v>6.17</v>
      </c>
      <c r="E43" s="17"/>
      <c r="F43" s="17"/>
      <c r="G43" s="17" t="s">
        <v>98</v>
      </c>
      <c r="H43" s="186" t="s">
        <v>104</v>
      </c>
      <c r="I43" s="360">
        <v>229.3</v>
      </c>
      <c r="J43" s="19">
        <f>+ROUND(28913*1.33,2)</f>
        <v>38454.29</v>
      </c>
      <c r="K43" s="19">
        <f t="shared" si="0"/>
        <v>8817568.6970000006</v>
      </c>
      <c r="L43" s="4"/>
      <c r="O43" s="185"/>
    </row>
    <row r="44" spans="2:15" ht="30" customHeight="1">
      <c r="B44" s="3"/>
      <c r="C44" s="186">
        <v>31</v>
      </c>
      <c r="D44" s="186">
        <v>6.23</v>
      </c>
      <c r="E44" s="17"/>
      <c r="F44" s="17"/>
      <c r="G44" s="17" t="s">
        <v>156</v>
      </c>
      <c r="H44" s="186" t="s">
        <v>104</v>
      </c>
      <c r="I44" s="360">
        <v>2.2999999999999998</v>
      </c>
      <c r="J44" s="19">
        <f>+ROUND(31097*1.33,2)</f>
        <v>41359.01</v>
      </c>
      <c r="K44" s="19">
        <f t="shared" si="0"/>
        <v>95125.722999999998</v>
      </c>
      <c r="L44" s="4"/>
      <c r="O44" s="185"/>
    </row>
    <row r="45" spans="2:15" ht="30" customHeight="1">
      <c r="B45" s="3"/>
      <c r="C45" s="186">
        <v>32</v>
      </c>
      <c r="D45" s="186">
        <v>7.1</v>
      </c>
      <c r="E45" s="17"/>
      <c r="F45" s="17"/>
      <c r="G45" s="17" t="s">
        <v>157</v>
      </c>
      <c r="H45" s="186" t="s">
        <v>104</v>
      </c>
      <c r="I45" s="360">
        <v>59.25</v>
      </c>
      <c r="J45" s="19">
        <f>+ROUND(38352*1.33,2)</f>
        <v>51008.160000000003</v>
      </c>
      <c r="K45" s="19">
        <f t="shared" si="0"/>
        <v>3022233.48</v>
      </c>
      <c r="L45" s="4"/>
      <c r="O45" s="185"/>
    </row>
    <row r="46" spans="2:15" ht="30" customHeight="1">
      <c r="B46" s="3"/>
      <c r="C46" s="186">
        <v>33</v>
      </c>
      <c r="D46" s="186">
        <v>7.4</v>
      </c>
      <c r="E46" s="17"/>
      <c r="F46" s="17"/>
      <c r="G46" s="17" t="s">
        <v>158</v>
      </c>
      <c r="H46" s="186" t="s">
        <v>101</v>
      </c>
      <c r="I46" s="360">
        <v>4.5</v>
      </c>
      <c r="J46" s="19">
        <f>+ROUND(39068*1.33,2)</f>
        <v>51960.44</v>
      </c>
      <c r="K46" s="19">
        <f t="shared" si="0"/>
        <v>233821.98</v>
      </c>
      <c r="L46" s="4"/>
      <c r="O46" s="185"/>
    </row>
    <row r="47" spans="2:15" ht="30" customHeight="1">
      <c r="B47" s="3"/>
      <c r="C47" s="186">
        <v>34</v>
      </c>
      <c r="D47" s="186">
        <v>7.13</v>
      </c>
      <c r="E47" s="17"/>
      <c r="F47" s="17"/>
      <c r="G47" s="17" t="s">
        <v>159</v>
      </c>
      <c r="H47" s="186" t="s">
        <v>101</v>
      </c>
      <c r="I47" s="360">
        <v>4.3499999999999996</v>
      </c>
      <c r="J47" s="19">
        <f>+ROUND(119940*1.33,2)</f>
        <v>159520.20000000001</v>
      </c>
      <c r="K47" s="19">
        <f t="shared" si="0"/>
        <v>693912.87</v>
      </c>
      <c r="L47" s="4"/>
      <c r="O47" s="185"/>
    </row>
    <row r="48" spans="2:15" ht="30" customHeight="1">
      <c r="B48" s="3"/>
      <c r="C48" s="186">
        <v>35</v>
      </c>
      <c r="D48" s="186">
        <v>7.23</v>
      </c>
      <c r="E48" s="17"/>
      <c r="F48" s="17"/>
      <c r="G48" s="17" t="s">
        <v>160</v>
      </c>
      <c r="H48" s="186" t="s">
        <v>104</v>
      </c>
      <c r="I48" s="360">
        <v>68.419999999999987</v>
      </c>
      <c r="J48" s="19">
        <f>+ROUND(54327*1.33,2)</f>
        <v>72254.91</v>
      </c>
      <c r="K48" s="19">
        <f t="shared" si="0"/>
        <v>4943680.9421999995</v>
      </c>
      <c r="L48" s="4"/>
      <c r="O48" s="185"/>
    </row>
    <row r="49" spans="2:15" ht="30" customHeight="1">
      <c r="B49" s="3"/>
      <c r="C49" s="186">
        <v>36</v>
      </c>
      <c r="D49" s="186">
        <v>8.8000000000000007</v>
      </c>
      <c r="E49" s="17"/>
      <c r="F49" s="17"/>
      <c r="G49" s="17" t="s">
        <v>161</v>
      </c>
      <c r="H49" s="186" t="s">
        <v>92</v>
      </c>
      <c r="I49" s="360">
        <v>1.5</v>
      </c>
      <c r="J49" s="19">
        <f>+ROUND(509456*1.33,2)</f>
        <v>677576.48</v>
      </c>
      <c r="K49" s="19">
        <f t="shared" si="0"/>
        <v>1016364.72</v>
      </c>
      <c r="L49" s="4"/>
      <c r="O49" s="185"/>
    </row>
    <row r="50" spans="2:15" ht="30" customHeight="1">
      <c r="B50" s="3"/>
      <c r="C50" s="186">
        <v>37</v>
      </c>
      <c r="D50" s="186">
        <v>9.6</v>
      </c>
      <c r="E50" s="17"/>
      <c r="F50" s="17"/>
      <c r="G50" s="17" t="s">
        <v>162</v>
      </c>
      <c r="H50" s="186" t="s">
        <v>136</v>
      </c>
      <c r="I50" s="360">
        <v>1</v>
      </c>
      <c r="J50" s="19">
        <f>+ROUND(286794*1.33,2)</f>
        <v>381436.02</v>
      </c>
      <c r="K50" s="19">
        <f t="shared" si="0"/>
        <v>381436.02</v>
      </c>
      <c r="L50" s="4"/>
      <c r="O50" s="185"/>
    </row>
    <row r="51" spans="2:15" ht="30" customHeight="1">
      <c r="B51" s="3"/>
      <c r="C51" s="186">
        <v>38</v>
      </c>
      <c r="D51" s="186">
        <v>9.8000000000000007</v>
      </c>
      <c r="E51" s="17"/>
      <c r="F51" s="17"/>
      <c r="G51" s="17" t="s">
        <v>163</v>
      </c>
      <c r="H51" s="186" t="s">
        <v>136</v>
      </c>
      <c r="I51" s="360">
        <v>2</v>
      </c>
      <c r="J51" s="19">
        <f>+ROUND(295384*1.33,2)</f>
        <v>392860.72</v>
      </c>
      <c r="K51" s="19">
        <f t="shared" si="0"/>
        <v>785721.44</v>
      </c>
      <c r="L51" s="4"/>
      <c r="O51" s="185"/>
    </row>
    <row r="52" spans="2:15" ht="30" customHeight="1">
      <c r="B52" s="3"/>
      <c r="C52" s="186">
        <v>39</v>
      </c>
      <c r="D52" s="186">
        <v>9.1</v>
      </c>
      <c r="E52" s="17"/>
      <c r="F52" s="17"/>
      <c r="G52" s="17" t="s">
        <v>164</v>
      </c>
      <c r="H52" s="186" t="s">
        <v>136</v>
      </c>
      <c r="I52" s="360">
        <v>2</v>
      </c>
      <c r="J52" s="19">
        <f>+ROUND(486458*1.33,2)</f>
        <v>646989.14</v>
      </c>
      <c r="K52" s="19">
        <f t="shared" si="0"/>
        <v>1293978.28</v>
      </c>
      <c r="L52" s="4"/>
      <c r="O52" s="185"/>
    </row>
    <row r="53" spans="2:15" ht="30" customHeight="1">
      <c r="B53" s="3"/>
      <c r="C53" s="186">
        <v>40</v>
      </c>
      <c r="D53" s="186">
        <v>9.2100000000000009</v>
      </c>
      <c r="E53" s="17"/>
      <c r="F53" s="17"/>
      <c r="G53" s="17" t="s">
        <v>165</v>
      </c>
      <c r="H53" s="186" t="s">
        <v>136</v>
      </c>
      <c r="I53" s="360">
        <v>2</v>
      </c>
      <c r="J53" s="19">
        <f>+ROUND(51471*1.33,2)</f>
        <v>68456.429999999993</v>
      </c>
      <c r="K53" s="19">
        <f t="shared" si="0"/>
        <v>136912.85999999999</v>
      </c>
      <c r="L53" s="4"/>
      <c r="O53" s="185"/>
    </row>
    <row r="54" spans="2:15" ht="30" customHeight="1">
      <c r="B54" s="3"/>
      <c r="C54" s="186">
        <v>41</v>
      </c>
      <c r="D54" s="186">
        <v>9.24</v>
      </c>
      <c r="E54" s="17"/>
      <c r="F54" s="17"/>
      <c r="G54" s="17" t="s">
        <v>166</v>
      </c>
      <c r="H54" s="186" t="s">
        <v>104</v>
      </c>
      <c r="I54" s="360">
        <v>3.1999999999999997</v>
      </c>
      <c r="J54" s="19">
        <f>+ROUND(115336*1.33,2)</f>
        <v>153396.88</v>
      </c>
      <c r="K54" s="19">
        <f t="shared" si="0"/>
        <v>490870.01599999995</v>
      </c>
      <c r="L54" s="4"/>
      <c r="O54" s="185"/>
    </row>
    <row r="55" spans="2:15" ht="30" customHeight="1">
      <c r="B55" s="3"/>
      <c r="C55" s="186">
        <v>42</v>
      </c>
      <c r="D55" s="186">
        <v>10.4</v>
      </c>
      <c r="E55" s="17"/>
      <c r="F55" s="17"/>
      <c r="G55" s="17" t="s">
        <v>167</v>
      </c>
      <c r="H55" s="186" t="s">
        <v>136</v>
      </c>
      <c r="I55" s="360">
        <v>1</v>
      </c>
      <c r="J55" s="19">
        <f>+ROUND(237855*1.33,2)</f>
        <v>316347.15000000002</v>
      </c>
      <c r="K55" s="19">
        <f t="shared" si="0"/>
        <v>316347.15000000002</v>
      </c>
      <c r="L55" s="4"/>
      <c r="O55" s="185"/>
    </row>
    <row r="56" spans="2:15" ht="30" customHeight="1">
      <c r="B56" s="3"/>
      <c r="C56" s="186">
        <v>43</v>
      </c>
      <c r="D56" s="186">
        <v>10.7</v>
      </c>
      <c r="E56" s="17"/>
      <c r="F56" s="17"/>
      <c r="G56" s="17" t="s">
        <v>168</v>
      </c>
      <c r="H56" s="186" t="s">
        <v>104</v>
      </c>
      <c r="I56" s="360">
        <v>3.53</v>
      </c>
      <c r="J56" s="19">
        <f>+ROUND(345336*1.33,2)</f>
        <v>459296.88</v>
      </c>
      <c r="K56" s="19">
        <f t="shared" si="0"/>
        <v>1621317.9863999998</v>
      </c>
      <c r="L56" s="4"/>
      <c r="O56" s="185"/>
    </row>
    <row r="57" spans="2:15" ht="30" customHeight="1">
      <c r="B57" s="3"/>
      <c r="C57" s="186">
        <v>44</v>
      </c>
      <c r="D57" s="186">
        <v>10.19</v>
      </c>
      <c r="E57" s="17"/>
      <c r="F57" s="17"/>
      <c r="G57" s="17" t="s">
        <v>169</v>
      </c>
      <c r="H57" s="186" t="s">
        <v>104</v>
      </c>
      <c r="I57" s="360">
        <v>3.8</v>
      </c>
      <c r="J57" s="19">
        <f>+ROUND(419498*1.33,2)</f>
        <v>557932.34</v>
      </c>
      <c r="K57" s="19">
        <f t="shared" si="0"/>
        <v>2120142.892</v>
      </c>
      <c r="L57" s="4"/>
      <c r="O57" s="185"/>
    </row>
    <row r="58" spans="2:15" ht="30" customHeight="1">
      <c r="B58" s="3"/>
      <c r="C58" s="186">
        <v>45</v>
      </c>
      <c r="D58" s="186">
        <v>11.2</v>
      </c>
      <c r="E58" s="17"/>
      <c r="F58" s="17"/>
      <c r="G58" s="17" t="s">
        <v>170</v>
      </c>
      <c r="H58" s="186" t="s">
        <v>136</v>
      </c>
      <c r="I58" s="360">
        <v>1</v>
      </c>
      <c r="J58" s="19">
        <f>+ROUND(143851*1.33,2)</f>
        <v>191321.83</v>
      </c>
      <c r="K58" s="19">
        <f t="shared" si="0"/>
        <v>191321.83</v>
      </c>
      <c r="L58" s="4"/>
      <c r="O58" s="185"/>
    </row>
    <row r="59" spans="2:15" ht="30" customHeight="1">
      <c r="B59" s="3"/>
      <c r="C59" s="186">
        <v>46</v>
      </c>
      <c r="D59" s="186">
        <v>11.12</v>
      </c>
      <c r="E59" s="17"/>
      <c r="F59" s="17"/>
      <c r="G59" s="17" t="s">
        <v>171</v>
      </c>
      <c r="H59" s="186" t="s">
        <v>136</v>
      </c>
      <c r="I59" s="360">
        <v>4</v>
      </c>
      <c r="J59" s="19">
        <f>+ROUND(61371*1.33,2)</f>
        <v>81623.429999999993</v>
      </c>
      <c r="K59" s="19">
        <f t="shared" si="0"/>
        <v>326493.71999999997</v>
      </c>
      <c r="L59" s="4"/>
      <c r="O59" s="185"/>
    </row>
    <row r="60" spans="2:15" ht="30" customHeight="1">
      <c r="B60" s="3"/>
      <c r="C60" s="186">
        <v>47</v>
      </c>
      <c r="D60" s="186">
        <v>11.27</v>
      </c>
      <c r="E60" s="17"/>
      <c r="F60" s="17"/>
      <c r="G60" s="17" t="s">
        <v>172</v>
      </c>
      <c r="H60" s="186" t="s">
        <v>101</v>
      </c>
      <c r="I60" s="360">
        <v>16.450000000000003</v>
      </c>
      <c r="J60" s="19">
        <f>+ROUND(14478*1.33,2)</f>
        <v>19255.740000000002</v>
      </c>
      <c r="K60" s="19">
        <f t="shared" si="0"/>
        <v>316756.92300000007</v>
      </c>
      <c r="L60" s="4"/>
      <c r="O60" s="185"/>
    </row>
    <row r="61" spans="2:15" ht="30" customHeight="1">
      <c r="B61" s="3"/>
      <c r="C61" s="186">
        <v>48</v>
      </c>
      <c r="D61" s="186">
        <v>11.32</v>
      </c>
      <c r="E61" s="17"/>
      <c r="F61" s="17"/>
      <c r="G61" s="17" t="s">
        <v>173</v>
      </c>
      <c r="H61" s="186" t="s">
        <v>101</v>
      </c>
      <c r="I61" s="360">
        <v>11.5</v>
      </c>
      <c r="J61" s="19">
        <f>+ROUND(56663*1.33,2)</f>
        <v>75361.789999999994</v>
      </c>
      <c r="K61" s="19">
        <f t="shared" si="0"/>
        <v>866660.58499999996</v>
      </c>
      <c r="L61" s="4"/>
      <c r="O61" s="185"/>
    </row>
    <row r="62" spans="2:15" ht="30" customHeight="1">
      <c r="B62" s="3"/>
      <c r="C62" s="186">
        <v>49</v>
      </c>
      <c r="D62" s="186">
        <v>11.45</v>
      </c>
      <c r="E62" s="17"/>
      <c r="F62" s="17"/>
      <c r="G62" s="17" t="s">
        <v>174</v>
      </c>
      <c r="H62" s="186" t="s">
        <v>136</v>
      </c>
      <c r="I62" s="360">
        <v>2</v>
      </c>
      <c r="J62" s="19">
        <f>+ROUND(976187*1.33,2)</f>
        <v>1298328.71</v>
      </c>
      <c r="K62" s="19">
        <f t="shared" si="0"/>
        <v>2596657.42</v>
      </c>
      <c r="L62" s="4"/>
      <c r="O62" s="185"/>
    </row>
    <row r="63" spans="2:15" ht="30" customHeight="1">
      <c r="B63" s="3"/>
      <c r="C63" s="186">
        <v>50</v>
      </c>
      <c r="D63" s="186">
        <v>12.7</v>
      </c>
      <c r="E63" s="17"/>
      <c r="F63" s="17"/>
      <c r="G63" s="17" t="s">
        <v>175</v>
      </c>
      <c r="H63" s="186" t="s">
        <v>136</v>
      </c>
      <c r="I63" s="360">
        <v>1</v>
      </c>
      <c r="J63" s="19">
        <f>+ROUND(97953*1.33,2)</f>
        <v>130277.49</v>
      </c>
      <c r="K63" s="19">
        <f t="shared" si="0"/>
        <v>130277.49</v>
      </c>
      <c r="L63" s="4"/>
      <c r="O63" s="185"/>
    </row>
    <row r="64" spans="2:15" ht="30" customHeight="1">
      <c r="B64" s="3"/>
      <c r="C64" s="186">
        <v>51</v>
      </c>
      <c r="D64" s="186">
        <v>12.9</v>
      </c>
      <c r="E64" s="17"/>
      <c r="F64" s="17"/>
      <c r="G64" s="17" t="s">
        <v>176</v>
      </c>
      <c r="H64" s="186" t="s">
        <v>136</v>
      </c>
      <c r="I64" s="360">
        <v>5</v>
      </c>
      <c r="J64" s="19">
        <f>+ROUND(103171*1.33,2)</f>
        <v>137217.43</v>
      </c>
      <c r="K64" s="19">
        <f t="shared" si="0"/>
        <v>686087.14999999991</v>
      </c>
      <c r="L64" s="4"/>
      <c r="O64" s="185"/>
    </row>
    <row r="65" spans="2:15" ht="30" customHeight="1">
      <c r="B65" s="3"/>
      <c r="C65" s="186">
        <v>52</v>
      </c>
      <c r="D65" s="186">
        <v>12.2</v>
      </c>
      <c r="E65" s="17"/>
      <c r="F65" s="17"/>
      <c r="G65" s="17" t="s">
        <v>177</v>
      </c>
      <c r="H65" s="186" t="s">
        <v>136</v>
      </c>
      <c r="I65" s="360">
        <v>2</v>
      </c>
      <c r="J65" s="19">
        <f>+ROUND(107604*1.33,2)</f>
        <v>143113.32</v>
      </c>
      <c r="K65" s="19">
        <f t="shared" si="0"/>
        <v>286226.64</v>
      </c>
      <c r="L65" s="4"/>
      <c r="O65" s="185"/>
    </row>
    <row r="66" spans="2:15" ht="30" customHeight="1">
      <c r="B66" s="3"/>
      <c r="C66" s="186">
        <v>53</v>
      </c>
      <c r="D66" s="186">
        <v>12.23</v>
      </c>
      <c r="E66" s="17"/>
      <c r="F66" s="17"/>
      <c r="G66" s="17" t="s">
        <v>178</v>
      </c>
      <c r="H66" s="186" t="s">
        <v>136</v>
      </c>
      <c r="I66" s="360">
        <v>4</v>
      </c>
      <c r="J66" s="19">
        <f>+ROUND(56061*1.33,2)</f>
        <v>74561.13</v>
      </c>
      <c r="K66" s="19">
        <f t="shared" si="0"/>
        <v>298244.52</v>
      </c>
      <c r="L66" s="4"/>
      <c r="O66" s="185"/>
    </row>
    <row r="67" spans="2:15" ht="30" customHeight="1">
      <c r="B67" s="3"/>
      <c r="C67" s="186">
        <v>54</v>
      </c>
      <c r="D67" s="186">
        <v>12.58</v>
      </c>
      <c r="E67" s="17"/>
      <c r="F67" s="17"/>
      <c r="G67" s="17" t="s">
        <v>179</v>
      </c>
      <c r="H67" s="186" t="s">
        <v>101</v>
      </c>
      <c r="I67" s="360">
        <v>2.2999999999999998</v>
      </c>
      <c r="J67" s="19">
        <f>+ROUND(20858*1.33,2)</f>
        <v>27741.14</v>
      </c>
      <c r="K67" s="19">
        <f t="shared" si="0"/>
        <v>63804.621999999996</v>
      </c>
      <c r="L67" s="4"/>
      <c r="O67" s="185"/>
    </row>
    <row r="68" spans="2:15" ht="30" customHeight="1">
      <c r="B68" s="3"/>
      <c r="C68" s="186">
        <v>55</v>
      </c>
      <c r="D68" s="186">
        <v>12.64</v>
      </c>
      <c r="E68" s="17"/>
      <c r="F68" s="17"/>
      <c r="G68" s="17" t="s">
        <v>180</v>
      </c>
      <c r="H68" s="186" t="s">
        <v>101</v>
      </c>
      <c r="I68" s="360">
        <v>20</v>
      </c>
      <c r="J68" s="19">
        <f>+ROUND(48930*1.33,2)</f>
        <v>65076.9</v>
      </c>
      <c r="K68" s="19">
        <f t="shared" si="0"/>
        <v>1301538</v>
      </c>
      <c r="L68" s="4"/>
      <c r="O68" s="185"/>
    </row>
    <row r="69" spans="2:15" ht="30" customHeight="1">
      <c r="B69" s="3"/>
      <c r="C69" s="186">
        <v>56</v>
      </c>
      <c r="D69" s="186">
        <v>12.113</v>
      </c>
      <c r="E69" s="17"/>
      <c r="F69" s="17"/>
      <c r="G69" s="17" t="s">
        <v>181</v>
      </c>
      <c r="H69" s="186" t="s">
        <v>136</v>
      </c>
      <c r="I69" s="360">
        <v>25</v>
      </c>
      <c r="J69" s="19">
        <f>+ROUND(59859*1.33,2)</f>
        <v>79612.47</v>
      </c>
      <c r="K69" s="19">
        <f t="shared" si="0"/>
        <v>1990311.75</v>
      </c>
      <c r="L69" s="4"/>
      <c r="O69" s="185"/>
    </row>
    <row r="70" spans="2:15" ht="30" customHeight="1">
      <c r="B70" s="3"/>
      <c r="C70" s="186">
        <v>57</v>
      </c>
      <c r="D70" s="186">
        <v>12.116</v>
      </c>
      <c r="E70" s="17"/>
      <c r="F70" s="17"/>
      <c r="G70" s="17" t="s">
        <v>182</v>
      </c>
      <c r="H70" s="186" t="s">
        <v>136</v>
      </c>
      <c r="I70" s="360">
        <v>23</v>
      </c>
      <c r="J70" s="19">
        <f>+ROUND(62521*1.33,2)</f>
        <v>83152.929999999993</v>
      </c>
      <c r="K70" s="19">
        <f t="shared" si="0"/>
        <v>1912517.39</v>
      </c>
      <c r="L70" s="4"/>
      <c r="O70" s="185"/>
    </row>
    <row r="71" spans="2:15" ht="30" customHeight="1">
      <c r="B71" s="3"/>
      <c r="C71" s="186">
        <v>58</v>
      </c>
      <c r="D71" s="186">
        <v>13.4</v>
      </c>
      <c r="E71" s="17"/>
      <c r="F71" s="17"/>
      <c r="G71" s="17" t="s">
        <v>183</v>
      </c>
      <c r="H71" s="186" t="s">
        <v>104</v>
      </c>
      <c r="I71" s="360">
        <v>5.55</v>
      </c>
      <c r="J71" s="19">
        <f>+ROUND(39847*1.33,2)</f>
        <v>52996.51</v>
      </c>
      <c r="K71" s="19">
        <f t="shared" si="0"/>
        <v>294130.63050000003</v>
      </c>
      <c r="L71" s="4"/>
      <c r="O71" s="185"/>
    </row>
    <row r="72" spans="2:15" ht="30" customHeight="1">
      <c r="B72" s="3"/>
      <c r="C72" s="186">
        <v>59</v>
      </c>
      <c r="D72" s="186">
        <v>13.7</v>
      </c>
      <c r="E72" s="17"/>
      <c r="F72" s="17"/>
      <c r="G72" s="17" t="s">
        <v>184</v>
      </c>
      <c r="H72" s="186" t="s">
        <v>104</v>
      </c>
      <c r="I72" s="360">
        <v>0.6</v>
      </c>
      <c r="J72" s="19">
        <f>+ROUND(91328*1.33,2)</f>
        <v>121466.24000000001</v>
      </c>
      <c r="K72" s="19">
        <f t="shared" si="0"/>
        <v>72879.744000000006</v>
      </c>
      <c r="L72" s="4"/>
      <c r="O72" s="185"/>
    </row>
    <row r="73" spans="2:15" ht="30" customHeight="1">
      <c r="B73" s="3"/>
      <c r="C73" s="186">
        <v>60</v>
      </c>
      <c r="D73" s="186">
        <v>13.13</v>
      </c>
      <c r="E73" s="17"/>
      <c r="F73" s="17"/>
      <c r="G73" s="17" t="s">
        <v>185</v>
      </c>
      <c r="H73" s="186" t="s">
        <v>104</v>
      </c>
      <c r="I73" s="360">
        <v>3.63</v>
      </c>
      <c r="J73" s="19">
        <f>+ROUND(75192*1.33,2)</f>
        <v>100005.36</v>
      </c>
      <c r="K73" s="19">
        <f t="shared" si="0"/>
        <v>363019.45679999999</v>
      </c>
      <c r="L73" s="4"/>
      <c r="O73" s="185"/>
    </row>
    <row r="74" spans="2:15" ht="30" customHeight="1">
      <c r="B74" s="3"/>
      <c r="C74" s="186">
        <v>61</v>
      </c>
      <c r="D74" s="186">
        <v>14.1</v>
      </c>
      <c r="E74" s="17"/>
      <c r="F74" s="17"/>
      <c r="G74" s="17" t="s">
        <v>186</v>
      </c>
      <c r="H74" s="186" t="s">
        <v>104</v>
      </c>
      <c r="I74" s="360">
        <v>7.77</v>
      </c>
      <c r="J74" s="19">
        <f>+ROUND(88765*1.33,2)</f>
        <v>118057.45</v>
      </c>
      <c r="K74" s="19">
        <f t="shared" si="0"/>
        <v>917306.38649999991</v>
      </c>
      <c r="L74" s="4"/>
      <c r="O74" s="185"/>
    </row>
    <row r="75" spans="2:15" ht="30" customHeight="1">
      <c r="B75" s="3"/>
      <c r="C75" s="186">
        <v>62</v>
      </c>
      <c r="D75" s="186">
        <v>14.6</v>
      </c>
      <c r="E75" s="17"/>
      <c r="F75" s="17"/>
      <c r="G75" s="17" t="s">
        <v>187</v>
      </c>
      <c r="H75" s="186" t="s">
        <v>104</v>
      </c>
      <c r="I75" s="360">
        <v>2.73</v>
      </c>
      <c r="J75" s="19">
        <f>+ROUND(120560*1.33,2)</f>
        <v>160344.79999999999</v>
      </c>
      <c r="K75" s="19">
        <f t="shared" si="0"/>
        <v>437741.30399999995</v>
      </c>
      <c r="L75" s="4"/>
      <c r="O75" s="185"/>
    </row>
    <row r="76" spans="2:15" ht="30" customHeight="1">
      <c r="B76" s="3"/>
      <c r="C76" s="186">
        <v>63</v>
      </c>
      <c r="D76" s="186">
        <v>14.8</v>
      </c>
      <c r="E76" s="17"/>
      <c r="F76" s="17"/>
      <c r="G76" s="17" t="s">
        <v>188</v>
      </c>
      <c r="H76" s="186" t="s">
        <v>104</v>
      </c>
      <c r="I76" s="360">
        <v>1.08</v>
      </c>
      <c r="J76" s="19">
        <f>+ROUND(251144*1.33,2)</f>
        <v>334021.52</v>
      </c>
      <c r="K76" s="19">
        <f t="shared" si="0"/>
        <v>360743.24160000007</v>
      </c>
      <c r="L76" s="4"/>
      <c r="O76" s="185"/>
    </row>
    <row r="77" spans="2:15" ht="30" customHeight="1">
      <c r="B77" s="3"/>
      <c r="C77" s="186">
        <v>64</v>
      </c>
      <c r="D77" s="186" t="s">
        <v>105</v>
      </c>
      <c r="E77" s="17"/>
      <c r="F77" s="17"/>
      <c r="G77" s="17" t="s">
        <v>189</v>
      </c>
      <c r="H77" s="186" t="s">
        <v>101</v>
      </c>
      <c r="I77" s="360">
        <v>53</v>
      </c>
      <c r="J77" s="19">
        <f>+ROUND(14964*1.33,2)</f>
        <v>19902.12</v>
      </c>
      <c r="K77" s="19">
        <f t="shared" si="0"/>
        <v>1054812.3599999999</v>
      </c>
      <c r="L77" s="4"/>
      <c r="O77" s="185"/>
    </row>
    <row r="78" spans="2:15" ht="30" customHeight="1">
      <c r="B78" s="3"/>
      <c r="C78" s="186">
        <v>65</v>
      </c>
      <c r="D78" s="186">
        <v>14.41</v>
      </c>
      <c r="E78" s="17"/>
      <c r="F78" s="17"/>
      <c r="G78" s="17" t="s">
        <v>103</v>
      </c>
      <c r="H78" s="186" t="s">
        <v>104</v>
      </c>
      <c r="I78" s="360">
        <v>89.95</v>
      </c>
      <c r="J78" s="19">
        <f>+ROUND(107976*1.33,2)</f>
        <v>143608.07999999999</v>
      </c>
      <c r="K78" s="19">
        <f t="shared" si="0"/>
        <v>12917546.796</v>
      </c>
      <c r="L78" s="4"/>
      <c r="O78" s="185"/>
    </row>
    <row r="79" spans="2:15" ht="30" customHeight="1">
      <c r="B79" s="3"/>
      <c r="C79" s="186">
        <v>66</v>
      </c>
      <c r="D79" s="186">
        <v>15.5</v>
      </c>
      <c r="E79" s="17"/>
      <c r="F79" s="17"/>
      <c r="G79" s="17" t="s">
        <v>190</v>
      </c>
      <c r="H79" s="186" t="s">
        <v>104</v>
      </c>
      <c r="I79" s="360">
        <v>33.65</v>
      </c>
      <c r="J79" s="19">
        <f>+ROUND(79298*1.33,2)</f>
        <v>105466.34</v>
      </c>
      <c r="K79" s="19">
        <f t="shared" si="0"/>
        <v>3548942.3409999995</v>
      </c>
      <c r="L79" s="4"/>
      <c r="O79" s="185"/>
    </row>
    <row r="80" spans="2:15" ht="30" customHeight="1">
      <c r="B80" s="3"/>
      <c r="C80" s="186">
        <v>67</v>
      </c>
      <c r="D80" s="186" t="s">
        <v>106</v>
      </c>
      <c r="E80" s="17"/>
      <c r="F80" s="17"/>
      <c r="G80" s="17" t="s">
        <v>191</v>
      </c>
      <c r="H80" s="186" t="s">
        <v>104</v>
      </c>
      <c r="I80" s="360">
        <v>171.88</v>
      </c>
      <c r="J80" s="19">
        <f>+ROUND(90935*1.33,2)</f>
        <v>120943.55</v>
      </c>
      <c r="K80" s="19">
        <f t="shared" si="0"/>
        <v>20787777.374000002</v>
      </c>
      <c r="L80" s="4"/>
      <c r="O80" s="185"/>
    </row>
    <row r="81" spans="2:15" ht="30" customHeight="1">
      <c r="B81" s="3"/>
      <c r="C81" s="186">
        <v>68</v>
      </c>
      <c r="D81" s="186">
        <v>16.399999999999999</v>
      </c>
      <c r="E81" s="17"/>
      <c r="F81" s="17"/>
      <c r="G81" s="17" t="s">
        <v>93</v>
      </c>
      <c r="H81" s="186" t="s">
        <v>134</v>
      </c>
      <c r="I81" s="360">
        <v>2.1</v>
      </c>
      <c r="J81" s="19">
        <f>+ROUND(63372*1.33,2)</f>
        <v>84284.76</v>
      </c>
      <c r="K81" s="19">
        <f t="shared" si="0"/>
        <v>176997.99599999998</v>
      </c>
      <c r="L81" s="4"/>
      <c r="O81" s="185"/>
    </row>
    <row r="82" spans="2:15" ht="30" customHeight="1">
      <c r="B82" s="3"/>
      <c r="C82" s="186">
        <v>69</v>
      </c>
      <c r="D82" s="186">
        <v>16.8</v>
      </c>
      <c r="E82" s="17"/>
      <c r="F82" s="17"/>
      <c r="G82" s="17" t="s">
        <v>192</v>
      </c>
      <c r="H82" s="186" t="s">
        <v>134</v>
      </c>
      <c r="I82" s="360">
        <v>1</v>
      </c>
      <c r="J82" s="19">
        <f>+ROUND(110648*1.33,2)</f>
        <v>147161.84</v>
      </c>
      <c r="K82" s="19">
        <f t="shared" si="0"/>
        <v>147161.84</v>
      </c>
      <c r="L82" s="4"/>
      <c r="O82" s="185"/>
    </row>
    <row r="83" spans="2:15" ht="30" customHeight="1">
      <c r="B83" s="3"/>
      <c r="C83" s="186">
        <v>70</v>
      </c>
      <c r="D83" s="186">
        <v>17.100000000000001</v>
      </c>
      <c r="E83" s="17"/>
      <c r="F83" s="17"/>
      <c r="G83" s="17" t="s">
        <v>193</v>
      </c>
      <c r="H83" s="186" t="s">
        <v>136</v>
      </c>
      <c r="I83" s="360">
        <v>3</v>
      </c>
      <c r="J83" s="19">
        <f>+ROUND(429173*1.33,2)</f>
        <v>570800.09</v>
      </c>
      <c r="K83" s="19">
        <f t="shared" si="0"/>
        <v>1712400.27</v>
      </c>
      <c r="L83" s="4"/>
      <c r="O83" s="185"/>
    </row>
    <row r="84" spans="2:15" ht="30" customHeight="1">
      <c r="B84" s="3"/>
      <c r="C84" s="186">
        <v>71</v>
      </c>
      <c r="D84" s="186">
        <v>17.3</v>
      </c>
      <c r="E84" s="17"/>
      <c r="F84" s="17"/>
      <c r="G84" s="17" t="s">
        <v>194</v>
      </c>
      <c r="H84" s="186" t="s">
        <v>136</v>
      </c>
      <c r="I84" s="360">
        <v>5</v>
      </c>
      <c r="J84" s="19">
        <f>+ROUND(689114*1.33,2)</f>
        <v>916521.62</v>
      </c>
      <c r="K84" s="19">
        <f t="shared" si="0"/>
        <v>4582608.0999999996</v>
      </c>
      <c r="L84" s="4"/>
      <c r="O84" s="185"/>
    </row>
    <row r="85" spans="2:15" ht="30" customHeight="1">
      <c r="B85" s="3"/>
      <c r="C85" s="186">
        <v>72</v>
      </c>
      <c r="D85" s="186">
        <v>17.5</v>
      </c>
      <c r="E85" s="17"/>
      <c r="F85" s="17"/>
      <c r="G85" s="17" t="s">
        <v>195</v>
      </c>
      <c r="H85" s="186" t="s">
        <v>136</v>
      </c>
      <c r="I85" s="360">
        <v>1</v>
      </c>
      <c r="J85" s="19">
        <f>+ROUND(270018*1.33,2)</f>
        <v>359123.94</v>
      </c>
      <c r="K85" s="19">
        <f t="shared" si="0"/>
        <v>359123.94</v>
      </c>
      <c r="L85" s="4"/>
      <c r="O85" s="185"/>
    </row>
    <row r="86" spans="2:15" ht="30" customHeight="1">
      <c r="B86" s="3"/>
      <c r="C86" s="186">
        <v>73</v>
      </c>
      <c r="D86" s="186">
        <v>17.600000000000001</v>
      </c>
      <c r="E86" s="17"/>
      <c r="F86" s="17"/>
      <c r="G86" s="17" t="s">
        <v>196</v>
      </c>
      <c r="H86" s="186" t="s">
        <v>136</v>
      </c>
      <c r="I86" s="360">
        <v>2</v>
      </c>
      <c r="J86" s="19">
        <f>+ROUND(249898*1.33,2)</f>
        <v>332364.34000000003</v>
      </c>
      <c r="K86" s="19">
        <f t="shared" si="0"/>
        <v>664728.68000000005</v>
      </c>
      <c r="L86" s="4"/>
      <c r="O86" s="185"/>
    </row>
    <row r="87" spans="2:15" ht="30" customHeight="1">
      <c r="B87" s="3"/>
      <c r="C87" s="186">
        <v>74</v>
      </c>
      <c r="D87" s="186">
        <v>18.899999999999999</v>
      </c>
      <c r="E87" s="17"/>
      <c r="F87" s="17"/>
      <c r="G87" s="17" t="s">
        <v>100</v>
      </c>
      <c r="H87" s="186" t="s">
        <v>104</v>
      </c>
      <c r="I87" s="360">
        <v>5.0599999999999996</v>
      </c>
      <c r="J87" s="19">
        <f>+ROUND(24709*1.33,2)</f>
        <v>32862.97</v>
      </c>
      <c r="K87" s="19">
        <f t="shared" si="0"/>
        <v>166286.62820000001</v>
      </c>
      <c r="L87" s="4"/>
      <c r="O87" s="185"/>
    </row>
    <row r="88" spans="2:15" ht="30" customHeight="1">
      <c r="B88" s="3"/>
      <c r="C88" s="186">
        <v>75</v>
      </c>
      <c r="D88" s="186">
        <v>18.16</v>
      </c>
      <c r="E88" s="17"/>
      <c r="F88" s="17"/>
      <c r="G88" s="17" t="s">
        <v>197</v>
      </c>
      <c r="H88" s="186" t="s">
        <v>104</v>
      </c>
      <c r="I88" s="360">
        <v>200.24</v>
      </c>
      <c r="J88" s="19">
        <f>+ROUND(29911*1.33,2)</f>
        <v>39781.629999999997</v>
      </c>
      <c r="K88" s="19">
        <f t="shared" si="0"/>
        <v>7965873.5911999997</v>
      </c>
      <c r="L88" s="4"/>
      <c r="O88" s="185"/>
    </row>
    <row r="89" spans="2:15" ht="30" customHeight="1">
      <c r="B89" s="3"/>
      <c r="C89" s="186">
        <v>76</v>
      </c>
      <c r="D89" s="186">
        <v>18.23</v>
      </c>
      <c r="E89" s="17"/>
      <c r="F89" s="17"/>
      <c r="G89" s="17" t="s">
        <v>198</v>
      </c>
      <c r="H89" s="186" t="s">
        <v>104</v>
      </c>
      <c r="I89" s="360">
        <v>1422.2199999999998</v>
      </c>
      <c r="J89" s="19">
        <f>+ROUND(17996*1.33,2)</f>
        <v>23934.68</v>
      </c>
      <c r="K89" s="19">
        <f t="shared" si="0"/>
        <v>34040380.589599997</v>
      </c>
      <c r="L89" s="4"/>
      <c r="O89" s="185"/>
    </row>
    <row r="90" spans="2:15" ht="30" customHeight="1">
      <c r="B90" s="3"/>
      <c r="C90" s="186">
        <v>77</v>
      </c>
      <c r="D90" s="186">
        <v>18.260000000000002</v>
      </c>
      <c r="E90" s="17"/>
      <c r="F90" s="17"/>
      <c r="G90" s="17" t="s">
        <v>199</v>
      </c>
      <c r="H90" s="186" t="s">
        <v>104</v>
      </c>
      <c r="I90" s="360">
        <v>184.73000000000002</v>
      </c>
      <c r="J90" s="19">
        <f>+ROUND(24392*1.33,2)</f>
        <v>32441.360000000001</v>
      </c>
      <c r="K90" s="19">
        <f t="shared" si="0"/>
        <v>5992892.4328000005</v>
      </c>
      <c r="L90" s="4"/>
      <c r="O90" s="185"/>
    </row>
    <row r="91" spans="2:15" ht="30" customHeight="1">
      <c r="B91" s="3"/>
      <c r="C91" s="186">
        <v>78</v>
      </c>
      <c r="D91" s="186">
        <v>21.28</v>
      </c>
      <c r="E91" s="17"/>
      <c r="F91" s="17"/>
      <c r="G91" s="17" t="s">
        <v>200</v>
      </c>
      <c r="H91" s="186" t="s">
        <v>101</v>
      </c>
      <c r="I91" s="360">
        <v>25</v>
      </c>
      <c r="J91" s="19">
        <f>+ROUND(7332*1.33,2)</f>
        <v>9751.56</v>
      </c>
      <c r="K91" s="19">
        <f t="shared" si="0"/>
        <v>243789</v>
      </c>
      <c r="L91" s="4"/>
      <c r="O91" s="185"/>
    </row>
    <row r="92" spans="2:15" ht="30" customHeight="1">
      <c r="B92" s="3"/>
      <c r="C92" s="186">
        <v>79</v>
      </c>
      <c r="D92" s="186">
        <v>21.35</v>
      </c>
      <c r="E92" s="17"/>
      <c r="F92" s="17"/>
      <c r="G92" s="17" t="s">
        <v>201</v>
      </c>
      <c r="H92" s="186" t="s">
        <v>101</v>
      </c>
      <c r="I92" s="360">
        <v>13.55</v>
      </c>
      <c r="J92" s="19">
        <f>+ROUND(77374*1.33,2)</f>
        <v>102907.42</v>
      </c>
      <c r="K92" s="19">
        <f t="shared" si="0"/>
        <v>1394395.541</v>
      </c>
      <c r="L92" s="4"/>
      <c r="O92" s="185"/>
    </row>
    <row r="93" spans="2:15" ht="30" customHeight="1">
      <c r="B93" s="3"/>
      <c r="C93" s="186">
        <v>80</v>
      </c>
      <c r="D93" s="186" t="s">
        <v>107</v>
      </c>
      <c r="E93" s="17"/>
      <c r="F93" s="17"/>
      <c r="G93" s="17" t="s">
        <v>202</v>
      </c>
      <c r="H93" s="186" t="s">
        <v>136</v>
      </c>
      <c r="I93" s="360">
        <v>3</v>
      </c>
      <c r="J93" s="19">
        <f>+ROUND(132290*1.33,2)</f>
        <v>175945.7</v>
      </c>
      <c r="K93" s="19">
        <f t="shared" si="0"/>
        <v>527837.10000000009</v>
      </c>
      <c r="L93" s="4"/>
      <c r="O93" s="185"/>
    </row>
    <row r="94" spans="2:15" ht="30" customHeight="1">
      <c r="B94" s="3"/>
      <c r="C94" s="186">
        <v>81</v>
      </c>
      <c r="D94" s="186" t="s">
        <v>108</v>
      </c>
      <c r="E94" s="17"/>
      <c r="F94" s="17"/>
      <c r="G94" s="17" t="s">
        <v>203</v>
      </c>
      <c r="H94" s="186" t="s">
        <v>136</v>
      </c>
      <c r="I94" s="360">
        <v>1</v>
      </c>
      <c r="J94" s="19">
        <f>+ROUND(260277*1.33,2)</f>
        <v>346168.41</v>
      </c>
      <c r="K94" s="19">
        <f t="shared" si="0"/>
        <v>346168.41</v>
      </c>
      <c r="L94" s="4"/>
      <c r="O94" s="185"/>
    </row>
    <row r="95" spans="2:15" ht="30" customHeight="1">
      <c r="B95" s="3"/>
      <c r="C95" s="186">
        <v>82</v>
      </c>
      <c r="D95" s="186" t="s">
        <v>109</v>
      </c>
      <c r="E95" s="17"/>
      <c r="F95" s="17"/>
      <c r="G95" s="17" t="s">
        <v>204</v>
      </c>
      <c r="H95" s="186" t="s">
        <v>104</v>
      </c>
      <c r="I95" s="360">
        <v>468.8</v>
      </c>
      <c r="J95" s="19">
        <f>+ROUND(9371*1.33,2)</f>
        <v>12463.43</v>
      </c>
      <c r="K95" s="19">
        <f t="shared" si="0"/>
        <v>5842855.9840000002</v>
      </c>
      <c r="L95" s="4"/>
      <c r="O95" s="185"/>
    </row>
    <row r="96" spans="2:15" ht="30" customHeight="1">
      <c r="B96" s="3"/>
      <c r="C96" s="186">
        <v>83</v>
      </c>
      <c r="D96" s="186" t="s">
        <v>110</v>
      </c>
      <c r="E96" s="17"/>
      <c r="F96" s="17"/>
      <c r="G96" s="17" t="s">
        <v>205</v>
      </c>
      <c r="H96" s="186" t="s">
        <v>101</v>
      </c>
      <c r="I96" s="360">
        <v>7.3100000000000005</v>
      </c>
      <c r="J96" s="19">
        <f>+ROUND(252511*1.33,2)</f>
        <v>335839.63</v>
      </c>
      <c r="K96" s="19">
        <f t="shared" si="0"/>
        <v>2454987.6953000003</v>
      </c>
      <c r="L96" s="4"/>
      <c r="O96" s="185"/>
    </row>
    <row r="97" spans="2:15" ht="30" customHeight="1">
      <c r="B97" s="3"/>
      <c r="C97" s="186">
        <v>84</v>
      </c>
      <c r="D97" s="186" t="s">
        <v>111</v>
      </c>
      <c r="E97" s="17"/>
      <c r="F97" s="17"/>
      <c r="G97" s="17" t="s">
        <v>206</v>
      </c>
      <c r="H97" s="186" t="s">
        <v>104</v>
      </c>
      <c r="I97" s="360">
        <v>59.25</v>
      </c>
      <c r="J97" s="19">
        <f>+ROUND(12590*1.33,2)</f>
        <v>16744.7</v>
      </c>
      <c r="K97" s="19">
        <f t="shared" si="0"/>
        <v>992123.47500000009</v>
      </c>
      <c r="L97" s="4"/>
      <c r="O97" s="185"/>
    </row>
    <row r="98" spans="2:15" ht="30" customHeight="1">
      <c r="B98" s="3"/>
      <c r="C98" s="186">
        <v>85</v>
      </c>
      <c r="D98" s="186" t="s">
        <v>112</v>
      </c>
      <c r="E98" s="17"/>
      <c r="F98" s="17"/>
      <c r="G98" s="17" t="s">
        <v>207</v>
      </c>
      <c r="H98" s="186" t="s">
        <v>101</v>
      </c>
      <c r="I98" s="360">
        <v>1.4</v>
      </c>
      <c r="J98" s="19">
        <f>+ROUND(231279*1.33,2)</f>
        <v>307601.07</v>
      </c>
      <c r="K98" s="19">
        <f t="shared" si="0"/>
        <v>430641.49799999996</v>
      </c>
      <c r="L98" s="4"/>
      <c r="O98" s="185"/>
    </row>
    <row r="99" spans="2:15" ht="30" customHeight="1">
      <c r="B99" s="3"/>
      <c r="C99" s="186">
        <v>86</v>
      </c>
      <c r="D99" s="186" t="s">
        <v>113</v>
      </c>
      <c r="E99" s="17"/>
      <c r="F99" s="17"/>
      <c r="G99" s="17" t="s">
        <v>208</v>
      </c>
      <c r="H99" s="186" t="s">
        <v>136</v>
      </c>
      <c r="I99" s="360">
        <v>31</v>
      </c>
      <c r="J99" s="19">
        <f>+ROUND(79671*1.33,2)</f>
        <v>105962.43</v>
      </c>
      <c r="K99" s="19">
        <f t="shared" si="0"/>
        <v>3284835.3299999996</v>
      </c>
      <c r="L99" s="4"/>
      <c r="O99" s="185"/>
    </row>
    <row r="100" spans="2:15" ht="30" customHeight="1">
      <c r="B100" s="3"/>
      <c r="C100" s="186">
        <v>87</v>
      </c>
      <c r="D100" s="186" t="s">
        <v>114</v>
      </c>
      <c r="E100" s="17"/>
      <c r="F100" s="17"/>
      <c r="G100" s="17" t="s">
        <v>209</v>
      </c>
      <c r="H100" s="186" t="s">
        <v>136</v>
      </c>
      <c r="I100" s="360">
        <v>2</v>
      </c>
      <c r="J100" s="19">
        <f>+ROUND(97800*1.33,2)</f>
        <v>130074</v>
      </c>
      <c r="K100" s="19">
        <f t="shared" si="0"/>
        <v>260148</v>
      </c>
      <c r="L100" s="4"/>
      <c r="O100" s="185"/>
    </row>
    <row r="101" spans="2:15" ht="30" customHeight="1">
      <c r="B101" s="3"/>
      <c r="C101" s="186">
        <v>88</v>
      </c>
      <c r="D101" s="186" t="s">
        <v>115</v>
      </c>
      <c r="E101" s="17"/>
      <c r="F101" s="17"/>
      <c r="G101" s="17" t="s">
        <v>210</v>
      </c>
      <c r="H101" s="186" t="s">
        <v>136</v>
      </c>
      <c r="I101" s="360">
        <v>3</v>
      </c>
      <c r="J101" s="19">
        <f>+ROUND(48500*1.33,2)</f>
        <v>64505</v>
      </c>
      <c r="K101" s="19">
        <f t="shared" si="0"/>
        <v>193515</v>
      </c>
      <c r="L101" s="4"/>
      <c r="O101" s="185"/>
    </row>
    <row r="102" spans="2:15" ht="30" customHeight="1">
      <c r="B102" s="3"/>
      <c r="C102" s="186">
        <v>89</v>
      </c>
      <c r="D102" s="186" t="s">
        <v>116</v>
      </c>
      <c r="E102" s="17"/>
      <c r="F102" s="17"/>
      <c r="G102" s="17" t="s">
        <v>211</v>
      </c>
      <c r="H102" s="186" t="s">
        <v>104</v>
      </c>
      <c r="I102" s="360">
        <v>25.99</v>
      </c>
      <c r="J102" s="19">
        <f>+ROUND(22600*1.33,2)</f>
        <v>30058</v>
      </c>
      <c r="K102" s="19">
        <f t="shared" si="0"/>
        <v>781207.41999999993</v>
      </c>
      <c r="L102" s="4"/>
      <c r="O102" s="185"/>
    </row>
    <row r="103" spans="2:15" ht="30" customHeight="1">
      <c r="B103" s="3"/>
      <c r="C103" s="186">
        <v>90</v>
      </c>
      <c r="D103" s="186" t="s">
        <v>117</v>
      </c>
      <c r="E103" s="17"/>
      <c r="F103" s="17"/>
      <c r="G103" s="17" t="s">
        <v>212</v>
      </c>
      <c r="H103" s="186" t="s">
        <v>147</v>
      </c>
      <c r="I103" s="360">
        <v>612</v>
      </c>
      <c r="J103" s="19">
        <f>+ROUND(13400*1.33,2)</f>
        <v>17822</v>
      </c>
      <c r="K103" s="19">
        <f t="shared" si="0"/>
        <v>10907064</v>
      </c>
      <c r="L103" s="4"/>
      <c r="O103" s="185"/>
    </row>
    <row r="104" spans="2:15" ht="30" customHeight="1">
      <c r="B104" s="3"/>
      <c r="C104" s="186">
        <v>91</v>
      </c>
      <c r="D104" s="186" t="s">
        <v>118</v>
      </c>
      <c r="E104" s="17"/>
      <c r="F104" s="17"/>
      <c r="G104" s="17" t="s">
        <v>213</v>
      </c>
      <c r="H104" s="186" t="s">
        <v>136</v>
      </c>
      <c r="I104" s="360">
        <v>60.008769225615602</v>
      </c>
      <c r="J104" s="19">
        <f>+ROUND(4209*1.33,2)</f>
        <v>5597.97</v>
      </c>
      <c r="K104" s="19">
        <f t="shared" si="0"/>
        <v>335927.28986191936</v>
      </c>
      <c r="L104" s="4"/>
      <c r="O104" s="185"/>
    </row>
    <row r="105" spans="2:15" ht="30" customHeight="1">
      <c r="B105" s="3"/>
      <c r="C105" s="186">
        <v>92</v>
      </c>
      <c r="D105" s="186" t="s">
        <v>119</v>
      </c>
      <c r="E105" s="17"/>
      <c r="F105" s="17"/>
      <c r="G105" s="17" t="s">
        <v>214</v>
      </c>
      <c r="H105" s="186" t="s">
        <v>136</v>
      </c>
      <c r="I105" s="360">
        <v>250</v>
      </c>
      <c r="J105" s="19">
        <f>+ROUND(4590*1.33,2)</f>
        <v>6104.7</v>
      </c>
      <c r="K105" s="19">
        <f t="shared" si="0"/>
        <v>1526175</v>
      </c>
      <c r="L105" s="4"/>
      <c r="O105" s="185"/>
    </row>
    <row r="106" spans="2:15" ht="30" customHeight="1">
      <c r="B106" s="3"/>
      <c r="C106" s="186">
        <v>93</v>
      </c>
      <c r="D106" s="186" t="s">
        <v>120</v>
      </c>
      <c r="E106" s="17"/>
      <c r="F106" s="17"/>
      <c r="G106" s="17" t="s">
        <v>215</v>
      </c>
      <c r="H106" s="186" t="s">
        <v>136</v>
      </c>
      <c r="I106" s="360">
        <v>20</v>
      </c>
      <c r="J106" s="19">
        <f>+ROUND(18236*1.33,2)</f>
        <v>24253.88</v>
      </c>
      <c r="K106" s="19">
        <f t="shared" si="0"/>
        <v>485077.60000000003</v>
      </c>
      <c r="L106" s="4"/>
      <c r="O106" s="185"/>
    </row>
    <row r="107" spans="2:15" ht="30" customHeight="1">
      <c r="B107" s="3"/>
      <c r="C107" s="186">
        <v>94</v>
      </c>
      <c r="D107" s="186" t="s">
        <v>121</v>
      </c>
      <c r="E107" s="17"/>
      <c r="F107" s="17"/>
      <c r="G107" s="17" t="s">
        <v>216</v>
      </c>
      <c r="H107" s="186" t="s">
        <v>136</v>
      </c>
      <c r="I107" s="360">
        <v>7</v>
      </c>
      <c r="J107" s="19">
        <f>+ROUND(14290*1.33,2)</f>
        <v>19005.7</v>
      </c>
      <c r="K107" s="19">
        <f t="shared" si="0"/>
        <v>133039.9</v>
      </c>
      <c r="L107" s="4"/>
      <c r="O107" s="185"/>
    </row>
    <row r="108" spans="2:15" ht="30" customHeight="1">
      <c r="B108" s="3"/>
      <c r="C108" s="186">
        <v>95</v>
      </c>
      <c r="D108" s="186" t="s">
        <v>122</v>
      </c>
      <c r="E108" s="17"/>
      <c r="F108" s="17"/>
      <c r="G108" s="17" t="s">
        <v>217</v>
      </c>
      <c r="H108" s="186" t="s">
        <v>136</v>
      </c>
      <c r="I108" s="360">
        <v>12</v>
      </c>
      <c r="J108" s="19">
        <f>+ROUND(34035*1.33,2)</f>
        <v>45266.55</v>
      </c>
      <c r="K108" s="19">
        <f t="shared" si="0"/>
        <v>543198.60000000009</v>
      </c>
      <c r="L108" s="4"/>
      <c r="O108" s="185"/>
    </row>
    <row r="109" spans="2:15" ht="30" customHeight="1">
      <c r="B109" s="3"/>
      <c r="C109" s="186">
        <v>96</v>
      </c>
      <c r="D109" s="186" t="s">
        <v>123</v>
      </c>
      <c r="E109" s="17"/>
      <c r="F109" s="17"/>
      <c r="G109" s="17" t="s">
        <v>218</v>
      </c>
      <c r="H109" s="186" t="s">
        <v>136</v>
      </c>
      <c r="I109" s="360">
        <v>5</v>
      </c>
      <c r="J109" s="19">
        <f>+ROUND(98602*1.33,2)</f>
        <v>131140.66</v>
      </c>
      <c r="K109" s="19">
        <f t="shared" si="0"/>
        <v>655703.30000000005</v>
      </c>
      <c r="L109" s="4"/>
      <c r="O109" s="185"/>
    </row>
    <row r="110" spans="2:15" ht="30" customHeight="1">
      <c r="B110" s="3"/>
      <c r="C110" s="186">
        <v>97</v>
      </c>
      <c r="D110" s="186" t="s">
        <v>124</v>
      </c>
      <c r="E110" s="17"/>
      <c r="F110" s="17"/>
      <c r="G110" s="17" t="s">
        <v>219</v>
      </c>
      <c r="H110" s="186" t="s">
        <v>136</v>
      </c>
      <c r="I110" s="360">
        <v>8</v>
      </c>
      <c r="J110" s="19">
        <f>+ROUND(54577*1.33,2)</f>
        <v>72587.41</v>
      </c>
      <c r="K110" s="19">
        <f t="shared" si="0"/>
        <v>580699.28</v>
      </c>
      <c r="L110" s="4"/>
      <c r="O110" s="185"/>
    </row>
    <row r="111" spans="2:15" ht="30" customHeight="1">
      <c r="B111" s="3"/>
      <c r="C111" s="186">
        <v>98</v>
      </c>
      <c r="D111" s="186" t="s">
        <v>125</v>
      </c>
      <c r="E111" s="17"/>
      <c r="F111" s="17"/>
      <c r="G111" s="17" t="s">
        <v>220</v>
      </c>
      <c r="H111" s="186" t="s">
        <v>136</v>
      </c>
      <c r="I111" s="360">
        <v>5</v>
      </c>
      <c r="J111" s="19">
        <f>+ROUND(75027*1.33,2)</f>
        <v>99785.91</v>
      </c>
      <c r="K111" s="19">
        <f t="shared" si="0"/>
        <v>498929.55000000005</v>
      </c>
      <c r="L111" s="4"/>
      <c r="O111" s="185"/>
    </row>
    <row r="112" spans="2:15" ht="30" customHeight="1">
      <c r="B112" s="3"/>
      <c r="C112" s="186">
        <v>99</v>
      </c>
      <c r="D112" s="186" t="s">
        <v>126</v>
      </c>
      <c r="E112" s="17"/>
      <c r="F112" s="17"/>
      <c r="G112" s="17" t="s">
        <v>221</v>
      </c>
      <c r="H112" s="186" t="s">
        <v>101</v>
      </c>
      <c r="I112" s="360">
        <v>8</v>
      </c>
      <c r="J112" s="19">
        <f>+ROUND(29500*1.33,2)</f>
        <v>39235</v>
      </c>
      <c r="K112" s="19">
        <f t="shared" si="0"/>
        <v>313880</v>
      </c>
      <c r="L112" s="4"/>
      <c r="O112" s="185"/>
    </row>
    <row r="113" spans="2:15" ht="30" customHeight="1">
      <c r="B113" s="3"/>
      <c r="C113" s="188"/>
      <c r="D113" s="189"/>
      <c r="E113" s="190"/>
      <c r="F113" s="190"/>
      <c r="G113" s="190"/>
      <c r="H113" s="189"/>
      <c r="I113" s="186"/>
      <c r="J113" s="191"/>
      <c r="K113" s="19"/>
      <c r="L113" s="4"/>
      <c r="O113" s="185"/>
    </row>
    <row r="114" spans="2:15" ht="30" customHeight="1" thickBot="1">
      <c r="B114" s="3"/>
      <c r="C114" s="21" t="s">
        <v>15</v>
      </c>
      <c r="D114" s="22"/>
      <c r="E114" s="22"/>
      <c r="F114" s="22"/>
      <c r="G114" s="23"/>
      <c r="H114" s="22"/>
      <c r="I114" s="183"/>
      <c r="J114" s="24"/>
      <c r="K114" s="187"/>
      <c r="L114" s="4"/>
    </row>
    <row r="115" spans="2:15" s="49" customFormat="1" ht="30" customHeight="1" thickBot="1">
      <c r="B115" s="50"/>
      <c r="C115" s="212" t="s">
        <v>16</v>
      </c>
      <c r="D115" s="213"/>
      <c r="E115" s="213"/>
      <c r="F115" s="213"/>
      <c r="G115" s="213"/>
      <c r="H115" s="213"/>
      <c r="I115" s="213"/>
      <c r="J115" s="214"/>
      <c r="K115" s="51">
        <f>SUM(K14:K114)</f>
        <v>198819598.99856195</v>
      </c>
      <c r="L115" s="52"/>
    </row>
    <row r="116" spans="2:15" s="49" customFormat="1">
      <c r="B116" s="50"/>
      <c r="C116" s="53"/>
      <c r="D116" s="53"/>
      <c r="E116" s="53"/>
      <c r="F116" s="53"/>
      <c r="G116" s="53"/>
      <c r="H116" s="53"/>
      <c r="I116" s="53"/>
      <c r="J116" s="53"/>
      <c r="K116" s="54"/>
      <c r="L116" s="52"/>
    </row>
    <row r="117" spans="2:15" s="49" customFormat="1" ht="30" customHeight="1" thickBot="1">
      <c r="B117" s="50"/>
      <c r="C117" s="55"/>
      <c r="D117" s="56"/>
      <c r="E117" s="55"/>
      <c r="F117" s="72"/>
      <c r="G117" s="70" t="s">
        <v>102</v>
      </c>
      <c r="H117" s="65"/>
      <c r="I117" s="66"/>
      <c r="J117" s="71"/>
      <c r="K117" s="69">
        <v>0</v>
      </c>
      <c r="L117" s="52"/>
    </row>
    <row r="118" spans="2:15" s="49" customFormat="1" ht="30" customHeight="1" thickBot="1">
      <c r="B118" s="50"/>
      <c r="C118" s="55"/>
      <c r="D118" s="56"/>
      <c r="E118" s="55"/>
      <c r="F118" s="55"/>
      <c r="G118" s="73" t="s">
        <v>18</v>
      </c>
      <c r="H118" s="74"/>
      <c r="I118" s="75"/>
      <c r="J118" s="76"/>
      <c r="K118" s="51">
        <f>+K115+K117</f>
        <v>198819598.99856195</v>
      </c>
      <c r="L118" s="52"/>
    </row>
    <row r="119" spans="2:15" s="49" customFormat="1" ht="15" thickBot="1">
      <c r="B119" s="50"/>
      <c r="C119" s="55"/>
      <c r="D119" s="56"/>
      <c r="E119" s="56"/>
      <c r="F119" s="56"/>
      <c r="G119" s="55"/>
      <c r="H119" s="55"/>
      <c r="I119" s="77"/>
      <c r="J119" s="78"/>
      <c r="K119" s="79"/>
      <c r="L119" s="52"/>
    </row>
    <row r="120" spans="2:15" s="49" customFormat="1">
      <c r="B120" s="50"/>
      <c r="C120" s="80"/>
      <c r="D120" s="216"/>
      <c r="E120" s="216"/>
      <c r="F120" s="216"/>
      <c r="G120" s="216"/>
      <c r="H120" s="216"/>
      <c r="I120" s="216"/>
      <c r="J120" s="216"/>
      <c r="K120" s="217"/>
      <c r="L120" s="81"/>
    </row>
    <row r="121" spans="2:15" s="49" customFormat="1" ht="46.5" customHeight="1">
      <c r="B121" s="50"/>
      <c r="C121" s="194" t="s">
        <v>19</v>
      </c>
      <c r="D121" s="195"/>
      <c r="E121" s="195"/>
      <c r="F121" s="195"/>
      <c r="G121" s="195"/>
      <c r="H121" s="215" t="s">
        <v>8</v>
      </c>
      <c r="I121" s="215"/>
      <c r="J121" s="215"/>
      <c r="K121" s="82" t="s">
        <v>20</v>
      </c>
      <c r="L121" s="83"/>
    </row>
    <row r="122" spans="2:15" s="49" customFormat="1" ht="32.25" customHeight="1">
      <c r="B122" s="50"/>
      <c r="C122" s="194" t="s">
        <v>21</v>
      </c>
      <c r="D122" s="195"/>
      <c r="E122" s="195"/>
      <c r="F122" s="195"/>
      <c r="G122" s="195"/>
      <c r="H122" s="199" t="s">
        <v>22</v>
      </c>
      <c r="I122" s="199"/>
      <c r="J122" s="84" t="s">
        <v>23</v>
      </c>
      <c r="K122" s="85">
        <v>0.28000000000000003</v>
      </c>
      <c r="L122" s="83"/>
    </row>
    <row r="123" spans="2:15" s="49" customFormat="1" ht="30" customHeight="1">
      <c r="B123" s="50"/>
      <c r="C123" s="194" t="s">
        <v>24</v>
      </c>
      <c r="D123" s="195"/>
      <c r="E123" s="195"/>
      <c r="F123" s="195"/>
      <c r="G123" s="195"/>
      <c r="H123" s="196" t="s">
        <v>25</v>
      </c>
      <c r="I123" s="197"/>
      <c r="J123" s="84" t="s">
        <v>26</v>
      </c>
      <c r="K123" s="85">
        <v>0.03</v>
      </c>
      <c r="L123" s="83"/>
    </row>
    <row r="124" spans="2:15" s="49" customFormat="1" ht="58.5" customHeight="1">
      <c r="B124" s="50"/>
      <c r="C124" s="200"/>
      <c r="D124" s="201"/>
      <c r="E124" s="201"/>
      <c r="F124" s="201"/>
      <c r="G124" s="202"/>
      <c r="H124" s="198" t="s">
        <v>27</v>
      </c>
      <c r="I124" s="199"/>
      <c r="J124" s="84" t="s">
        <v>28</v>
      </c>
      <c r="K124" s="85">
        <v>0.02</v>
      </c>
      <c r="L124" s="52"/>
    </row>
    <row r="125" spans="2:15" ht="39" customHeight="1">
      <c r="B125" s="3"/>
      <c r="C125" s="203"/>
      <c r="D125" s="204"/>
      <c r="E125" s="204"/>
      <c r="F125" s="204"/>
      <c r="G125" s="205"/>
      <c r="H125" s="199" t="s">
        <v>29</v>
      </c>
      <c r="I125" s="199"/>
      <c r="J125" s="84" t="s">
        <v>30</v>
      </c>
      <c r="K125" s="85">
        <f>+K122+K123+K124</f>
        <v>0.33000000000000007</v>
      </c>
      <c r="L125" s="4"/>
    </row>
    <row r="126" spans="2:15" ht="47.25" customHeight="1" thickBot="1">
      <c r="B126" s="3"/>
      <c r="C126" s="206"/>
      <c r="D126" s="207"/>
      <c r="E126" s="207"/>
      <c r="F126" s="207"/>
      <c r="G126" s="208"/>
      <c r="H126" s="192"/>
      <c r="I126" s="192"/>
      <c r="J126" s="192"/>
      <c r="K126" s="193"/>
      <c r="L126" s="4"/>
    </row>
    <row r="127" spans="2:15" ht="15" thickBot="1">
      <c r="B127" s="86"/>
      <c r="C127" s="87"/>
      <c r="D127" s="87"/>
      <c r="E127" s="88"/>
      <c r="F127" s="87"/>
      <c r="G127" s="89"/>
      <c r="H127" s="87"/>
      <c r="I127" s="87"/>
      <c r="J127" s="87"/>
      <c r="K127" s="87"/>
      <c r="L127" s="90"/>
    </row>
    <row r="128" spans="2:15" ht="15" thickTop="1"/>
  </sheetData>
  <mergeCells count="28">
    <mergeCell ref="C7:K8"/>
    <mergeCell ref="C9:K9"/>
    <mergeCell ref="B1:G1"/>
    <mergeCell ref="B2:E2"/>
    <mergeCell ref="B4:L4"/>
    <mergeCell ref="C5:K5"/>
    <mergeCell ref="C6:K6"/>
    <mergeCell ref="C122:G122"/>
    <mergeCell ref="C10:K10"/>
    <mergeCell ref="C115:J115"/>
    <mergeCell ref="C121:G121"/>
    <mergeCell ref="H121:J121"/>
    <mergeCell ref="H122:I122"/>
    <mergeCell ref="D120:K120"/>
    <mergeCell ref="I11:I12"/>
    <mergeCell ref="J11:J12"/>
    <mergeCell ref="K11:K12"/>
    <mergeCell ref="C11:C12"/>
    <mergeCell ref="D11:D12"/>
    <mergeCell ref="G11:G12"/>
    <mergeCell ref="H11:H12"/>
    <mergeCell ref="E11:F11"/>
    <mergeCell ref="H126:K126"/>
    <mergeCell ref="C123:G123"/>
    <mergeCell ref="H123:I123"/>
    <mergeCell ref="H124:I124"/>
    <mergeCell ref="H125:I125"/>
    <mergeCell ref="C124:G126"/>
  </mergeCells>
  <pageMargins left="0.11811023622047245" right="0.11811023622047245" top="0.15748031496062992" bottom="0.15748031496062992" header="0.31496062992125984" footer="0.31496062992125984"/>
  <pageSetup scale="42" orientation="portrait" horizontalDpi="1200" verticalDpi="1200" r:id="rId1"/>
  <rowBreaks count="1" manualBreakCount="1">
    <brk id="115"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G15" sqref="G15"/>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233" t="s">
        <v>0</v>
      </c>
      <c r="C1" s="233"/>
      <c r="D1" s="233"/>
      <c r="E1" s="233"/>
      <c r="F1" s="233"/>
      <c r="G1" s="233"/>
    </row>
    <row r="2" spans="2:12">
      <c r="B2" s="233" t="s">
        <v>1</v>
      </c>
      <c r="C2" s="233"/>
      <c r="D2" s="233"/>
      <c r="E2" s="233"/>
    </row>
    <row r="3" spans="2:12" ht="15" thickBot="1">
      <c r="C3" s="6"/>
      <c r="D3" s="7"/>
      <c r="E3" s="6"/>
      <c r="F3" s="7"/>
    </row>
    <row r="4" spans="2:12" ht="15.75" thickTop="1" thickBot="1">
      <c r="B4" s="234"/>
      <c r="C4" s="235"/>
      <c r="D4" s="235"/>
      <c r="E4" s="235"/>
      <c r="F4" s="235"/>
      <c r="G4" s="235"/>
      <c r="H4" s="235"/>
      <c r="I4" s="235"/>
      <c r="J4" s="235"/>
      <c r="K4" s="235"/>
      <c r="L4" s="236"/>
    </row>
    <row r="5" spans="2:12" ht="31.5" customHeight="1">
      <c r="B5" s="3"/>
      <c r="C5" s="245" t="s">
        <v>2</v>
      </c>
      <c r="D5" s="246"/>
      <c r="E5" s="246"/>
      <c r="F5" s="246"/>
      <c r="G5" s="246"/>
      <c r="H5" s="246"/>
      <c r="I5" s="246"/>
      <c r="J5" s="246"/>
      <c r="K5" s="247"/>
      <c r="L5" s="4"/>
    </row>
    <row r="6" spans="2:12">
      <c r="B6" s="3"/>
      <c r="C6" s="248" t="s">
        <v>31</v>
      </c>
      <c r="D6" s="249"/>
      <c r="E6" s="249"/>
      <c r="F6" s="249"/>
      <c r="G6" s="249"/>
      <c r="H6" s="249"/>
      <c r="I6" s="249"/>
      <c r="J6" s="249"/>
      <c r="K6" s="250"/>
      <c r="L6" s="4"/>
    </row>
    <row r="7" spans="2:12" s="2" customFormat="1">
      <c r="B7" s="91"/>
      <c r="C7" s="251" t="s">
        <v>32</v>
      </c>
      <c r="D7" s="251"/>
      <c r="E7" s="251"/>
      <c r="F7" s="251"/>
      <c r="G7" s="251"/>
      <c r="H7" s="251"/>
      <c r="I7" s="251"/>
      <c r="J7" s="251"/>
      <c r="K7" s="251"/>
      <c r="L7" s="10"/>
    </row>
    <row r="8" spans="2:12" ht="105.75" customHeight="1">
      <c r="B8" s="3"/>
      <c r="C8" s="251"/>
      <c r="D8" s="251"/>
      <c r="E8" s="251"/>
      <c r="F8" s="251"/>
      <c r="G8" s="251"/>
      <c r="H8" s="251"/>
      <c r="I8" s="251"/>
      <c r="J8" s="251"/>
      <c r="K8" s="251"/>
      <c r="L8" s="4"/>
    </row>
    <row r="9" spans="2:12" ht="34.5" customHeight="1">
      <c r="B9" s="3"/>
      <c r="C9" s="252" t="s">
        <v>33</v>
      </c>
      <c r="D9" s="231"/>
      <c r="E9" s="231"/>
      <c r="F9" s="231"/>
      <c r="G9" s="231"/>
      <c r="H9" s="231"/>
      <c r="I9" s="231"/>
      <c r="J9" s="231"/>
      <c r="K9" s="253"/>
      <c r="L9" s="4"/>
    </row>
    <row r="10" spans="2:12" ht="30" customHeight="1" thickBot="1">
      <c r="B10" s="3"/>
      <c r="C10" s="209"/>
      <c r="D10" s="210"/>
      <c r="E10" s="210"/>
      <c r="F10" s="210"/>
      <c r="G10" s="210"/>
      <c r="H10" s="210"/>
      <c r="I10" s="210"/>
      <c r="J10" s="210"/>
      <c r="K10" s="211"/>
      <c r="L10" s="4"/>
    </row>
    <row r="11" spans="2:12" ht="30" customHeight="1">
      <c r="B11" s="3"/>
      <c r="C11" s="224" t="s">
        <v>6</v>
      </c>
      <c r="D11" s="218" t="s">
        <v>222</v>
      </c>
      <c r="E11" s="226" t="s">
        <v>7</v>
      </c>
      <c r="F11" s="226"/>
      <c r="G11" s="224" t="s">
        <v>8</v>
      </c>
      <c r="H11" s="218" t="s">
        <v>9</v>
      </c>
      <c r="I11" s="218" t="s">
        <v>10</v>
      </c>
      <c r="J11" s="220" t="s">
        <v>11</v>
      </c>
      <c r="K11" s="222" t="s">
        <v>12</v>
      </c>
      <c r="L11" s="4"/>
    </row>
    <row r="12" spans="2:12" ht="30" customHeight="1" thickBot="1">
      <c r="B12" s="3"/>
      <c r="C12" s="225"/>
      <c r="D12" s="219"/>
      <c r="E12" s="11" t="s">
        <v>13</v>
      </c>
      <c r="F12" s="11" t="s">
        <v>14</v>
      </c>
      <c r="G12" s="225"/>
      <c r="H12" s="219"/>
      <c r="I12" s="219"/>
      <c r="J12" s="221"/>
      <c r="K12" s="223"/>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15</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15</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15</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15</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15</v>
      </c>
      <c r="D39" s="45"/>
      <c r="E39" s="45"/>
      <c r="F39" s="45"/>
      <c r="G39" s="48"/>
      <c r="H39" s="47"/>
      <c r="I39" s="18"/>
      <c r="J39" s="24"/>
      <c r="K39" s="25"/>
      <c r="L39" s="4"/>
    </row>
    <row r="40" spans="2:12" s="49" customFormat="1" ht="30" customHeight="1" thickBot="1">
      <c r="B40" s="50"/>
      <c r="C40" s="212" t="s">
        <v>16</v>
      </c>
      <c r="D40" s="213"/>
      <c r="E40" s="213"/>
      <c r="F40" s="213"/>
      <c r="G40" s="213"/>
      <c r="H40" s="213"/>
      <c r="I40" s="213"/>
      <c r="J40" s="214"/>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242"/>
      <c r="H42" s="243"/>
      <c r="I42" s="244"/>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17</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2"/>
      <c r="H48" s="65"/>
      <c r="I48" s="66"/>
      <c r="J48" s="71"/>
      <c r="K48" s="69"/>
      <c r="L48" s="52"/>
    </row>
    <row r="49" spans="2:12" s="49" customFormat="1" ht="30" customHeight="1" thickBot="1">
      <c r="B49" s="50"/>
      <c r="C49" s="55"/>
      <c r="D49" s="56"/>
      <c r="E49" s="55"/>
      <c r="F49" s="55"/>
      <c r="G49" s="73" t="s">
        <v>18</v>
      </c>
      <c r="H49" s="74"/>
      <c r="I49" s="75"/>
      <c r="J49" s="76"/>
      <c r="K49" s="51"/>
      <c r="L49" s="52"/>
    </row>
    <row r="50" spans="2:12" s="49" customFormat="1" ht="15" thickBot="1">
      <c r="B50" s="50"/>
      <c r="C50" s="55"/>
      <c r="D50" s="56"/>
      <c r="E50" s="56"/>
      <c r="F50" s="56"/>
      <c r="G50" s="55"/>
      <c r="H50" s="55"/>
      <c r="I50" s="77"/>
      <c r="J50" s="78"/>
      <c r="K50" s="79"/>
      <c r="L50" s="52"/>
    </row>
    <row r="51" spans="2:12" s="49" customFormat="1">
      <c r="B51" s="50"/>
      <c r="C51" s="80"/>
      <c r="D51" s="216"/>
      <c r="E51" s="216"/>
      <c r="F51" s="216"/>
      <c r="G51" s="216"/>
      <c r="H51" s="216"/>
      <c r="I51" s="216"/>
      <c r="J51" s="216"/>
      <c r="K51" s="217"/>
      <c r="L51" s="81"/>
    </row>
    <row r="52" spans="2:12" s="49" customFormat="1" ht="46.5" customHeight="1">
      <c r="B52" s="50"/>
      <c r="C52" s="194" t="s">
        <v>19</v>
      </c>
      <c r="D52" s="195"/>
      <c r="E52" s="195"/>
      <c r="F52" s="195"/>
      <c r="G52" s="195"/>
      <c r="H52" s="215" t="s">
        <v>8</v>
      </c>
      <c r="I52" s="215"/>
      <c r="J52" s="215"/>
      <c r="K52" s="82" t="s">
        <v>20</v>
      </c>
      <c r="L52" s="83"/>
    </row>
    <row r="53" spans="2:12" s="49" customFormat="1" ht="32.25" customHeight="1">
      <c r="B53" s="50"/>
      <c r="C53" s="194" t="s">
        <v>21</v>
      </c>
      <c r="D53" s="195"/>
      <c r="E53" s="195"/>
      <c r="F53" s="195"/>
      <c r="G53" s="195"/>
      <c r="H53" s="199" t="s">
        <v>22</v>
      </c>
      <c r="I53" s="199"/>
      <c r="J53" s="84" t="s">
        <v>23</v>
      </c>
      <c r="K53" s="85" t="s">
        <v>34</v>
      </c>
      <c r="L53" s="83"/>
    </row>
    <row r="54" spans="2:12" s="49" customFormat="1" ht="30" customHeight="1">
      <c r="B54" s="50"/>
      <c r="C54" s="194" t="s">
        <v>24</v>
      </c>
      <c r="D54" s="195"/>
      <c r="E54" s="195"/>
      <c r="F54" s="195"/>
      <c r="G54" s="195"/>
      <c r="H54" s="196" t="s">
        <v>25</v>
      </c>
      <c r="I54" s="197"/>
      <c r="J54" s="84" t="s">
        <v>26</v>
      </c>
      <c r="K54" s="85" t="s">
        <v>34</v>
      </c>
      <c r="L54" s="83"/>
    </row>
    <row r="55" spans="2:12" s="49" customFormat="1" ht="58.5" customHeight="1">
      <c r="B55" s="50"/>
      <c r="C55" s="200"/>
      <c r="D55" s="201"/>
      <c r="E55" s="201"/>
      <c r="F55" s="201"/>
      <c r="G55" s="202"/>
      <c r="H55" s="198" t="s">
        <v>27</v>
      </c>
      <c r="I55" s="199"/>
      <c r="J55" s="84" t="s">
        <v>28</v>
      </c>
      <c r="K55" s="85" t="s">
        <v>34</v>
      </c>
      <c r="L55" s="52"/>
    </row>
    <row r="56" spans="2:12" ht="39" customHeight="1">
      <c r="B56" s="3"/>
      <c r="C56" s="203"/>
      <c r="D56" s="204"/>
      <c r="E56" s="204"/>
      <c r="F56" s="204"/>
      <c r="G56" s="205"/>
      <c r="H56" s="199" t="s">
        <v>29</v>
      </c>
      <c r="I56" s="199"/>
      <c r="J56" s="84" t="s">
        <v>30</v>
      </c>
      <c r="K56" s="85" t="s">
        <v>34</v>
      </c>
      <c r="L56" s="4"/>
    </row>
    <row r="57" spans="2:12" ht="47.25" customHeight="1" thickBot="1">
      <c r="B57" s="3"/>
      <c r="C57" s="206"/>
      <c r="D57" s="207"/>
      <c r="E57" s="207"/>
      <c r="F57" s="207"/>
      <c r="G57" s="208"/>
      <c r="H57" s="192"/>
      <c r="I57" s="192"/>
      <c r="J57" s="192"/>
      <c r="K57" s="193"/>
      <c r="L57" s="4"/>
    </row>
    <row r="58" spans="2:12" ht="47.25" customHeight="1">
      <c r="B58" s="3"/>
      <c r="C58" s="93"/>
      <c r="D58" s="93"/>
      <c r="E58" s="93"/>
      <c r="F58" s="93"/>
      <c r="G58" s="93"/>
      <c r="H58" s="93"/>
      <c r="I58" s="93"/>
      <c r="J58" s="93"/>
      <c r="K58" s="93"/>
      <c r="L58" s="4"/>
    </row>
    <row r="59" spans="2:12" ht="47.25" customHeight="1">
      <c r="B59" s="3"/>
      <c r="C59" s="93"/>
      <c r="D59" s="93"/>
      <c r="E59" s="93"/>
      <c r="F59" s="93"/>
      <c r="G59" s="94" t="s">
        <v>35</v>
      </c>
      <c r="H59" s="93"/>
      <c r="I59" s="93"/>
      <c r="J59" s="93"/>
      <c r="K59" s="93"/>
      <c r="L59" s="4"/>
    </row>
    <row r="60" spans="2:12" ht="15" thickBot="1">
      <c r="B60" s="86"/>
      <c r="C60" s="87"/>
      <c r="D60" s="87"/>
      <c r="E60" s="88"/>
      <c r="F60" s="87"/>
      <c r="G60" s="89"/>
      <c r="H60" s="87"/>
      <c r="I60" s="87"/>
      <c r="J60" s="87"/>
      <c r="K60" s="87"/>
      <c r="L60" s="90"/>
    </row>
    <row r="61" spans="2:12" ht="15"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2578125" defaultRowHeight="14.25"/>
  <cols>
    <col min="1" max="2" width="3.140625" style="95" customWidth="1"/>
    <col min="3" max="3" width="14.7109375" style="95" customWidth="1"/>
    <col min="4" max="4" width="13" style="95" customWidth="1"/>
    <col min="5" max="11" width="11.42578125" style="95"/>
    <col min="12" max="12" width="12.85546875" style="95" customWidth="1"/>
    <col min="13" max="14" width="11.42578125" style="95"/>
    <col min="15" max="15" width="18.7109375" style="95" customWidth="1"/>
    <col min="16" max="17" width="3.140625" style="95" customWidth="1"/>
    <col min="18" max="16384" width="11.42578125" style="95"/>
  </cols>
  <sheetData>
    <row r="1" spans="2:16">
      <c r="B1" s="233" t="s">
        <v>36</v>
      </c>
      <c r="C1" s="233"/>
      <c r="D1" s="233"/>
      <c r="E1" s="233"/>
      <c r="F1" s="233"/>
      <c r="G1" s="233"/>
      <c r="H1" s="233"/>
      <c r="I1" s="233"/>
      <c r="J1" s="233"/>
      <c r="K1" s="233"/>
      <c r="L1" s="233"/>
    </row>
    <row r="2" spans="2:16">
      <c r="B2" s="233" t="s">
        <v>1</v>
      </c>
      <c r="C2" s="233"/>
      <c r="D2" s="233"/>
      <c r="E2" s="233"/>
    </row>
    <row r="3" spans="2:16" ht="15" thickBot="1"/>
    <row r="4" spans="2:16" ht="25.5" customHeight="1" thickTop="1">
      <c r="B4" s="339"/>
      <c r="C4" s="340"/>
      <c r="D4" s="340"/>
      <c r="E4" s="340"/>
      <c r="F4" s="340"/>
      <c r="G4" s="340"/>
      <c r="H4" s="340"/>
      <c r="I4" s="340"/>
      <c r="J4" s="340"/>
      <c r="K4" s="340"/>
      <c r="L4" s="340"/>
      <c r="M4" s="340"/>
      <c r="N4" s="340"/>
      <c r="O4" s="340"/>
      <c r="P4" s="341"/>
    </row>
    <row r="5" spans="2:16" ht="36.75" customHeight="1">
      <c r="B5" s="97"/>
      <c r="C5" s="254" t="s">
        <v>37</v>
      </c>
      <c r="D5" s="254"/>
      <c r="E5" s="254"/>
      <c r="F5" s="254"/>
      <c r="G5" s="254"/>
      <c r="H5" s="254"/>
      <c r="I5" s="254"/>
      <c r="J5" s="254"/>
      <c r="K5" s="254"/>
      <c r="L5" s="254"/>
      <c r="M5" s="254"/>
      <c r="N5" s="254"/>
      <c r="O5" s="254"/>
      <c r="P5" s="96"/>
    </row>
    <row r="6" spans="2:16" ht="15" thickBot="1">
      <c r="B6" s="97"/>
      <c r="P6" s="96"/>
    </row>
    <row r="7" spans="2:16">
      <c r="B7" s="97"/>
      <c r="C7" s="263"/>
      <c r="D7" s="265"/>
      <c r="E7" s="266"/>
      <c r="F7" s="266"/>
      <c r="G7" s="266"/>
      <c r="H7" s="266"/>
      <c r="I7" s="266"/>
      <c r="J7" s="266"/>
      <c r="K7" s="267"/>
      <c r="L7" s="283"/>
      <c r="M7" s="284"/>
      <c r="N7" s="284"/>
      <c r="O7" s="285"/>
      <c r="P7" s="96"/>
    </row>
    <row r="8" spans="2:16">
      <c r="B8" s="97"/>
      <c r="C8" s="264"/>
      <c r="D8" s="257" t="s">
        <v>38</v>
      </c>
      <c r="E8" s="258"/>
      <c r="F8" s="258"/>
      <c r="G8" s="258"/>
      <c r="H8" s="258"/>
      <c r="I8" s="258"/>
      <c r="J8" s="258"/>
      <c r="K8" s="259"/>
      <c r="L8" s="286"/>
      <c r="M8" s="287"/>
      <c r="N8" s="287"/>
      <c r="O8" s="288"/>
      <c r="P8" s="96"/>
    </row>
    <row r="9" spans="2:16">
      <c r="B9" s="97"/>
      <c r="C9" s="264"/>
      <c r="D9" s="257"/>
      <c r="E9" s="258"/>
      <c r="F9" s="258"/>
      <c r="G9" s="258"/>
      <c r="H9" s="258"/>
      <c r="I9" s="258"/>
      <c r="J9" s="258"/>
      <c r="K9" s="259"/>
      <c r="L9" s="255" t="s">
        <v>39</v>
      </c>
      <c r="M9" s="289"/>
      <c r="N9" s="290"/>
      <c r="O9" s="291"/>
      <c r="P9" s="96"/>
    </row>
    <row r="10" spans="2:16">
      <c r="B10" s="97"/>
      <c r="C10" s="264"/>
      <c r="D10" s="257" t="s">
        <v>40</v>
      </c>
      <c r="E10" s="258"/>
      <c r="F10" s="258"/>
      <c r="G10" s="258"/>
      <c r="H10" s="258"/>
      <c r="I10" s="258"/>
      <c r="J10" s="258"/>
      <c r="K10" s="259"/>
      <c r="L10" s="268"/>
      <c r="M10" s="292"/>
      <c r="N10" s="293"/>
      <c r="O10" s="294"/>
      <c r="P10" s="96"/>
    </row>
    <row r="11" spans="2:16" ht="12.75" customHeight="1">
      <c r="B11" s="97"/>
      <c r="C11" s="264"/>
      <c r="D11" s="260"/>
      <c r="E11" s="261"/>
      <c r="F11" s="261"/>
      <c r="G11" s="261"/>
      <c r="H11" s="261"/>
      <c r="I11" s="261"/>
      <c r="J11" s="261"/>
      <c r="K11" s="262"/>
      <c r="L11" s="255" t="s">
        <v>41</v>
      </c>
      <c r="M11" s="255">
        <v>1</v>
      </c>
      <c r="N11" s="255" t="s">
        <v>42</v>
      </c>
      <c r="O11" s="281">
        <v>1</v>
      </c>
      <c r="P11" s="96"/>
    </row>
    <row r="12" spans="2:16">
      <c r="B12" s="97"/>
      <c r="C12" s="264"/>
      <c r="D12" s="260"/>
      <c r="E12" s="261"/>
      <c r="F12" s="261"/>
      <c r="G12" s="261"/>
      <c r="H12" s="261"/>
      <c r="I12" s="261"/>
      <c r="J12" s="261"/>
      <c r="K12" s="262"/>
      <c r="L12" s="256"/>
      <c r="M12" s="256"/>
      <c r="N12" s="256"/>
      <c r="O12" s="282"/>
      <c r="P12" s="96"/>
    </row>
    <row r="13" spans="2:16">
      <c r="B13" s="97"/>
      <c r="C13" s="264"/>
      <c r="D13" s="257" t="s">
        <v>43</v>
      </c>
      <c r="E13" s="258"/>
      <c r="F13" s="258"/>
      <c r="G13" s="258"/>
      <c r="H13" s="258"/>
      <c r="I13" s="258"/>
      <c r="J13" s="258"/>
      <c r="K13" s="259"/>
      <c r="L13" s="256"/>
      <c r="M13" s="256"/>
      <c r="N13" s="256"/>
      <c r="O13" s="282"/>
      <c r="P13" s="96"/>
    </row>
    <row r="14" spans="2:16" ht="15" thickBot="1">
      <c r="B14" s="97"/>
      <c r="C14" s="100"/>
      <c r="D14" s="101"/>
      <c r="E14" s="101"/>
      <c r="F14" s="101"/>
      <c r="G14" s="101"/>
      <c r="H14" s="101"/>
      <c r="I14" s="101"/>
      <c r="J14" s="101"/>
      <c r="K14" s="101"/>
      <c r="L14" s="101"/>
      <c r="M14" s="102"/>
      <c r="N14" s="102"/>
      <c r="O14" s="103"/>
      <c r="P14" s="96"/>
    </row>
    <row r="15" spans="2:16">
      <c r="B15" s="97"/>
      <c r="C15" s="104"/>
      <c r="D15" s="98"/>
      <c r="E15" s="98"/>
      <c r="F15" s="98"/>
      <c r="G15" s="98"/>
      <c r="H15" s="98"/>
      <c r="I15" s="98"/>
      <c r="J15" s="98"/>
      <c r="K15" s="98"/>
      <c r="L15" s="105" t="s">
        <v>44</v>
      </c>
      <c r="M15" s="106" t="s">
        <v>45</v>
      </c>
      <c r="N15" s="106" t="s">
        <v>46</v>
      </c>
      <c r="O15" s="107" t="s">
        <v>47</v>
      </c>
      <c r="P15" s="96"/>
    </row>
    <row r="16" spans="2:16">
      <c r="B16" s="97"/>
      <c r="C16" s="108"/>
      <c r="D16" s="99"/>
      <c r="E16" s="99"/>
      <c r="F16" s="99"/>
      <c r="G16" s="99"/>
      <c r="H16" s="99"/>
      <c r="I16" s="99"/>
      <c r="J16" s="99"/>
      <c r="K16" s="99"/>
      <c r="L16" s="109"/>
      <c r="M16" s="110"/>
      <c r="N16" s="110"/>
      <c r="O16" s="111"/>
      <c r="P16" s="96"/>
    </row>
    <row r="17" spans="2:16" ht="18" customHeight="1">
      <c r="B17" s="97"/>
      <c r="C17" s="348" t="s">
        <v>48</v>
      </c>
      <c r="D17" s="349"/>
      <c r="E17" s="349"/>
      <c r="F17" s="349"/>
      <c r="G17" s="99"/>
      <c r="H17" s="99"/>
      <c r="I17" s="99" t="s">
        <v>49</v>
      </c>
      <c r="K17" s="99"/>
      <c r="L17" s="109"/>
      <c r="O17" s="112"/>
      <c r="P17" s="96"/>
    </row>
    <row r="18" spans="2:16">
      <c r="B18" s="97"/>
      <c r="C18" s="113"/>
      <c r="D18" s="114"/>
      <c r="E18" s="114"/>
      <c r="F18" s="114"/>
      <c r="G18" s="114"/>
      <c r="H18" s="114"/>
      <c r="I18" s="114"/>
      <c r="J18" s="114"/>
      <c r="K18" s="114"/>
      <c r="L18" s="114"/>
      <c r="M18" s="114"/>
      <c r="N18" s="114"/>
      <c r="O18" s="115"/>
      <c r="P18" s="96"/>
    </row>
    <row r="19" spans="2:16" ht="15" thickBot="1">
      <c r="B19" s="97"/>
      <c r="C19" s="116"/>
      <c r="D19" s="117"/>
      <c r="E19" s="117"/>
      <c r="F19" s="117"/>
      <c r="G19" s="117"/>
      <c r="H19" s="117"/>
      <c r="I19" s="117"/>
      <c r="J19" s="117"/>
      <c r="K19" s="117"/>
      <c r="L19" s="117"/>
      <c r="M19" s="117"/>
      <c r="N19" s="117"/>
      <c r="O19" s="118"/>
      <c r="P19" s="96"/>
    </row>
    <row r="20" spans="2:16" ht="15" thickBot="1">
      <c r="B20" s="97"/>
      <c r="C20" s="119"/>
      <c r="D20" s="120"/>
      <c r="E20" s="120"/>
      <c r="F20" s="120"/>
      <c r="G20" s="120"/>
      <c r="H20" s="120"/>
      <c r="K20" s="120"/>
      <c r="L20" s="120"/>
      <c r="M20" s="120"/>
      <c r="N20" s="120"/>
      <c r="O20" s="121"/>
      <c r="P20" s="96"/>
    </row>
    <row r="21" spans="2:16">
      <c r="B21" s="97"/>
      <c r="C21" s="303" t="s">
        <v>50</v>
      </c>
      <c r="D21" s="304"/>
      <c r="E21" s="304"/>
      <c r="F21" s="304"/>
      <c r="G21" s="304"/>
      <c r="H21" s="304"/>
      <c r="I21" s="304"/>
      <c r="J21" s="304"/>
      <c r="K21" s="304"/>
      <c r="L21" s="304"/>
      <c r="M21" s="304"/>
      <c r="N21" s="304"/>
      <c r="O21" s="305"/>
      <c r="P21" s="96"/>
    </row>
    <row r="22" spans="2:16" ht="15" thickBot="1">
      <c r="B22" s="97"/>
      <c r="C22" s="122"/>
      <c r="O22" s="123"/>
      <c r="P22" s="96"/>
    </row>
    <row r="23" spans="2:16">
      <c r="B23" s="97"/>
      <c r="C23" s="124" t="s">
        <v>51</v>
      </c>
      <c r="D23" s="269" t="s">
        <v>52</v>
      </c>
      <c r="E23" s="270"/>
      <c r="F23" s="270"/>
      <c r="G23" s="270"/>
      <c r="H23" s="270"/>
      <c r="I23" s="270"/>
      <c r="J23" s="270"/>
      <c r="K23" s="270"/>
      <c r="L23" s="271"/>
      <c r="M23" s="301" t="s">
        <v>53</v>
      </c>
      <c r="N23" s="302"/>
      <c r="O23" s="124" t="s">
        <v>10</v>
      </c>
      <c r="P23" s="96"/>
    </row>
    <row r="24" spans="2:16" ht="15" thickBot="1">
      <c r="B24" s="97"/>
      <c r="C24" s="125"/>
      <c r="D24" s="295"/>
      <c r="E24" s="315"/>
      <c r="F24" s="315"/>
      <c r="G24" s="315"/>
      <c r="H24" s="315"/>
      <c r="I24" s="315"/>
      <c r="J24" s="315"/>
      <c r="K24" s="315"/>
      <c r="L24" s="296"/>
      <c r="M24" s="295"/>
      <c r="N24" s="296"/>
      <c r="O24" s="126"/>
      <c r="P24" s="96"/>
    </row>
    <row r="25" spans="2:16">
      <c r="B25" s="97"/>
      <c r="C25" s="272" t="s">
        <v>54</v>
      </c>
      <c r="D25" s="273"/>
      <c r="E25" s="273"/>
      <c r="F25" s="273"/>
      <c r="G25" s="273"/>
      <c r="H25" s="273"/>
      <c r="I25" s="273"/>
      <c r="J25" s="273"/>
      <c r="K25" s="273"/>
      <c r="L25" s="273"/>
      <c r="M25" s="273"/>
      <c r="N25" s="273"/>
      <c r="O25" s="274"/>
      <c r="P25" s="96"/>
    </row>
    <row r="26" spans="2:16">
      <c r="B26" s="97"/>
      <c r="C26" s="275"/>
      <c r="D26" s="276"/>
      <c r="E26" s="276"/>
      <c r="F26" s="276"/>
      <c r="G26" s="276"/>
      <c r="H26" s="276"/>
      <c r="I26" s="276"/>
      <c r="J26" s="276"/>
      <c r="K26" s="276"/>
      <c r="L26" s="276"/>
      <c r="M26" s="276"/>
      <c r="N26" s="276"/>
      <c r="O26" s="277"/>
      <c r="P26" s="96"/>
    </row>
    <row r="27" spans="2:16" ht="15" thickBot="1">
      <c r="B27" s="97"/>
      <c r="C27" s="278"/>
      <c r="D27" s="279"/>
      <c r="E27" s="279"/>
      <c r="F27" s="279"/>
      <c r="G27" s="279"/>
      <c r="H27" s="279"/>
      <c r="I27" s="279"/>
      <c r="J27" s="279"/>
      <c r="K27" s="279"/>
      <c r="L27" s="279"/>
      <c r="M27" s="279"/>
      <c r="N27" s="279"/>
      <c r="O27" s="280"/>
      <c r="P27" s="96"/>
    </row>
    <row r="28" spans="2:16">
      <c r="B28" s="97"/>
      <c r="C28" s="297" t="s">
        <v>52</v>
      </c>
      <c r="D28" s="298"/>
      <c r="E28" s="298"/>
      <c r="F28" s="298"/>
      <c r="G28" s="299"/>
      <c r="H28" s="300" t="s">
        <v>55</v>
      </c>
      <c r="I28" s="298"/>
      <c r="J28" s="312" t="s">
        <v>56</v>
      </c>
      <c r="K28" s="313"/>
      <c r="L28" s="128" t="s">
        <v>57</v>
      </c>
      <c r="M28" s="300" t="s">
        <v>58</v>
      </c>
      <c r="N28" s="314"/>
      <c r="O28" s="129" t="s">
        <v>59</v>
      </c>
      <c r="P28" s="96"/>
    </row>
    <row r="29" spans="2:16">
      <c r="B29" s="97"/>
      <c r="C29" s="306"/>
      <c r="D29" s="307"/>
      <c r="E29" s="307"/>
      <c r="F29" s="307"/>
      <c r="G29" s="308"/>
      <c r="H29" s="309"/>
      <c r="I29" s="308"/>
      <c r="J29" s="309"/>
      <c r="K29" s="308"/>
      <c r="L29" s="131"/>
      <c r="M29" s="310"/>
      <c r="N29" s="311"/>
      <c r="O29" s="132"/>
      <c r="P29" s="96"/>
    </row>
    <row r="30" spans="2:16">
      <c r="B30" s="97"/>
      <c r="C30" s="133"/>
      <c r="D30" s="134"/>
      <c r="E30" s="134"/>
      <c r="F30" s="134"/>
      <c r="G30" s="135"/>
      <c r="H30" s="136"/>
      <c r="I30" s="135"/>
      <c r="J30" s="136"/>
      <c r="K30" s="135"/>
      <c r="L30" s="131"/>
      <c r="M30" s="310"/>
      <c r="N30" s="311"/>
      <c r="O30" s="132"/>
      <c r="P30" s="96"/>
    </row>
    <row r="31" spans="2:16" ht="15" thickBot="1">
      <c r="B31" s="97"/>
      <c r="C31" s="316"/>
      <c r="D31" s="317"/>
      <c r="E31" s="317"/>
      <c r="F31" s="317"/>
      <c r="G31" s="318"/>
      <c r="H31" s="319"/>
      <c r="I31" s="318"/>
      <c r="J31" s="319"/>
      <c r="K31" s="318"/>
      <c r="L31" s="137"/>
      <c r="M31" s="320"/>
      <c r="N31" s="321"/>
      <c r="O31" s="132"/>
      <c r="P31" s="96"/>
    </row>
    <row r="32" spans="2:16" ht="15" thickBot="1">
      <c r="B32" s="97"/>
      <c r="C32" s="329" t="s">
        <v>60</v>
      </c>
      <c r="D32" s="330"/>
      <c r="E32" s="330"/>
      <c r="F32" s="330"/>
      <c r="G32" s="330"/>
      <c r="H32" s="330"/>
      <c r="I32" s="330"/>
      <c r="J32" s="330"/>
      <c r="K32" s="330"/>
      <c r="L32" s="330"/>
      <c r="M32" s="330"/>
      <c r="N32" s="331"/>
      <c r="O32" s="138"/>
      <c r="P32" s="96"/>
    </row>
    <row r="33" spans="2:16" ht="13.5" customHeight="1">
      <c r="B33" s="97"/>
      <c r="C33" s="272" t="s">
        <v>61</v>
      </c>
      <c r="D33" s="273"/>
      <c r="E33" s="273"/>
      <c r="F33" s="273"/>
      <c r="G33" s="273"/>
      <c r="H33" s="273"/>
      <c r="I33" s="273"/>
      <c r="J33" s="273"/>
      <c r="K33" s="273"/>
      <c r="L33" s="273"/>
      <c r="M33" s="273"/>
      <c r="N33" s="273"/>
      <c r="O33" s="274"/>
      <c r="P33" s="96"/>
    </row>
    <row r="34" spans="2:16">
      <c r="B34" s="97"/>
      <c r="C34" s="275"/>
      <c r="D34" s="276"/>
      <c r="E34" s="276"/>
      <c r="F34" s="276"/>
      <c r="G34" s="276"/>
      <c r="H34" s="276"/>
      <c r="I34" s="276"/>
      <c r="J34" s="276"/>
      <c r="K34" s="276"/>
      <c r="L34" s="276"/>
      <c r="M34" s="276"/>
      <c r="N34" s="276"/>
      <c r="O34" s="277"/>
      <c r="P34" s="96"/>
    </row>
    <row r="35" spans="2:16" ht="15" thickBot="1">
      <c r="B35" s="97"/>
      <c r="C35" s="278"/>
      <c r="D35" s="279"/>
      <c r="E35" s="279"/>
      <c r="F35" s="279"/>
      <c r="G35" s="279"/>
      <c r="H35" s="279"/>
      <c r="I35" s="279"/>
      <c r="J35" s="279"/>
      <c r="K35" s="279"/>
      <c r="L35" s="279"/>
      <c r="M35" s="279"/>
      <c r="N35" s="279"/>
      <c r="O35" s="280"/>
      <c r="P35" s="96"/>
    </row>
    <row r="36" spans="2:16">
      <c r="B36" s="97"/>
      <c r="C36" s="297" t="s">
        <v>52</v>
      </c>
      <c r="D36" s="322"/>
      <c r="E36" s="322"/>
      <c r="F36" s="322"/>
      <c r="G36" s="322"/>
      <c r="H36" s="322"/>
      <c r="I36" s="322"/>
      <c r="J36" s="314"/>
      <c r="K36" s="127" t="s">
        <v>53</v>
      </c>
      <c r="L36" s="128" t="s">
        <v>10</v>
      </c>
      <c r="M36" s="300" t="s">
        <v>62</v>
      </c>
      <c r="N36" s="314"/>
      <c r="O36" s="129" t="s">
        <v>59</v>
      </c>
      <c r="P36" s="96"/>
    </row>
    <row r="37" spans="2:16">
      <c r="B37" s="97"/>
      <c r="C37" s="306"/>
      <c r="D37" s="307"/>
      <c r="E37" s="307"/>
      <c r="F37" s="307"/>
      <c r="G37" s="307"/>
      <c r="H37" s="307"/>
      <c r="I37" s="307"/>
      <c r="J37" s="308"/>
      <c r="K37" s="140"/>
      <c r="L37" s="141"/>
      <c r="M37" s="337"/>
      <c r="N37" s="338"/>
      <c r="O37" s="132"/>
      <c r="P37" s="96"/>
    </row>
    <row r="38" spans="2:16" ht="15" thickBot="1">
      <c r="B38" s="97"/>
      <c r="C38" s="316"/>
      <c r="D38" s="317"/>
      <c r="E38" s="317"/>
      <c r="F38" s="317"/>
      <c r="G38" s="317"/>
      <c r="H38" s="317"/>
      <c r="I38" s="317"/>
      <c r="J38" s="318"/>
      <c r="K38" s="134"/>
      <c r="L38" s="142"/>
      <c r="M38" s="327"/>
      <c r="N38" s="328"/>
      <c r="O38" s="143"/>
      <c r="P38" s="96"/>
    </row>
    <row r="39" spans="2:16" ht="15" thickBot="1">
      <c r="B39" s="97"/>
      <c r="C39" s="329" t="s">
        <v>60</v>
      </c>
      <c r="D39" s="330"/>
      <c r="E39" s="330"/>
      <c r="F39" s="330"/>
      <c r="G39" s="330"/>
      <c r="H39" s="330"/>
      <c r="I39" s="330"/>
      <c r="J39" s="330"/>
      <c r="K39" s="330"/>
      <c r="L39" s="330"/>
      <c r="M39" s="330"/>
      <c r="N39" s="331"/>
      <c r="O39" s="144">
        <v>0</v>
      </c>
      <c r="P39" s="96"/>
    </row>
    <row r="40" spans="2:16">
      <c r="B40" s="97"/>
      <c r="C40" s="272" t="s">
        <v>63</v>
      </c>
      <c r="D40" s="273"/>
      <c r="E40" s="273"/>
      <c r="F40" s="273"/>
      <c r="G40" s="273"/>
      <c r="H40" s="273"/>
      <c r="I40" s="273"/>
      <c r="J40" s="273"/>
      <c r="K40" s="273"/>
      <c r="L40" s="273"/>
      <c r="M40" s="273"/>
      <c r="N40" s="273"/>
      <c r="O40" s="274"/>
      <c r="P40" s="96"/>
    </row>
    <row r="41" spans="2:16">
      <c r="B41" s="97"/>
      <c r="C41" s="275"/>
      <c r="D41" s="276"/>
      <c r="E41" s="276"/>
      <c r="F41" s="276"/>
      <c r="G41" s="276"/>
      <c r="H41" s="276"/>
      <c r="I41" s="276"/>
      <c r="J41" s="276"/>
      <c r="K41" s="276"/>
      <c r="L41" s="276"/>
      <c r="M41" s="276"/>
      <c r="N41" s="276"/>
      <c r="O41" s="277"/>
      <c r="P41" s="96"/>
    </row>
    <row r="42" spans="2:16" ht="15" thickBot="1">
      <c r="B42" s="97"/>
      <c r="C42" s="278"/>
      <c r="D42" s="279"/>
      <c r="E42" s="279"/>
      <c r="F42" s="279"/>
      <c r="G42" s="279"/>
      <c r="H42" s="279"/>
      <c r="I42" s="279"/>
      <c r="J42" s="279"/>
      <c r="K42" s="279"/>
      <c r="L42" s="279"/>
      <c r="M42" s="279"/>
      <c r="N42" s="279"/>
      <c r="O42" s="280"/>
      <c r="P42" s="96"/>
    </row>
    <row r="43" spans="2:16" ht="15.75">
      <c r="B43" s="97"/>
      <c r="C43" s="297" t="s">
        <v>64</v>
      </c>
      <c r="D43" s="322"/>
      <c r="E43" s="322"/>
      <c r="F43" s="322"/>
      <c r="G43" s="322"/>
      <c r="H43" s="322"/>
      <c r="I43" s="322"/>
      <c r="J43" s="128" t="s">
        <v>65</v>
      </c>
      <c r="K43" s="139" t="s">
        <v>66</v>
      </c>
      <c r="L43" s="145" t="s">
        <v>67</v>
      </c>
      <c r="M43" s="300" t="s">
        <v>68</v>
      </c>
      <c r="N43" s="314"/>
      <c r="O43" s="129" t="s">
        <v>59</v>
      </c>
      <c r="P43" s="96"/>
    </row>
    <row r="44" spans="2:16">
      <c r="B44" s="97"/>
      <c r="C44" s="306"/>
      <c r="D44" s="307"/>
      <c r="E44" s="307"/>
      <c r="F44" s="307"/>
      <c r="G44" s="307"/>
      <c r="H44" s="307"/>
      <c r="I44" s="307"/>
      <c r="J44" s="146"/>
      <c r="K44" s="147"/>
      <c r="L44" s="146"/>
      <c r="M44" s="325"/>
      <c r="N44" s="326"/>
      <c r="O44" s="132"/>
      <c r="P44" s="96"/>
    </row>
    <row r="45" spans="2:16" ht="15" thickBot="1">
      <c r="B45" s="97"/>
      <c r="C45" s="316"/>
      <c r="D45" s="317"/>
      <c r="E45" s="317"/>
      <c r="F45" s="317"/>
      <c r="G45" s="317"/>
      <c r="H45" s="317"/>
      <c r="I45" s="317"/>
      <c r="J45" s="148"/>
      <c r="K45" s="149"/>
      <c r="L45" s="148"/>
      <c r="M45" s="327"/>
      <c r="N45" s="328"/>
      <c r="O45" s="150"/>
      <c r="P45" s="96"/>
    </row>
    <row r="46" spans="2:16" ht="15" thickBot="1">
      <c r="B46" s="97"/>
      <c r="C46" s="329" t="s">
        <v>60</v>
      </c>
      <c r="D46" s="330"/>
      <c r="E46" s="330"/>
      <c r="F46" s="330"/>
      <c r="G46" s="330"/>
      <c r="H46" s="330"/>
      <c r="I46" s="330"/>
      <c r="J46" s="330"/>
      <c r="K46" s="330"/>
      <c r="L46" s="330"/>
      <c r="M46" s="330"/>
      <c r="N46" s="331"/>
      <c r="O46" s="138"/>
      <c r="P46" s="96"/>
    </row>
    <row r="47" spans="2:16">
      <c r="B47" s="97"/>
      <c r="C47" s="272" t="s">
        <v>69</v>
      </c>
      <c r="D47" s="273"/>
      <c r="E47" s="273"/>
      <c r="F47" s="273"/>
      <c r="G47" s="273"/>
      <c r="H47" s="273"/>
      <c r="I47" s="273"/>
      <c r="J47" s="273"/>
      <c r="K47" s="273"/>
      <c r="L47" s="273"/>
      <c r="M47" s="273"/>
      <c r="N47" s="273"/>
      <c r="O47" s="274"/>
      <c r="P47" s="96"/>
    </row>
    <row r="48" spans="2:16">
      <c r="B48" s="97"/>
      <c r="C48" s="275"/>
      <c r="D48" s="276"/>
      <c r="E48" s="276"/>
      <c r="F48" s="276"/>
      <c r="G48" s="276"/>
      <c r="H48" s="276"/>
      <c r="I48" s="276"/>
      <c r="J48" s="276"/>
      <c r="K48" s="276"/>
      <c r="L48" s="276"/>
      <c r="M48" s="276"/>
      <c r="N48" s="276"/>
      <c r="O48" s="277"/>
      <c r="P48" s="96"/>
    </row>
    <row r="49" spans="2:16" ht="15" thickBot="1">
      <c r="B49" s="97"/>
      <c r="C49" s="278"/>
      <c r="D49" s="279"/>
      <c r="E49" s="279"/>
      <c r="F49" s="279"/>
      <c r="G49" s="279"/>
      <c r="H49" s="279"/>
      <c r="I49" s="279"/>
      <c r="J49" s="279"/>
      <c r="K49" s="279"/>
      <c r="L49" s="279"/>
      <c r="M49" s="279"/>
      <c r="N49" s="279"/>
      <c r="O49" s="280"/>
      <c r="P49" s="96"/>
    </row>
    <row r="50" spans="2:16" ht="31.5" customHeight="1">
      <c r="B50" s="97"/>
      <c r="C50" s="297" t="s">
        <v>70</v>
      </c>
      <c r="D50" s="322"/>
      <c r="E50" s="322"/>
      <c r="F50" s="322"/>
      <c r="G50" s="322"/>
      <c r="H50" s="322"/>
      <c r="I50" s="322"/>
      <c r="J50" s="128" t="s">
        <v>71</v>
      </c>
      <c r="K50" s="151" t="s">
        <v>72</v>
      </c>
      <c r="L50" s="152" t="s">
        <v>73</v>
      </c>
      <c r="M50" s="323" t="s">
        <v>58</v>
      </c>
      <c r="N50" s="324"/>
      <c r="O50" s="154" t="s">
        <v>59</v>
      </c>
      <c r="P50" s="96"/>
    </row>
    <row r="51" spans="2:16">
      <c r="B51" s="97"/>
      <c r="C51" s="155"/>
      <c r="D51" s="156"/>
      <c r="E51" s="156"/>
      <c r="F51" s="156"/>
      <c r="G51" s="156"/>
      <c r="H51" s="156"/>
      <c r="I51" s="156"/>
      <c r="J51" s="157"/>
      <c r="K51" s="158"/>
      <c r="L51" s="159"/>
      <c r="M51" s="332"/>
      <c r="N51" s="333"/>
      <c r="O51" s="160"/>
      <c r="P51" s="96"/>
    </row>
    <row r="52" spans="2:16">
      <c r="B52" s="97"/>
      <c r="C52" s="155"/>
      <c r="D52" s="156"/>
      <c r="E52" s="156"/>
      <c r="F52" s="156"/>
      <c r="G52" s="156"/>
      <c r="H52" s="156"/>
      <c r="I52" s="156"/>
      <c r="J52" s="157"/>
      <c r="K52" s="158"/>
      <c r="L52" s="159"/>
      <c r="M52" s="332"/>
      <c r="N52" s="333"/>
      <c r="O52" s="160"/>
      <c r="P52" s="96"/>
    </row>
    <row r="53" spans="2:16">
      <c r="B53" s="97"/>
      <c r="C53" s="155"/>
      <c r="D53" s="156"/>
      <c r="E53" s="156"/>
      <c r="F53" s="156"/>
      <c r="G53" s="156"/>
      <c r="H53" s="156"/>
      <c r="I53" s="156"/>
      <c r="J53" s="157"/>
      <c r="K53" s="158"/>
      <c r="L53" s="159"/>
      <c r="M53" s="325"/>
      <c r="N53" s="326"/>
      <c r="O53" s="160"/>
      <c r="P53" s="96"/>
    </row>
    <row r="54" spans="2:16" ht="15" thickBot="1">
      <c r="B54" s="97"/>
      <c r="C54" s="316"/>
      <c r="D54" s="317"/>
      <c r="E54" s="317"/>
      <c r="F54" s="317"/>
      <c r="G54" s="317"/>
      <c r="H54" s="317"/>
      <c r="I54" s="317"/>
      <c r="J54" s="148"/>
      <c r="K54" s="149"/>
      <c r="L54" s="148"/>
      <c r="M54" s="327"/>
      <c r="N54" s="328"/>
      <c r="O54" s="150"/>
      <c r="P54" s="96"/>
    </row>
    <row r="55" spans="2:16" ht="15" thickBot="1">
      <c r="B55" s="97"/>
      <c r="C55" s="329" t="s">
        <v>60</v>
      </c>
      <c r="D55" s="330"/>
      <c r="E55" s="330"/>
      <c r="F55" s="330"/>
      <c r="G55" s="330"/>
      <c r="H55" s="330"/>
      <c r="I55" s="330"/>
      <c r="J55" s="330"/>
      <c r="K55" s="330"/>
      <c r="L55" s="330"/>
      <c r="M55" s="330"/>
      <c r="N55" s="331"/>
      <c r="O55" s="144"/>
      <c r="P55" s="96"/>
    </row>
    <row r="56" spans="2:16" ht="15" thickBot="1">
      <c r="B56" s="97"/>
      <c r="C56" s="122"/>
      <c r="O56" s="123"/>
      <c r="P56" s="96"/>
    </row>
    <row r="57" spans="2:16" ht="15" thickBot="1">
      <c r="B57" s="97"/>
      <c r="C57" s="334" t="s">
        <v>74</v>
      </c>
      <c r="D57" s="335"/>
      <c r="E57" s="335"/>
      <c r="F57" s="335"/>
      <c r="G57" s="335"/>
      <c r="H57" s="335"/>
      <c r="I57" s="335"/>
      <c r="J57" s="335"/>
      <c r="K57" s="335"/>
      <c r="L57" s="335"/>
      <c r="M57" s="335"/>
      <c r="N57" s="336"/>
      <c r="O57" s="161"/>
      <c r="P57" s="96"/>
    </row>
    <row r="58" spans="2:16">
      <c r="B58" s="97"/>
      <c r="C58" s="272" t="s">
        <v>75</v>
      </c>
      <c r="D58" s="273"/>
      <c r="E58" s="273"/>
      <c r="F58" s="273"/>
      <c r="G58" s="273"/>
      <c r="H58" s="273"/>
      <c r="I58" s="273"/>
      <c r="J58" s="273"/>
      <c r="K58" s="273"/>
      <c r="L58" s="273"/>
      <c r="M58" s="273"/>
      <c r="N58" s="273"/>
      <c r="O58" s="274"/>
      <c r="P58" s="96"/>
    </row>
    <row r="59" spans="2:16">
      <c r="B59" s="97"/>
      <c r="C59" s="275"/>
      <c r="D59" s="276"/>
      <c r="E59" s="276"/>
      <c r="F59" s="276"/>
      <c r="G59" s="276"/>
      <c r="H59" s="276"/>
      <c r="I59" s="276"/>
      <c r="J59" s="276"/>
      <c r="K59" s="276"/>
      <c r="L59" s="276"/>
      <c r="M59" s="276"/>
      <c r="N59" s="276"/>
      <c r="O59" s="277"/>
      <c r="P59" s="96"/>
    </row>
    <row r="60" spans="2:16" ht="15" thickBot="1">
      <c r="B60" s="97"/>
      <c r="C60" s="278"/>
      <c r="D60" s="279"/>
      <c r="E60" s="279"/>
      <c r="F60" s="279"/>
      <c r="G60" s="279"/>
      <c r="H60" s="279"/>
      <c r="I60" s="279"/>
      <c r="J60" s="279"/>
      <c r="K60" s="279"/>
      <c r="L60" s="279"/>
      <c r="M60" s="279"/>
      <c r="N60" s="279"/>
      <c r="O60" s="280"/>
      <c r="P60" s="96"/>
    </row>
    <row r="61" spans="2:16" ht="28.5">
      <c r="B61" s="97"/>
      <c r="C61" s="297" t="s">
        <v>76</v>
      </c>
      <c r="D61" s="322"/>
      <c r="E61" s="322"/>
      <c r="F61" s="322"/>
      <c r="G61" s="322"/>
      <c r="H61" s="322"/>
      <c r="I61" s="322"/>
      <c r="J61" s="139"/>
      <c r="K61" s="153"/>
      <c r="L61" s="152" t="s">
        <v>77</v>
      </c>
      <c r="M61" s="323" t="s">
        <v>78</v>
      </c>
      <c r="N61" s="324"/>
      <c r="O61" s="154"/>
      <c r="P61" s="96"/>
    </row>
    <row r="62" spans="2:16">
      <c r="B62" s="97"/>
      <c r="C62" s="306" t="s">
        <v>22</v>
      </c>
      <c r="D62" s="307"/>
      <c r="E62" s="307"/>
      <c r="F62" s="307"/>
      <c r="G62" s="307"/>
      <c r="H62" s="307"/>
      <c r="I62" s="307"/>
      <c r="J62" s="162"/>
      <c r="K62" s="163"/>
      <c r="L62" s="164"/>
      <c r="M62" s="356"/>
      <c r="N62" s="357"/>
      <c r="O62" s="165"/>
      <c r="P62" s="96"/>
    </row>
    <row r="63" spans="2:16">
      <c r="B63" s="97"/>
      <c r="C63" s="133" t="s">
        <v>79</v>
      </c>
      <c r="D63" s="134"/>
      <c r="E63" s="134"/>
      <c r="F63" s="134"/>
      <c r="G63" s="134"/>
      <c r="H63" s="134"/>
      <c r="I63" s="134"/>
      <c r="J63" s="162"/>
      <c r="K63" s="163"/>
      <c r="L63" s="164"/>
      <c r="M63" s="356"/>
      <c r="N63" s="357"/>
      <c r="O63" s="165"/>
      <c r="P63" s="96"/>
    </row>
    <row r="64" spans="2:16" ht="15" thickBot="1">
      <c r="B64" s="97"/>
      <c r="C64" s="116" t="s">
        <v>80</v>
      </c>
      <c r="D64" s="117"/>
      <c r="E64" s="117"/>
      <c r="F64" s="117"/>
      <c r="G64" s="117"/>
      <c r="H64" s="117"/>
      <c r="I64" s="117"/>
      <c r="J64" s="166"/>
      <c r="K64" s="167"/>
      <c r="L64" s="164"/>
      <c r="M64" s="358"/>
      <c r="N64" s="359"/>
      <c r="O64" s="165"/>
      <c r="P64" s="96"/>
    </row>
    <row r="65" spans="2:16" ht="15" thickBot="1">
      <c r="B65" s="97"/>
      <c r="C65" s="329" t="s">
        <v>60</v>
      </c>
      <c r="D65" s="330"/>
      <c r="E65" s="330"/>
      <c r="F65" s="330"/>
      <c r="G65" s="330"/>
      <c r="H65" s="330"/>
      <c r="I65" s="330"/>
      <c r="J65" s="330"/>
      <c r="K65" s="330"/>
      <c r="L65" s="330"/>
      <c r="M65" s="330"/>
      <c r="N65" s="331"/>
      <c r="O65" s="168"/>
      <c r="P65" s="96"/>
    </row>
    <row r="66" spans="2:16" ht="15" thickBot="1">
      <c r="B66" s="97"/>
      <c r="C66" s="122"/>
      <c r="O66" s="123"/>
      <c r="P66" s="96"/>
    </row>
    <row r="67" spans="2:16" ht="15" thickBot="1">
      <c r="B67" s="97"/>
      <c r="C67" s="334" t="s">
        <v>81</v>
      </c>
      <c r="D67" s="335"/>
      <c r="E67" s="335"/>
      <c r="F67" s="335"/>
      <c r="G67" s="335"/>
      <c r="H67" s="335"/>
      <c r="I67" s="335"/>
      <c r="J67" s="335"/>
      <c r="K67" s="335"/>
      <c r="L67" s="335"/>
      <c r="M67" s="335"/>
      <c r="N67" s="336"/>
      <c r="O67" s="169"/>
      <c r="P67" s="96"/>
    </row>
    <row r="68" spans="2:16">
      <c r="B68" s="97"/>
      <c r="C68" s="119"/>
      <c r="D68" s="120"/>
      <c r="E68" s="120"/>
      <c r="F68" s="120"/>
      <c r="G68" s="120"/>
      <c r="H68" s="120"/>
      <c r="I68" s="120"/>
      <c r="J68" s="120"/>
      <c r="K68" s="120"/>
      <c r="L68" s="120"/>
      <c r="M68" s="120"/>
      <c r="N68" s="120"/>
      <c r="O68" s="121"/>
      <c r="P68" s="96"/>
    </row>
    <row r="69" spans="2:16">
      <c r="B69" s="97"/>
      <c r="C69" s="122"/>
      <c r="O69" s="123"/>
      <c r="P69" s="96"/>
    </row>
    <row r="70" spans="2:16">
      <c r="B70" s="97"/>
      <c r="C70" s="122"/>
      <c r="O70" s="123"/>
      <c r="P70" s="96"/>
    </row>
    <row r="71" spans="2:16">
      <c r="B71" s="97"/>
      <c r="C71" s="122"/>
      <c r="H71" s="170" t="s">
        <v>82</v>
      </c>
      <c r="I71" s="170"/>
      <c r="J71" s="170"/>
      <c r="K71" s="170"/>
      <c r="O71" s="123"/>
      <c r="P71" s="96"/>
    </row>
    <row r="72" spans="2:16">
      <c r="B72" s="97"/>
      <c r="C72" s="122"/>
      <c r="H72" s="170" t="s">
        <v>83</v>
      </c>
      <c r="O72" s="123"/>
      <c r="P72" s="96"/>
    </row>
    <row r="73" spans="2:16">
      <c r="B73" s="97"/>
      <c r="C73" s="122"/>
      <c r="H73" s="170" t="s">
        <v>84</v>
      </c>
      <c r="O73" s="123"/>
      <c r="P73" s="96"/>
    </row>
    <row r="74" spans="2:16">
      <c r="B74" s="97"/>
      <c r="C74" s="108"/>
      <c r="D74" s="171"/>
      <c r="E74" s="171"/>
      <c r="F74" s="171"/>
      <c r="G74" s="171"/>
      <c r="H74" s="170" t="s">
        <v>85</v>
      </c>
      <c r="I74" s="171"/>
      <c r="J74" s="171"/>
      <c r="K74" s="171"/>
      <c r="L74" s="171"/>
      <c r="M74" s="171"/>
      <c r="N74" s="171"/>
      <c r="O74" s="172"/>
      <c r="P74" s="96"/>
    </row>
    <row r="75" spans="2:16">
      <c r="B75" s="97"/>
      <c r="C75" s="122"/>
      <c r="H75" s="95" t="s">
        <v>86</v>
      </c>
      <c r="O75" s="123"/>
      <c r="P75" s="96"/>
    </row>
    <row r="76" spans="2:16">
      <c r="B76" s="97"/>
      <c r="C76" s="173" t="s">
        <v>87</v>
      </c>
      <c r="D76" s="130"/>
      <c r="E76" s="130"/>
      <c r="F76" s="130"/>
      <c r="G76" s="130"/>
      <c r="H76" s="130"/>
      <c r="I76" s="130"/>
      <c r="J76" s="130"/>
      <c r="K76" s="130"/>
      <c r="L76" s="130"/>
      <c r="M76" s="130"/>
      <c r="N76" s="130"/>
      <c r="O76" s="174"/>
      <c r="P76" s="96"/>
    </row>
    <row r="77" spans="2:16">
      <c r="B77" s="97"/>
      <c r="C77" s="353"/>
      <c r="D77" s="354"/>
      <c r="E77" s="354"/>
      <c r="F77" s="354"/>
      <c r="G77" s="354"/>
      <c r="H77" s="354"/>
      <c r="I77" s="354"/>
      <c r="J77" s="354"/>
      <c r="K77" s="354"/>
      <c r="L77" s="354"/>
      <c r="M77" s="354"/>
      <c r="N77" s="354"/>
      <c r="O77" s="355"/>
      <c r="P77" s="96"/>
    </row>
    <row r="78" spans="2:16">
      <c r="B78" s="97"/>
      <c r="C78" s="353"/>
      <c r="D78" s="354"/>
      <c r="E78" s="354"/>
      <c r="F78" s="354"/>
      <c r="G78" s="354"/>
      <c r="H78" s="354"/>
      <c r="I78" s="354"/>
      <c r="J78" s="354"/>
      <c r="K78" s="354"/>
      <c r="L78" s="354"/>
      <c r="M78" s="354"/>
      <c r="N78" s="354"/>
      <c r="O78" s="355"/>
      <c r="P78" s="96"/>
    </row>
    <row r="79" spans="2:16">
      <c r="B79" s="97"/>
      <c r="C79" s="108"/>
      <c r="D79" s="171"/>
      <c r="E79" s="171"/>
      <c r="F79" s="171"/>
      <c r="G79" s="171"/>
      <c r="H79" s="171"/>
      <c r="I79" s="171"/>
      <c r="J79" s="171"/>
      <c r="K79" s="171"/>
      <c r="L79" s="171"/>
      <c r="M79" s="171"/>
      <c r="N79" s="171"/>
      <c r="O79" s="172"/>
      <c r="P79" s="96"/>
    </row>
    <row r="80" spans="2:16">
      <c r="B80" s="97"/>
      <c r="C80" s="175" t="s">
        <v>88</v>
      </c>
      <c r="D80" s="171"/>
      <c r="E80" s="171"/>
      <c r="F80" s="171"/>
      <c r="G80" s="171"/>
      <c r="H80" s="171"/>
      <c r="I80" s="171"/>
      <c r="J80" s="171"/>
      <c r="K80" s="171"/>
      <c r="L80" s="171"/>
      <c r="M80" s="171"/>
      <c r="N80" s="171"/>
      <c r="O80" s="172"/>
      <c r="P80" s="96"/>
    </row>
    <row r="81" spans="2:16" ht="12.75" customHeight="1">
      <c r="B81" s="97"/>
      <c r="C81" s="350" t="s">
        <v>89</v>
      </c>
      <c r="D81" s="351"/>
      <c r="E81" s="351"/>
      <c r="F81" s="351"/>
      <c r="G81" s="351"/>
      <c r="H81" s="351"/>
      <c r="I81" s="351"/>
      <c r="J81" s="351"/>
      <c r="K81" s="351"/>
      <c r="L81" s="351"/>
      <c r="M81" s="351"/>
      <c r="N81" s="351"/>
      <c r="O81" s="352"/>
      <c r="P81" s="96"/>
    </row>
    <row r="82" spans="2:16">
      <c r="B82" s="97"/>
      <c r="C82" s="350"/>
      <c r="D82" s="351"/>
      <c r="E82" s="351"/>
      <c r="F82" s="351"/>
      <c r="G82" s="351"/>
      <c r="H82" s="351"/>
      <c r="I82" s="351"/>
      <c r="J82" s="351"/>
      <c r="K82" s="351"/>
      <c r="L82" s="351"/>
      <c r="M82" s="351"/>
      <c r="N82" s="351"/>
      <c r="O82" s="352"/>
      <c r="P82" s="96"/>
    </row>
    <row r="83" spans="2:16" ht="12.95" customHeight="1">
      <c r="B83" s="97"/>
      <c r="C83" s="350" t="s">
        <v>90</v>
      </c>
      <c r="D83" s="351"/>
      <c r="E83" s="351"/>
      <c r="F83" s="351"/>
      <c r="G83" s="351"/>
      <c r="H83" s="351"/>
      <c r="I83" s="351"/>
      <c r="J83" s="351"/>
      <c r="K83" s="351"/>
      <c r="L83" s="351"/>
      <c r="M83" s="351"/>
      <c r="N83" s="351"/>
      <c r="O83" s="352"/>
      <c r="P83" s="96"/>
    </row>
    <row r="84" spans="2:16">
      <c r="B84" s="97"/>
      <c r="C84" s="350"/>
      <c r="D84" s="351"/>
      <c r="E84" s="351"/>
      <c r="F84" s="351"/>
      <c r="G84" s="351"/>
      <c r="H84" s="351"/>
      <c r="I84" s="351"/>
      <c r="J84" s="351"/>
      <c r="K84" s="351"/>
      <c r="L84" s="351"/>
      <c r="M84" s="351"/>
      <c r="N84" s="351"/>
      <c r="O84" s="352"/>
      <c r="P84" s="96"/>
    </row>
    <row r="85" spans="2:16">
      <c r="B85" s="97"/>
      <c r="C85" s="108"/>
      <c r="D85" s="171"/>
      <c r="E85" s="171"/>
      <c r="F85" s="171"/>
      <c r="G85" s="171"/>
      <c r="H85" s="171"/>
      <c r="I85" s="171"/>
      <c r="J85" s="171"/>
      <c r="K85" s="171"/>
      <c r="L85" s="171"/>
      <c r="M85" s="171"/>
      <c r="N85" s="171"/>
      <c r="O85" s="172"/>
      <c r="P85" s="96"/>
    </row>
    <row r="86" spans="2:16">
      <c r="B86" s="97"/>
      <c r="C86" s="122"/>
      <c r="H86" s="170" t="s">
        <v>82</v>
      </c>
      <c r="O86" s="123"/>
      <c r="P86" s="96"/>
    </row>
    <row r="87" spans="2:16">
      <c r="B87" s="97"/>
      <c r="C87" s="122"/>
      <c r="H87" s="95" t="s">
        <v>83</v>
      </c>
      <c r="I87" s="134"/>
      <c r="J87" s="134"/>
      <c r="K87" s="134"/>
      <c r="O87" s="123"/>
      <c r="P87" s="96"/>
    </row>
    <row r="88" spans="2:16">
      <c r="B88" s="97"/>
      <c r="C88" s="122"/>
      <c r="H88" s="95" t="s">
        <v>91</v>
      </c>
      <c r="I88" s="176"/>
      <c r="J88" s="176"/>
      <c r="K88" s="176"/>
      <c r="O88" s="123"/>
      <c r="P88" s="96"/>
    </row>
    <row r="89" spans="2:16">
      <c r="B89" s="97"/>
      <c r="C89" s="177"/>
      <c r="D89" s="171"/>
      <c r="E89" s="171"/>
      <c r="F89" s="171"/>
      <c r="G89" s="171"/>
      <c r="H89" s="95" t="s">
        <v>85</v>
      </c>
      <c r="L89" s="171"/>
      <c r="M89" s="171"/>
      <c r="N89" s="171"/>
      <c r="O89" s="172"/>
      <c r="P89" s="96"/>
    </row>
    <row r="90" spans="2:16" ht="17.25" customHeight="1">
      <c r="B90" s="97"/>
      <c r="C90" s="177"/>
      <c r="D90" s="176"/>
      <c r="E90" s="176"/>
      <c r="K90" s="342"/>
      <c r="L90" s="342"/>
      <c r="M90" s="342"/>
      <c r="N90" s="342"/>
      <c r="O90" s="343"/>
      <c r="P90" s="96"/>
    </row>
    <row r="91" spans="2:16" ht="18.75" customHeight="1" thickBot="1">
      <c r="B91" s="97"/>
      <c r="C91" s="346"/>
      <c r="D91" s="347"/>
      <c r="E91" s="347"/>
      <c r="F91" s="149"/>
      <c r="G91" s="149"/>
      <c r="H91" s="149"/>
      <c r="I91" s="149"/>
      <c r="J91" s="149"/>
      <c r="K91" s="344"/>
      <c r="L91" s="344"/>
      <c r="M91" s="344"/>
      <c r="N91" s="344"/>
      <c r="O91" s="345"/>
      <c r="P91" s="96"/>
    </row>
    <row r="92" spans="2:16" ht="15" thickBot="1">
      <c r="B92" s="178"/>
      <c r="C92" s="179"/>
      <c r="D92" s="179"/>
      <c r="E92" s="179"/>
      <c r="F92" s="179"/>
      <c r="G92" s="179"/>
      <c r="H92" s="179"/>
      <c r="I92" s="179"/>
      <c r="J92" s="179"/>
      <c r="K92" s="179"/>
      <c r="L92" s="179"/>
      <c r="M92" s="179"/>
      <c r="N92" s="179"/>
      <c r="O92" s="179"/>
      <c r="P92" s="180"/>
    </row>
    <row r="93" spans="2:16" ht="15"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cucunuba 29</cp:lastModifiedBy>
  <cp:revision/>
  <dcterms:created xsi:type="dcterms:W3CDTF">2006-06-27T16:47:25Z</dcterms:created>
  <dcterms:modified xsi:type="dcterms:W3CDTF">2026-09-26T21:47:46Z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