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mc:AlternateContent xmlns:mc="http://schemas.openxmlformats.org/markup-compatibility/2006">
    <mc:Choice Requires="x15">
      <x15ac:absPath xmlns:x15ac="http://schemas.microsoft.com/office/spreadsheetml/2010/11/ac" url="C:\Users\SEBASTIAN\Downloads\"/>
    </mc:Choice>
  </mc:AlternateContent>
  <xr:revisionPtr revIDLastSave="0" documentId="13_ncr:1_{E3D148CD-1280-4A2C-A92A-333FB69B9CE1}" xr6:coauthVersionLast="46" xr6:coauthVersionMax="46" xr10:uidLastSave="{00000000-0000-0000-0000-000000000000}"/>
  <bookViews>
    <workbookView xWindow="-120" yWindow="-120" windowWidth="20730" windowHeight="11040" tabRatio="685" xr2:uid="{00000000-000D-0000-FFFF-FFFF00000000}"/>
  </bookViews>
  <sheets>
    <sheet name="ANALISIS COTIZACIONES" sheetId="27" r:id="rId1"/>
    <sheet name="PRECIOS VIRTUALES ESTIMADOS" sheetId="29" r:id="rId2"/>
    <sheet name="Papa china Charco" sheetId="2" r:id="rId3"/>
    <sheet name="Papa china Magui" sheetId="8" r:id="rId4"/>
    <sheet name="Coco" sheetId="3" r:id="rId5"/>
    <sheet name="Plátano La Tola" sheetId="4" r:id="rId6"/>
    <sheet name="Plátano Olaya Herrera" sheetId="11" r:id="rId7"/>
    <sheet name="Camarón" sheetId="5" r:id="rId8"/>
    <sheet name="Tilapia" sheetId="6" r:id="rId9"/>
    <sheet name="VERIFICACIÓN CANTIDADES" sheetId="26" r:id="rId10"/>
    <sheet name="Unificado" sheetId="7" r:id="rId11"/>
    <sheet name="INFO GENERAL" sheetId="1" r:id="rId12"/>
    <sheet name="CAP FINAN Y ORG" sheetId="28" r:id="rId13"/>
  </sheets>
  <definedNames>
    <definedName name="_xlnm._FilterDatabase" localSheetId="0" hidden="1">'ANALISIS COTIZACIONES'!$A$3:$L$55</definedName>
    <definedName name="_xlnm._FilterDatabase" localSheetId="8" hidden="1">Tilapia!$D$8:$H$29</definedName>
    <definedName name="_xlnm._FilterDatabase" localSheetId="10" hidden="1">Unificado!$A$1:$H$86</definedName>
    <definedName name="_xlnm._FilterDatabase" localSheetId="9" hidden="1">'VERIFICACIÓN CANTIDADES'!$A$2:$F$48</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3" i="7" l="1"/>
  <c r="A4" i="7"/>
  <c r="A5" i="7"/>
  <c r="A6" i="7"/>
  <c r="A7" i="7"/>
  <c r="A8" i="7"/>
  <c r="A9" i="7"/>
  <c r="A10" i="7"/>
  <c r="A11" i="7"/>
  <c r="D25" i="6" l="1"/>
  <c r="D37" i="28"/>
  <c r="C42" i="28" s="1"/>
  <c r="E37" i="28"/>
  <c r="D42" i="28" s="1"/>
  <c r="G37" i="28"/>
  <c r="F42" i="28" s="1"/>
  <c r="M37" i="28"/>
  <c r="N37" i="28"/>
  <c r="N42" i="28" s="1"/>
  <c r="E42" i="28"/>
  <c r="M42" i="28"/>
  <c r="C45" i="28"/>
  <c r="D45" i="28"/>
  <c r="E45" i="28"/>
  <c r="F45" i="28"/>
  <c r="M45" i="28"/>
  <c r="N45" i="28"/>
  <c r="C46" i="28"/>
  <c r="D46" i="28"/>
  <c r="E46" i="28"/>
  <c r="F46" i="28"/>
  <c r="M46" i="28"/>
  <c r="N46" i="28"/>
  <c r="K4" i="27"/>
  <c r="L4" i="27" s="1"/>
  <c r="M4" i="27"/>
  <c r="O4" i="27" s="1"/>
  <c r="N4" i="27"/>
  <c r="P4" i="27" s="1"/>
  <c r="R4" i="27"/>
  <c r="S4" i="27"/>
  <c r="T4" i="27"/>
  <c r="K5" i="27"/>
  <c r="L5" i="27" s="1"/>
  <c r="M5" i="27"/>
  <c r="O5" i="27" s="1"/>
  <c r="N5" i="27"/>
  <c r="P5" i="27" s="1"/>
  <c r="R5" i="27"/>
  <c r="S5" i="27"/>
  <c r="T5" i="27"/>
  <c r="K6" i="27"/>
  <c r="L6" i="27" s="1"/>
  <c r="M6" i="27"/>
  <c r="N6" i="27"/>
  <c r="P6" i="27" s="1"/>
  <c r="R6" i="27"/>
  <c r="S6" i="27"/>
  <c r="T6" i="27"/>
  <c r="K7" i="27"/>
  <c r="L7" i="27" s="1"/>
  <c r="M7" i="27"/>
  <c r="N7" i="27"/>
  <c r="P7" i="27"/>
  <c r="R7" i="27"/>
  <c r="S7" i="27"/>
  <c r="T7" i="27"/>
  <c r="K8" i="27"/>
  <c r="F22" i="5" s="1"/>
  <c r="G22" i="5" s="1"/>
  <c r="M8" i="27"/>
  <c r="N8" i="27"/>
  <c r="P8" i="27" s="1"/>
  <c r="R8" i="27"/>
  <c r="S8" i="27"/>
  <c r="T8" i="27"/>
  <c r="K9" i="27"/>
  <c r="G19" i="6" s="1"/>
  <c r="H19" i="6" s="1"/>
  <c r="M9" i="27"/>
  <c r="N9" i="27"/>
  <c r="R9" i="27"/>
  <c r="S9" i="27"/>
  <c r="T9" i="27"/>
  <c r="K10" i="27"/>
  <c r="L10" i="27" s="1"/>
  <c r="M10" i="27"/>
  <c r="O10" i="27" s="1"/>
  <c r="N10" i="27"/>
  <c r="P10" i="27" s="1"/>
  <c r="R10" i="27"/>
  <c r="S10" i="27"/>
  <c r="T10" i="27"/>
  <c r="K11" i="27"/>
  <c r="G20" i="6" s="1"/>
  <c r="H20" i="6" s="1"/>
  <c r="M11" i="27"/>
  <c r="N11" i="27"/>
  <c r="R11" i="27"/>
  <c r="S11" i="27"/>
  <c r="T11" i="27"/>
  <c r="K12" i="27"/>
  <c r="F14" i="5" s="1"/>
  <c r="G14" i="5" s="1"/>
  <c r="L12" i="27"/>
  <c r="M12" i="27"/>
  <c r="N12" i="27"/>
  <c r="P12" i="27" s="1"/>
  <c r="R12" i="27"/>
  <c r="S12" i="27"/>
  <c r="T12" i="27"/>
  <c r="K13" i="27"/>
  <c r="O13" i="27" s="1"/>
  <c r="L13" i="27"/>
  <c r="M13" i="27"/>
  <c r="N13" i="27"/>
  <c r="P13" i="27" s="1"/>
  <c r="R13" i="27"/>
  <c r="S13" i="27"/>
  <c r="T13" i="27"/>
  <c r="K14" i="27"/>
  <c r="L14" i="27" s="1"/>
  <c r="M14" i="27"/>
  <c r="N14" i="27"/>
  <c r="R14" i="27"/>
  <c r="S14" i="27"/>
  <c r="T14" i="27"/>
  <c r="K15" i="27"/>
  <c r="L15" i="27" s="1"/>
  <c r="M15" i="27"/>
  <c r="O15" i="27" s="1"/>
  <c r="N15" i="27"/>
  <c r="R15" i="27"/>
  <c r="S15" i="27"/>
  <c r="T15" i="27"/>
  <c r="K16" i="27"/>
  <c r="F19" i="3" s="1"/>
  <c r="G19" i="3" s="1"/>
  <c r="L16" i="27"/>
  <c r="M16" i="27"/>
  <c r="O16" i="27" s="1"/>
  <c r="N16" i="27"/>
  <c r="P16" i="27" s="1"/>
  <c r="R16" i="27"/>
  <c r="S16" i="27"/>
  <c r="T16" i="27"/>
  <c r="K17" i="27"/>
  <c r="L17" i="27"/>
  <c r="M17" i="27"/>
  <c r="N17" i="27"/>
  <c r="P17" i="27" s="1"/>
  <c r="R17" i="27"/>
  <c r="S17" i="27"/>
  <c r="T17" i="27"/>
  <c r="K18" i="27"/>
  <c r="G25" i="6" s="1"/>
  <c r="H25" i="6" s="1"/>
  <c r="M18" i="27"/>
  <c r="N18" i="27"/>
  <c r="P18" i="27" s="1"/>
  <c r="R18" i="27"/>
  <c r="S18" i="27"/>
  <c r="T18" i="27"/>
  <c r="K19" i="27"/>
  <c r="F16" i="8" s="1"/>
  <c r="G16" i="8" s="1"/>
  <c r="M19" i="27"/>
  <c r="O19" i="27" s="1"/>
  <c r="N19" i="27"/>
  <c r="P19" i="27" s="1"/>
  <c r="R19" i="27"/>
  <c r="S19" i="27"/>
  <c r="T19" i="27"/>
  <c r="K20" i="27"/>
  <c r="G15" i="6" s="1"/>
  <c r="H15" i="6" s="1"/>
  <c r="M20" i="27"/>
  <c r="N20" i="27"/>
  <c r="P20" i="27"/>
  <c r="R20" i="27"/>
  <c r="S20" i="27"/>
  <c r="T20" i="27"/>
  <c r="K21" i="27"/>
  <c r="L21" i="27" s="1"/>
  <c r="M21" i="27"/>
  <c r="N21" i="27"/>
  <c r="O21" i="27"/>
  <c r="P21" i="27"/>
  <c r="R21" i="27"/>
  <c r="S21" i="27"/>
  <c r="T21" i="27"/>
  <c r="K22" i="27"/>
  <c r="L22" i="27" s="1"/>
  <c r="M22" i="27"/>
  <c r="N22" i="27"/>
  <c r="P22" i="27" s="1"/>
  <c r="O22" i="27"/>
  <c r="R22" i="27"/>
  <c r="S22" i="27"/>
  <c r="T22" i="27"/>
  <c r="K23" i="27"/>
  <c r="F18" i="3" s="1"/>
  <c r="G18" i="3" s="1"/>
  <c r="M23" i="27"/>
  <c r="N23" i="27"/>
  <c r="P23" i="27" s="1"/>
  <c r="R23" i="27"/>
  <c r="S23" i="27"/>
  <c r="T23" i="27"/>
  <c r="K24" i="27"/>
  <c r="G28" i="6" s="1"/>
  <c r="H28" i="6" s="1"/>
  <c r="L24" i="27"/>
  <c r="M24" i="27"/>
  <c r="O24" i="27" s="1"/>
  <c r="N24" i="27"/>
  <c r="P24" i="27" s="1"/>
  <c r="R24" i="27"/>
  <c r="S24" i="27"/>
  <c r="T24" i="27"/>
  <c r="K25" i="27"/>
  <c r="L25" i="27"/>
  <c r="M25" i="27"/>
  <c r="N25" i="27"/>
  <c r="P25" i="27" s="1"/>
  <c r="R25" i="27"/>
  <c r="S25" i="27"/>
  <c r="T25" i="27"/>
  <c r="K26" i="27"/>
  <c r="M26" i="27"/>
  <c r="N26" i="27"/>
  <c r="P26" i="27" s="1"/>
  <c r="R26" i="27"/>
  <c r="S26" i="27"/>
  <c r="T26" i="27"/>
  <c r="K27" i="27"/>
  <c r="G17" i="6" s="1"/>
  <c r="H17" i="6" s="1"/>
  <c r="L27" i="27"/>
  <c r="M27" i="27"/>
  <c r="N27" i="27"/>
  <c r="R27" i="27"/>
  <c r="S27" i="27"/>
  <c r="T27" i="27"/>
  <c r="K28" i="27"/>
  <c r="P28" i="27" s="1"/>
  <c r="M28" i="27"/>
  <c r="O28" i="27" s="1"/>
  <c r="N28" i="27"/>
  <c r="R28" i="27"/>
  <c r="S28" i="27"/>
  <c r="T28" i="27"/>
  <c r="K29" i="27"/>
  <c r="F14" i="11" s="1"/>
  <c r="G14" i="11" s="1"/>
  <c r="M29" i="27"/>
  <c r="O29" i="27" s="1"/>
  <c r="N29" i="27"/>
  <c r="R29" i="27"/>
  <c r="S29" i="27"/>
  <c r="T29" i="27"/>
  <c r="H30" i="27"/>
  <c r="I30" i="27"/>
  <c r="J30" i="27"/>
  <c r="K35" i="27"/>
  <c r="F9" i="2" s="1"/>
  <c r="L35" i="27"/>
  <c r="M35" i="27"/>
  <c r="O35" i="27" s="1"/>
  <c r="N35" i="27"/>
  <c r="R35" i="27"/>
  <c r="S35" i="27"/>
  <c r="T35" i="27"/>
  <c r="K36" i="27"/>
  <c r="G9" i="6" s="1"/>
  <c r="L36" i="27"/>
  <c r="M36" i="27"/>
  <c r="O36" i="27" s="1"/>
  <c r="N36" i="27"/>
  <c r="P36" i="27" s="1"/>
  <c r="R36" i="27"/>
  <c r="S36" i="27"/>
  <c r="T36" i="27"/>
  <c r="K37" i="27"/>
  <c r="L37" i="27"/>
  <c r="M37" i="27"/>
  <c r="O37" i="27" s="1"/>
  <c r="N37" i="27"/>
  <c r="P37" i="27"/>
  <c r="R37" i="27"/>
  <c r="S37" i="27"/>
  <c r="T37" i="27"/>
  <c r="K38" i="27"/>
  <c r="L38" i="27" s="1"/>
  <c r="M38" i="27"/>
  <c r="O38" i="27" s="1"/>
  <c r="N38" i="27"/>
  <c r="P38" i="27" s="1"/>
  <c r="R38" i="27"/>
  <c r="S38" i="27"/>
  <c r="T38" i="27"/>
  <c r="K39" i="27"/>
  <c r="G13" i="6" s="1"/>
  <c r="H13" i="6" s="1"/>
  <c r="L39" i="27"/>
  <c r="M39" i="27"/>
  <c r="O39" i="27" s="1"/>
  <c r="N39" i="27"/>
  <c r="P39" i="27" s="1"/>
  <c r="R39" i="27"/>
  <c r="S39" i="27"/>
  <c r="T39" i="27"/>
  <c r="K40" i="27"/>
  <c r="G12" i="6" s="1"/>
  <c r="H12" i="6" s="1"/>
  <c r="M40" i="27"/>
  <c r="N40" i="27"/>
  <c r="P40" i="27" s="1"/>
  <c r="R40" i="27"/>
  <c r="S40" i="27"/>
  <c r="T40" i="27"/>
  <c r="K41" i="27"/>
  <c r="O41" i="27" s="1"/>
  <c r="M41" i="27"/>
  <c r="N41" i="27"/>
  <c r="P41" i="27" s="1"/>
  <c r="R41" i="27"/>
  <c r="S41" i="27"/>
  <c r="T41" i="27"/>
  <c r="K42" i="27"/>
  <c r="L42" i="27" s="1"/>
  <c r="M42" i="27"/>
  <c r="N42" i="27"/>
  <c r="R42" i="27"/>
  <c r="S42" i="27"/>
  <c r="T42" i="27"/>
  <c r="K43" i="27"/>
  <c r="F9" i="3" s="1"/>
  <c r="M43" i="27"/>
  <c r="O43" i="27" s="1"/>
  <c r="N43" i="27"/>
  <c r="R43" i="27"/>
  <c r="S43" i="27"/>
  <c r="T43" i="27"/>
  <c r="K44" i="27"/>
  <c r="L44" i="27"/>
  <c r="M44" i="27"/>
  <c r="O44" i="27" s="1"/>
  <c r="N44" i="27"/>
  <c r="P44" i="27" s="1"/>
  <c r="R44" i="27"/>
  <c r="S44" i="27"/>
  <c r="T44" i="27"/>
  <c r="K45" i="27"/>
  <c r="F9" i="4" s="1"/>
  <c r="G9" i="4" s="1"/>
  <c r="L45" i="27"/>
  <c r="M45" i="27"/>
  <c r="O45" i="27" s="1"/>
  <c r="N45" i="27"/>
  <c r="P45" i="27" s="1"/>
  <c r="R45" i="27"/>
  <c r="S45" i="27"/>
  <c r="T45" i="27"/>
  <c r="K46" i="27"/>
  <c r="L46" i="27" s="1"/>
  <c r="M46" i="27"/>
  <c r="O46" i="27" s="1"/>
  <c r="N46" i="27"/>
  <c r="P46" i="27" s="1"/>
  <c r="R46" i="27"/>
  <c r="S46" i="27"/>
  <c r="T46" i="27"/>
  <c r="K47" i="27"/>
  <c r="F10" i="2" s="1"/>
  <c r="G10" i="2" s="1"/>
  <c r="L47" i="27"/>
  <c r="M47" i="27"/>
  <c r="O47" i="27" s="1"/>
  <c r="N47" i="27"/>
  <c r="P47" i="27" s="1"/>
  <c r="R47" i="27"/>
  <c r="S47" i="27"/>
  <c r="T47" i="27"/>
  <c r="K48" i="27"/>
  <c r="F11" i="3" s="1"/>
  <c r="G11" i="3" s="1"/>
  <c r="M48" i="27"/>
  <c r="O48" i="27" s="1"/>
  <c r="N48" i="27"/>
  <c r="P48" i="27"/>
  <c r="R48" i="27"/>
  <c r="S48" i="27"/>
  <c r="T48" i="27"/>
  <c r="K49" i="27"/>
  <c r="F8" i="4" s="1"/>
  <c r="M49" i="27"/>
  <c r="N49" i="27"/>
  <c r="P49" i="27"/>
  <c r="R49" i="27"/>
  <c r="S49" i="27"/>
  <c r="T49" i="27"/>
  <c r="K50" i="27"/>
  <c r="O50" i="27" s="1"/>
  <c r="M50" i="27"/>
  <c r="N50" i="27"/>
  <c r="P50" i="27" s="1"/>
  <c r="R50" i="27"/>
  <c r="S50" i="27"/>
  <c r="T50" i="27"/>
  <c r="K51" i="27"/>
  <c r="F17" i="5" s="1"/>
  <c r="G17" i="5" s="1"/>
  <c r="L51" i="27"/>
  <c r="M51" i="27"/>
  <c r="O51" i="27" s="1"/>
  <c r="N51" i="27"/>
  <c r="R51" i="27"/>
  <c r="S51" i="27"/>
  <c r="T51" i="27"/>
  <c r="K52" i="27"/>
  <c r="F12" i="3" s="1"/>
  <c r="G12" i="3" s="1"/>
  <c r="L52" i="27"/>
  <c r="M52" i="27"/>
  <c r="O52" i="27" s="1"/>
  <c r="N52" i="27"/>
  <c r="P52" i="27" s="1"/>
  <c r="R52" i="27"/>
  <c r="S52" i="27"/>
  <c r="T52" i="27"/>
  <c r="K53" i="27"/>
  <c r="F13" i="3" s="1"/>
  <c r="G13" i="3" s="1"/>
  <c r="L53" i="27"/>
  <c r="M53" i="27"/>
  <c r="O53" i="27" s="1"/>
  <c r="N53" i="27"/>
  <c r="P53" i="27"/>
  <c r="R53" i="27"/>
  <c r="S53" i="27"/>
  <c r="T53" i="27"/>
  <c r="K54" i="27"/>
  <c r="L54" i="27" s="1"/>
  <c r="M54" i="27"/>
  <c r="O54" i="27" s="1"/>
  <c r="N54" i="27"/>
  <c r="P54" i="27" s="1"/>
  <c r="R54" i="27"/>
  <c r="S54" i="27"/>
  <c r="T54" i="27"/>
  <c r="K55" i="27"/>
  <c r="F14" i="3" s="1"/>
  <c r="G14" i="3" s="1"/>
  <c r="L55" i="27"/>
  <c r="M55" i="27"/>
  <c r="O55" i="27" s="1"/>
  <c r="N55" i="27"/>
  <c r="P55" i="27" s="1"/>
  <c r="R55" i="27"/>
  <c r="S55" i="27"/>
  <c r="T55" i="27"/>
  <c r="H56" i="27"/>
  <c r="I56" i="27"/>
  <c r="J56" i="27"/>
  <c r="E62" i="27"/>
  <c r="E63" i="27"/>
  <c r="E9" i="6"/>
  <c r="E10" i="6"/>
  <c r="E11" i="6"/>
  <c r="E12" i="6"/>
  <c r="E13" i="6"/>
  <c r="E14" i="6"/>
  <c r="E15" i="6"/>
  <c r="E16" i="6"/>
  <c r="E17" i="6"/>
  <c r="E18" i="6"/>
  <c r="E19" i="6"/>
  <c r="E20" i="6"/>
  <c r="E21" i="6"/>
  <c r="E22" i="6"/>
  <c r="E23" i="6"/>
  <c r="E24" i="6"/>
  <c r="E25" i="6"/>
  <c r="E26" i="6"/>
  <c r="E27" i="6"/>
  <c r="E28" i="6"/>
  <c r="D28" i="6"/>
  <c r="D27" i="6"/>
  <c r="D26" i="6"/>
  <c r="D24" i="6"/>
  <c r="D23" i="6"/>
  <c r="D22" i="6"/>
  <c r="D21" i="6"/>
  <c r="D20" i="6"/>
  <c r="D19" i="6"/>
  <c r="D18" i="6"/>
  <c r="D17" i="6"/>
  <c r="D16" i="6"/>
  <c r="D15" i="6"/>
  <c r="D14" i="6"/>
  <c r="D13" i="6"/>
  <c r="D12" i="6"/>
  <c r="D11" i="6"/>
  <c r="D10" i="6"/>
  <c r="D9" i="6"/>
  <c r="D10" i="5"/>
  <c r="D11" i="5"/>
  <c r="D12" i="5"/>
  <c r="D13" i="5"/>
  <c r="D14" i="5"/>
  <c r="D15" i="5"/>
  <c r="D16" i="5"/>
  <c r="D17" i="5"/>
  <c r="D18" i="5"/>
  <c r="D19" i="5"/>
  <c r="D20" i="5"/>
  <c r="D21" i="5"/>
  <c r="D22" i="5"/>
  <c r="C22" i="5"/>
  <c r="C21" i="5"/>
  <c r="C20" i="5"/>
  <c r="C19" i="5"/>
  <c r="C18" i="5"/>
  <c r="C17" i="5"/>
  <c r="C16" i="5"/>
  <c r="C15" i="5"/>
  <c r="C14" i="5"/>
  <c r="C13" i="5"/>
  <c r="C12" i="5"/>
  <c r="C11" i="5"/>
  <c r="C10" i="5"/>
  <c r="D8" i="11"/>
  <c r="D9" i="11"/>
  <c r="D10" i="11"/>
  <c r="D11" i="11"/>
  <c r="D12" i="11"/>
  <c r="D13" i="11"/>
  <c r="D14" i="11"/>
  <c r="D15" i="11"/>
  <c r="D16" i="11"/>
  <c r="D17" i="11"/>
  <c r="C17" i="11"/>
  <c r="C16" i="11"/>
  <c r="C15" i="11"/>
  <c r="C14" i="11"/>
  <c r="C13" i="11"/>
  <c r="C12" i="11"/>
  <c r="C11" i="11"/>
  <c r="C10" i="11"/>
  <c r="C9" i="11"/>
  <c r="C8" i="11"/>
  <c r="D8" i="4"/>
  <c r="D9" i="4"/>
  <c r="D10" i="4"/>
  <c r="D11" i="4"/>
  <c r="D12" i="4"/>
  <c r="D13" i="4"/>
  <c r="D14" i="4"/>
  <c r="D15" i="4"/>
  <c r="D16" i="4"/>
  <c r="D17" i="4"/>
  <c r="C17" i="4"/>
  <c r="C16" i="4"/>
  <c r="C15" i="4"/>
  <c r="C14" i="4"/>
  <c r="C13" i="4"/>
  <c r="C12" i="4"/>
  <c r="C11" i="4"/>
  <c r="C10" i="4"/>
  <c r="C9" i="4"/>
  <c r="C8" i="4"/>
  <c r="D33" i="7" s="1"/>
  <c r="D9" i="3"/>
  <c r="E22" i="7" s="1"/>
  <c r="D10" i="3"/>
  <c r="D11" i="3"/>
  <c r="D12" i="3"/>
  <c r="D13" i="3"/>
  <c r="D14" i="3"/>
  <c r="D15" i="3"/>
  <c r="D16" i="3"/>
  <c r="D17" i="3"/>
  <c r="D18" i="3"/>
  <c r="D19" i="3"/>
  <c r="C19" i="3"/>
  <c r="C18" i="3"/>
  <c r="C17" i="3"/>
  <c r="C16" i="3"/>
  <c r="C15" i="3"/>
  <c r="C14" i="3"/>
  <c r="C13" i="3"/>
  <c r="C12" i="3"/>
  <c r="C11" i="3"/>
  <c r="C10" i="3"/>
  <c r="C9" i="3"/>
  <c r="D9" i="8"/>
  <c r="D10" i="8"/>
  <c r="D11" i="8"/>
  <c r="D12" i="8"/>
  <c r="D13" i="8"/>
  <c r="D14" i="8"/>
  <c r="D15" i="8"/>
  <c r="D16" i="8"/>
  <c r="D17" i="8"/>
  <c r="D18" i="8"/>
  <c r="C18" i="8"/>
  <c r="C17" i="8"/>
  <c r="C16" i="8"/>
  <c r="C15" i="8"/>
  <c r="C14" i="8"/>
  <c r="C13" i="8"/>
  <c r="C12" i="8"/>
  <c r="C11" i="8"/>
  <c r="C10" i="8"/>
  <c r="C9" i="8"/>
  <c r="D9" i="2"/>
  <c r="D10" i="2"/>
  <c r="D11" i="2"/>
  <c r="D12" i="2"/>
  <c r="D13" i="2"/>
  <c r="D14" i="2"/>
  <c r="D15" i="2"/>
  <c r="D16" i="2"/>
  <c r="D17" i="2"/>
  <c r="D18" i="2"/>
  <c r="C18" i="2"/>
  <c r="C17" i="2"/>
  <c r="C16" i="2"/>
  <c r="C15" i="2"/>
  <c r="C14" i="2"/>
  <c r="C13" i="2"/>
  <c r="C12" i="2"/>
  <c r="C11" i="2"/>
  <c r="C10" i="2"/>
  <c r="F6" i="7"/>
  <c r="G9" i="2" l="1"/>
  <c r="H9" i="6"/>
  <c r="G8" i="4"/>
  <c r="G9" i="3"/>
  <c r="G20" i="3" s="1"/>
  <c r="D94" i="7" s="1"/>
  <c r="F20" i="3"/>
  <c r="P43" i="27"/>
  <c r="L41" i="27"/>
  <c r="L40" i="27"/>
  <c r="K56" i="27"/>
  <c r="O27" i="27"/>
  <c r="O26" i="27"/>
  <c r="O25" i="27"/>
  <c r="P15" i="27"/>
  <c r="O12" i="27"/>
  <c r="L11" i="27"/>
  <c r="F11" i="2"/>
  <c r="G11" i="2" s="1"/>
  <c r="F17" i="8"/>
  <c r="G17" i="8" s="1"/>
  <c r="F12" i="4"/>
  <c r="G12" i="4" s="1"/>
  <c r="F15" i="11"/>
  <c r="G15" i="11" s="1"/>
  <c r="F12" i="5"/>
  <c r="G12" i="5" s="1"/>
  <c r="F20" i="5"/>
  <c r="G20" i="5" s="1"/>
  <c r="G16" i="6"/>
  <c r="H16" i="6" s="1"/>
  <c r="G24" i="6"/>
  <c r="H24" i="6" s="1"/>
  <c r="F13" i="2"/>
  <c r="G13" i="2" s="1"/>
  <c r="F9" i="8"/>
  <c r="F18" i="8"/>
  <c r="G18" i="8" s="1"/>
  <c r="F13" i="4"/>
  <c r="G13" i="4" s="1"/>
  <c r="F8" i="11"/>
  <c r="F16" i="11"/>
  <c r="G16" i="11" s="1"/>
  <c r="F13" i="5"/>
  <c r="G13" i="5" s="1"/>
  <c r="F21" i="5"/>
  <c r="G21" i="5" s="1"/>
  <c r="L43" i="27"/>
  <c r="L29" i="27"/>
  <c r="L28" i="27"/>
  <c r="F14" i="2"/>
  <c r="G14" i="2" s="1"/>
  <c r="F10" i="8"/>
  <c r="G10" i="8" s="1"/>
  <c r="F14" i="4"/>
  <c r="G14" i="4" s="1"/>
  <c r="F9" i="11"/>
  <c r="G9" i="11" s="1"/>
  <c r="F17" i="11"/>
  <c r="G17" i="11" s="1"/>
  <c r="G10" i="6"/>
  <c r="H10" i="6" s="1"/>
  <c r="G18" i="6"/>
  <c r="H18" i="6" s="1"/>
  <c r="F15" i="2"/>
  <c r="G15" i="2" s="1"/>
  <c r="F11" i="8"/>
  <c r="G11" i="8" s="1"/>
  <c r="F15" i="3"/>
  <c r="G15" i="3" s="1"/>
  <c r="F15" i="4"/>
  <c r="G15" i="4" s="1"/>
  <c r="F10" i="11"/>
  <c r="G10" i="11" s="1"/>
  <c r="F15" i="5"/>
  <c r="G15" i="5" s="1"/>
  <c r="G11" i="6"/>
  <c r="H11" i="6" s="1"/>
  <c r="G26" i="6"/>
  <c r="H26" i="6" s="1"/>
  <c r="P51" i="27"/>
  <c r="L49" i="27"/>
  <c r="L48" i="27"/>
  <c r="L56" i="27" s="1"/>
  <c r="F63" i="27" s="1"/>
  <c r="F12" i="8"/>
  <c r="G12" i="8" s="1"/>
  <c r="F12" i="2"/>
  <c r="G12" i="2" s="1"/>
  <c r="P35" i="27"/>
  <c r="O18" i="27"/>
  <c r="O17" i="27"/>
  <c r="F16" i="2"/>
  <c r="G16" i="2" s="1"/>
  <c r="F13" i="8"/>
  <c r="G13" i="8" s="1"/>
  <c r="F16" i="3"/>
  <c r="G16" i="3" s="1"/>
  <c r="F16" i="4"/>
  <c r="G16" i="4" s="1"/>
  <c r="F11" i="11"/>
  <c r="G11" i="11" s="1"/>
  <c r="F16" i="5"/>
  <c r="G16" i="5" s="1"/>
  <c r="G27" i="6"/>
  <c r="H27" i="6" s="1"/>
  <c r="O49" i="27"/>
  <c r="O23" i="27"/>
  <c r="O20" i="27"/>
  <c r="L19" i="27"/>
  <c r="O8" i="27"/>
  <c r="F17" i="2"/>
  <c r="G17" i="2" s="1"/>
  <c r="F14" i="8"/>
  <c r="G14" i="8" s="1"/>
  <c r="F17" i="3"/>
  <c r="G17" i="3" s="1"/>
  <c r="F17" i="4"/>
  <c r="G17" i="4" s="1"/>
  <c r="F12" i="11"/>
  <c r="G12" i="11" s="1"/>
  <c r="G21" i="6"/>
  <c r="H21" i="6" s="1"/>
  <c r="P29" i="27"/>
  <c r="L23" i="27"/>
  <c r="L20" i="27"/>
  <c r="P11" i="27"/>
  <c r="P9" i="27"/>
  <c r="F18" i="2"/>
  <c r="G18" i="2" s="1"/>
  <c r="F15" i="8"/>
  <c r="G15" i="8" s="1"/>
  <c r="F10" i="3"/>
  <c r="G10" i="3" s="1"/>
  <c r="F10" i="4"/>
  <c r="G10" i="4" s="1"/>
  <c r="F13" i="11"/>
  <c r="G13" i="11" s="1"/>
  <c r="F10" i="5"/>
  <c r="F18" i="5"/>
  <c r="G18" i="5" s="1"/>
  <c r="G14" i="6"/>
  <c r="H14" i="6" s="1"/>
  <c r="G22" i="6"/>
  <c r="H22" i="6" s="1"/>
  <c r="P42" i="27"/>
  <c r="O40" i="27"/>
  <c r="P27" i="27"/>
  <c r="P14" i="27"/>
  <c r="O11" i="27"/>
  <c r="F11" i="4"/>
  <c r="G11" i="4" s="1"/>
  <c r="F11" i="5"/>
  <c r="G11" i="5" s="1"/>
  <c r="F19" i="5"/>
  <c r="G19" i="5" s="1"/>
  <c r="G23" i="6"/>
  <c r="H23" i="6" s="1"/>
  <c r="G18" i="4"/>
  <c r="D95" i="7" s="1"/>
  <c r="O42" i="27"/>
  <c r="O9" i="27"/>
  <c r="L50" i="27"/>
  <c r="L26" i="27"/>
  <c r="L18" i="27"/>
  <c r="O7" i="27"/>
  <c r="O14" i="27"/>
  <c r="L9" i="27"/>
  <c r="O6" i="27"/>
  <c r="L8" i="27"/>
  <c r="K30" i="27"/>
  <c r="G45" i="7"/>
  <c r="G35" i="7"/>
  <c r="F18" i="4" l="1"/>
  <c r="G8" i="11"/>
  <c r="F18" i="11"/>
  <c r="G9" i="8"/>
  <c r="G19" i="8" s="1"/>
  <c r="D93" i="7" s="1"/>
  <c r="F19" i="8"/>
  <c r="G29" i="6"/>
  <c r="L30" i="27"/>
  <c r="F62" i="27" s="1"/>
  <c r="F64" i="27" s="1"/>
  <c r="B49" i="28" s="1"/>
  <c r="F43" i="28" s="1"/>
  <c r="H29" i="6"/>
  <c r="D98" i="7" s="1"/>
  <c r="G10" i="5"/>
  <c r="G23" i="5" s="1"/>
  <c r="D97" i="7" s="1"/>
  <c r="F23" i="5"/>
  <c r="G19" i="2"/>
  <c r="D92" i="7" s="1"/>
  <c r="G18" i="11"/>
  <c r="D96" i="7" s="1"/>
  <c r="F19" i="2"/>
  <c r="G18" i="7"/>
  <c r="G40" i="7"/>
  <c r="G17" i="7"/>
  <c r="D99" i="7" l="1"/>
  <c r="A83" i="7"/>
  <c r="B83" i="7"/>
  <c r="C83" i="7"/>
  <c r="D83" i="7"/>
  <c r="E83" i="7"/>
  <c r="F83" i="7"/>
  <c r="G83" i="7"/>
  <c r="A84" i="7"/>
  <c r="B84" i="7"/>
  <c r="C84" i="7"/>
  <c r="D84" i="7"/>
  <c r="E84" i="7"/>
  <c r="F84" i="7"/>
  <c r="G84" i="7"/>
  <c r="H84" i="7"/>
  <c r="A85" i="7"/>
  <c r="B85" i="7"/>
  <c r="C85" i="7"/>
  <c r="D85" i="7"/>
  <c r="E85" i="7"/>
  <c r="F85" i="7"/>
  <c r="F22" i="26" s="1"/>
  <c r="G85" i="7"/>
  <c r="H85" i="7"/>
  <c r="A67" i="7"/>
  <c r="B67" i="7"/>
  <c r="C67" i="7"/>
  <c r="D67" i="7"/>
  <c r="E67" i="7"/>
  <c r="F67" i="7"/>
  <c r="F35" i="26" s="1"/>
  <c r="G67" i="7"/>
  <c r="A68" i="7"/>
  <c r="B68" i="7"/>
  <c r="C68" i="7"/>
  <c r="D68" i="7"/>
  <c r="E68" i="7"/>
  <c r="F68" i="7"/>
  <c r="F34" i="26" s="1"/>
  <c r="G68" i="7"/>
  <c r="A69" i="7"/>
  <c r="B69" i="7"/>
  <c r="C69" i="7"/>
  <c r="D69" i="7"/>
  <c r="E69" i="7"/>
  <c r="F69" i="7"/>
  <c r="F33" i="26" s="1"/>
  <c r="G69" i="7"/>
  <c r="A70" i="7"/>
  <c r="B70" i="7"/>
  <c r="C70" i="7"/>
  <c r="D70" i="7"/>
  <c r="E70" i="7"/>
  <c r="F70" i="7"/>
  <c r="F32" i="26" s="1"/>
  <c r="G70" i="7"/>
  <c r="A71" i="7"/>
  <c r="B71" i="7"/>
  <c r="C71" i="7"/>
  <c r="D71" i="7"/>
  <c r="E71" i="7"/>
  <c r="F71" i="7"/>
  <c r="F47" i="26" s="1"/>
  <c r="G71" i="7"/>
  <c r="A72" i="7"/>
  <c r="B72" i="7"/>
  <c r="C72" i="7"/>
  <c r="D72" i="7"/>
  <c r="E72" i="7"/>
  <c r="F72" i="7"/>
  <c r="G72" i="7"/>
  <c r="A73" i="7"/>
  <c r="B73" i="7"/>
  <c r="C73" i="7"/>
  <c r="D73" i="7"/>
  <c r="E73" i="7"/>
  <c r="F73" i="7"/>
  <c r="G73" i="7"/>
  <c r="A74" i="7"/>
  <c r="B74" i="7"/>
  <c r="C74" i="7"/>
  <c r="D74" i="7"/>
  <c r="E74" i="7"/>
  <c r="F74" i="7"/>
  <c r="F25" i="26" s="1"/>
  <c r="G74" i="7"/>
  <c r="A75" i="7"/>
  <c r="B75" i="7"/>
  <c r="C75" i="7"/>
  <c r="D75" i="7"/>
  <c r="E75" i="7"/>
  <c r="F75" i="7"/>
  <c r="F8" i="26" s="1"/>
  <c r="G75" i="7"/>
  <c r="A76" i="7"/>
  <c r="B76" i="7"/>
  <c r="C76" i="7"/>
  <c r="D76" i="7"/>
  <c r="E76" i="7"/>
  <c r="F76" i="7"/>
  <c r="G76" i="7"/>
  <c r="A77" i="7"/>
  <c r="B77" i="7"/>
  <c r="C77" i="7"/>
  <c r="D77" i="7"/>
  <c r="E77" i="7"/>
  <c r="F77" i="7"/>
  <c r="F9" i="26" s="1"/>
  <c r="G77" i="7"/>
  <c r="A78" i="7"/>
  <c r="B78" i="7"/>
  <c r="C78" i="7"/>
  <c r="D78" i="7"/>
  <c r="E78" i="7"/>
  <c r="F78" i="7"/>
  <c r="F20" i="26" s="1"/>
  <c r="G78" i="7"/>
  <c r="A79" i="7"/>
  <c r="B79" i="7"/>
  <c r="C79" i="7"/>
  <c r="D79" i="7"/>
  <c r="E79" i="7"/>
  <c r="F79" i="7"/>
  <c r="F23" i="26" s="1"/>
  <c r="G79" i="7"/>
  <c r="A80" i="7"/>
  <c r="B80" i="7"/>
  <c r="C80" i="7"/>
  <c r="D80" i="7"/>
  <c r="E80" i="7"/>
  <c r="F80" i="7"/>
  <c r="F3" i="26" s="1"/>
  <c r="G80" i="7"/>
  <c r="A81" i="7"/>
  <c r="B81" i="7"/>
  <c r="C81" i="7"/>
  <c r="D81" i="7"/>
  <c r="E81" i="7"/>
  <c r="F81" i="7"/>
  <c r="F4" i="26" s="1"/>
  <c r="G81" i="7"/>
  <c r="A82" i="7"/>
  <c r="B82" i="7"/>
  <c r="C82" i="7"/>
  <c r="D82" i="7"/>
  <c r="E82" i="7"/>
  <c r="F82" i="7"/>
  <c r="F16" i="26" s="1"/>
  <c r="G82" i="7"/>
  <c r="B66" i="7"/>
  <c r="C66" i="7"/>
  <c r="D66" i="7"/>
  <c r="E66" i="7"/>
  <c r="F66" i="7"/>
  <c r="F29" i="26" s="1"/>
  <c r="G66" i="7"/>
  <c r="A66" i="7"/>
  <c r="H83" i="7"/>
  <c r="H82" i="7"/>
  <c r="H71" i="7"/>
  <c r="H81" i="7"/>
  <c r="H80" i="7"/>
  <c r="H79" i="7"/>
  <c r="H78" i="7"/>
  <c r="H77" i="7"/>
  <c r="H76" i="7"/>
  <c r="H75" i="7"/>
  <c r="H74" i="7"/>
  <c r="H73" i="7"/>
  <c r="H72" i="7"/>
  <c r="H70" i="7"/>
  <c r="H69" i="7"/>
  <c r="H68" i="7"/>
  <c r="H67" i="7"/>
  <c r="H66" i="7"/>
  <c r="E23" i="7" l="1"/>
  <c r="F23" i="7"/>
  <c r="G23" i="7"/>
  <c r="E24" i="7"/>
  <c r="F24" i="7"/>
  <c r="F41" i="26" s="1"/>
  <c r="G24" i="7"/>
  <c r="E25" i="7"/>
  <c r="F25" i="7"/>
  <c r="F45" i="26" s="1"/>
  <c r="G25" i="7"/>
  <c r="E26" i="7"/>
  <c r="F26" i="7"/>
  <c r="F46" i="26" s="1"/>
  <c r="G26" i="7"/>
  <c r="E27" i="7"/>
  <c r="F27" i="7"/>
  <c r="F48" i="26" s="1"/>
  <c r="G27" i="7"/>
  <c r="E28" i="7"/>
  <c r="F28" i="7"/>
  <c r="G28" i="7"/>
  <c r="E29" i="7"/>
  <c r="F29" i="7"/>
  <c r="F15" i="26" s="1"/>
  <c r="G29" i="7"/>
  <c r="E30" i="7"/>
  <c r="F30" i="7"/>
  <c r="G30" i="7"/>
  <c r="E31" i="7"/>
  <c r="F31" i="7"/>
  <c r="G31" i="7"/>
  <c r="E32" i="7"/>
  <c r="F32" i="7"/>
  <c r="G32" i="7"/>
  <c r="D23" i="7"/>
  <c r="D24" i="7"/>
  <c r="D25" i="7"/>
  <c r="D26" i="7"/>
  <c r="D27" i="7"/>
  <c r="D28" i="7"/>
  <c r="D29" i="7"/>
  <c r="D30" i="7"/>
  <c r="D31" i="7"/>
  <c r="D32" i="7"/>
  <c r="C27" i="7"/>
  <c r="C28" i="7"/>
  <c r="C29" i="7"/>
  <c r="C52" i="7" l="1"/>
  <c r="D52" i="7"/>
  <c r="E52" i="7"/>
  <c r="G52" i="7"/>
  <c r="C44" i="7"/>
  <c r="D44" i="7"/>
  <c r="E44" i="7"/>
  <c r="G44" i="7"/>
  <c r="C45" i="7"/>
  <c r="D45" i="7"/>
  <c r="E45" i="7"/>
  <c r="C46" i="7"/>
  <c r="D46" i="7"/>
  <c r="E46" i="7"/>
  <c r="G46" i="7"/>
  <c r="C47" i="7"/>
  <c r="D47" i="7"/>
  <c r="E47" i="7"/>
  <c r="G47" i="7"/>
  <c r="C48" i="7"/>
  <c r="D48" i="7"/>
  <c r="E48" i="7"/>
  <c r="G48" i="7"/>
  <c r="C49" i="7"/>
  <c r="D49" i="7"/>
  <c r="E49" i="7"/>
  <c r="G49" i="7"/>
  <c r="C50" i="7"/>
  <c r="D50" i="7"/>
  <c r="E50" i="7"/>
  <c r="G50" i="7"/>
  <c r="C51" i="7"/>
  <c r="D51" i="7"/>
  <c r="E51" i="7"/>
  <c r="G51" i="7"/>
  <c r="D43" i="7"/>
  <c r="E43" i="7"/>
  <c r="G43" i="7"/>
  <c r="C43" i="7"/>
  <c r="A42" i="7"/>
  <c r="A34" i="7"/>
  <c r="A35" i="7"/>
  <c r="A36" i="7"/>
  <c r="A37" i="7"/>
  <c r="A38" i="7"/>
  <c r="A39" i="7"/>
  <c r="A40" i="7"/>
  <c r="A41" i="7"/>
  <c r="A33" i="7"/>
  <c r="H52" i="7"/>
  <c r="H51" i="7"/>
  <c r="H50" i="7"/>
  <c r="H49" i="7"/>
  <c r="H48" i="7"/>
  <c r="H47" i="7"/>
  <c r="H46" i="7"/>
  <c r="H45" i="7"/>
  <c r="H44" i="7"/>
  <c r="H43" i="7"/>
  <c r="B3" i="11"/>
  <c r="B2" i="11"/>
  <c r="A9" i="11" s="1"/>
  <c r="A43" i="7" s="1"/>
  <c r="C13" i="7"/>
  <c r="D13" i="7"/>
  <c r="E13" i="7"/>
  <c r="F13" i="7"/>
  <c r="G13" i="7"/>
  <c r="H13" i="7"/>
  <c r="C14" i="7"/>
  <c r="D14" i="7"/>
  <c r="E14" i="7"/>
  <c r="F14" i="7"/>
  <c r="G14" i="7"/>
  <c r="C15" i="7"/>
  <c r="D15" i="7"/>
  <c r="E15" i="7"/>
  <c r="F15" i="7"/>
  <c r="G15" i="7"/>
  <c r="C16" i="7"/>
  <c r="D16" i="7"/>
  <c r="E16" i="7"/>
  <c r="F16" i="7"/>
  <c r="G16" i="7"/>
  <c r="C17" i="7"/>
  <c r="D17" i="7"/>
  <c r="E17" i="7"/>
  <c r="F17" i="7"/>
  <c r="C18" i="7"/>
  <c r="D18" i="7"/>
  <c r="E18" i="7"/>
  <c r="F18" i="7"/>
  <c r="C19" i="7"/>
  <c r="D19" i="7"/>
  <c r="E19" i="7"/>
  <c r="F19" i="7"/>
  <c r="G19" i="7"/>
  <c r="C20" i="7"/>
  <c r="D20" i="7"/>
  <c r="E20" i="7"/>
  <c r="F20" i="7"/>
  <c r="G20" i="7"/>
  <c r="C21" i="7"/>
  <c r="D21" i="7"/>
  <c r="E21" i="7"/>
  <c r="F21" i="7"/>
  <c r="G21" i="7"/>
  <c r="D12" i="7"/>
  <c r="E12" i="7"/>
  <c r="F12" i="7"/>
  <c r="G12" i="7"/>
  <c r="H12" i="7"/>
  <c r="C12" i="7"/>
  <c r="G2" i="7"/>
  <c r="G3" i="7"/>
  <c r="G4" i="7"/>
  <c r="G5" i="7"/>
  <c r="G6" i="7"/>
  <c r="G7" i="7"/>
  <c r="G8" i="7"/>
  <c r="G9" i="7"/>
  <c r="G10" i="7"/>
  <c r="G11" i="7"/>
  <c r="F2" i="7"/>
  <c r="F3" i="7"/>
  <c r="F4" i="7"/>
  <c r="F5" i="7"/>
  <c r="F7" i="7"/>
  <c r="F8" i="7"/>
  <c r="F9" i="7"/>
  <c r="F10" i="7"/>
  <c r="F11" i="7"/>
  <c r="E2" i="7"/>
  <c r="E3" i="7"/>
  <c r="E4" i="7"/>
  <c r="E5" i="7"/>
  <c r="E6" i="7"/>
  <c r="E7" i="7"/>
  <c r="E8" i="7"/>
  <c r="E9" i="7"/>
  <c r="E10" i="7"/>
  <c r="E11" i="7"/>
  <c r="D2" i="7"/>
  <c r="D3" i="7"/>
  <c r="D4" i="7"/>
  <c r="D5" i="7"/>
  <c r="D6" i="7"/>
  <c r="D7" i="7"/>
  <c r="D8" i="7"/>
  <c r="D9" i="7"/>
  <c r="D10" i="7"/>
  <c r="D11" i="7"/>
  <c r="C2" i="7"/>
  <c r="C3" i="7"/>
  <c r="C4" i="7"/>
  <c r="C5" i="7"/>
  <c r="C6" i="7"/>
  <c r="C7" i="7"/>
  <c r="C8" i="7"/>
  <c r="C9" i="7"/>
  <c r="C10" i="7"/>
  <c r="C11" i="7"/>
  <c r="C64" i="7"/>
  <c r="D64" i="7"/>
  <c r="E64" i="7"/>
  <c r="F64" i="7"/>
  <c r="F18" i="26" s="1"/>
  <c r="G64" i="7"/>
  <c r="C65" i="7"/>
  <c r="D65" i="7"/>
  <c r="E65" i="7"/>
  <c r="F65" i="7"/>
  <c r="F6" i="26" s="1"/>
  <c r="G65" i="7"/>
  <c r="C54" i="7"/>
  <c r="D54" i="7"/>
  <c r="E54" i="7"/>
  <c r="F54" i="7"/>
  <c r="F30" i="26" s="1"/>
  <c r="G54" i="7"/>
  <c r="C55" i="7"/>
  <c r="D55" i="7"/>
  <c r="E55" i="7"/>
  <c r="F55" i="7"/>
  <c r="F5" i="26" s="1"/>
  <c r="G55" i="7"/>
  <c r="C56" i="7"/>
  <c r="D56" i="7"/>
  <c r="E56" i="7"/>
  <c r="F56" i="7"/>
  <c r="F13" i="26" s="1"/>
  <c r="G56" i="7"/>
  <c r="C57" i="7"/>
  <c r="D57" i="7"/>
  <c r="E57" i="7"/>
  <c r="F57" i="7"/>
  <c r="F10" i="26" s="1"/>
  <c r="G57" i="7"/>
  <c r="C58" i="7"/>
  <c r="D58" i="7"/>
  <c r="E58" i="7"/>
  <c r="F58" i="7"/>
  <c r="F19" i="26" s="1"/>
  <c r="G58" i="7"/>
  <c r="C59" i="7"/>
  <c r="D59" i="7"/>
  <c r="E59" i="7"/>
  <c r="F59" i="7"/>
  <c r="F26" i="26" s="1"/>
  <c r="G59" i="7"/>
  <c r="C60" i="7"/>
  <c r="D60" i="7"/>
  <c r="E60" i="7"/>
  <c r="F60" i="7"/>
  <c r="F44" i="26" s="1"/>
  <c r="G60" i="7"/>
  <c r="C61" i="7"/>
  <c r="D61" i="7"/>
  <c r="E61" i="7"/>
  <c r="F61" i="7"/>
  <c r="F43" i="26" s="1"/>
  <c r="G61" i="7"/>
  <c r="C62" i="7"/>
  <c r="D62" i="7"/>
  <c r="E62" i="7"/>
  <c r="F62" i="7"/>
  <c r="F24" i="26" s="1"/>
  <c r="G62" i="7"/>
  <c r="C63" i="7"/>
  <c r="D63" i="7"/>
  <c r="E63" i="7"/>
  <c r="F63" i="7"/>
  <c r="F7" i="26" s="1"/>
  <c r="G63" i="7"/>
  <c r="D53" i="7"/>
  <c r="E53" i="7"/>
  <c r="F53" i="7"/>
  <c r="F31" i="26" s="1"/>
  <c r="G53" i="7"/>
  <c r="C53" i="7"/>
  <c r="C34" i="7"/>
  <c r="D34" i="7"/>
  <c r="E34" i="7"/>
  <c r="F34" i="7"/>
  <c r="G34" i="7"/>
  <c r="C35" i="7"/>
  <c r="D35" i="7"/>
  <c r="E35" i="7"/>
  <c r="F35" i="7"/>
  <c r="C36" i="7"/>
  <c r="D36" i="7"/>
  <c r="E36" i="7"/>
  <c r="F36" i="7"/>
  <c r="G36" i="7"/>
  <c r="C37" i="7"/>
  <c r="D37" i="7"/>
  <c r="E37" i="7"/>
  <c r="F37" i="7"/>
  <c r="G37" i="7"/>
  <c r="C38" i="7"/>
  <c r="D38" i="7"/>
  <c r="E38" i="7"/>
  <c r="F38" i="7"/>
  <c r="G38" i="7"/>
  <c r="C39" i="7"/>
  <c r="D39" i="7"/>
  <c r="E39" i="7"/>
  <c r="F39" i="7"/>
  <c r="G39" i="7"/>
  <c r="C40" i="7"/>
  <c r="D40" i="7"/>
  <c r="E40" i="7"/>
  <c r="F40" i="7"/>
  <c r="C41" i="7"/>
  <c r="D41" i="7"/>
  <c r="E41" i="7"/>
  <c r="F41" i="7"/>
  <c r="G41" i="7"/>
  <c r="C42" i="7"/>
  <c r="D42" i="7"/>
  <c r="E42" i="7"/>
  <c r="F42" i="7"/>
  <c r="G42" i="7"/>
  <c r="E33" i="7"/>
  <c r="F33" i="7"/>
  <c r="G33" i="7"/>
  <c r="C33" i="7"/>
  <c r="C23" i="7"/>
  <c r="C24" i="7"/>
  <c r="C25" i="7"/>
  <c r="C26" i="7"/>
  <c r="C30" i="7"/>
  <c r="C31" i="7"/>
  <c r="C32" i="7"/>
  <c r="D22" i="7"/>
  <c r="F22" i="7"/>
  <c r="F36" i="26" s="1"/>
  <c r="G22" i="7"/>
  <c r="C22" i="7"/>
  <c r="D1" i="7"/>
  <c r="E1" i="7"/>
  <c r="F1" i="7"/>
  <c r="G1" i="7"/>
  <c r="H1" i="7"/>
  <c r="C1" i="7"/>
  <c r="H21" i="7"/>
  <c r="H20" i="7"/>
  <c r="H19" i="7"/>
  <c r="H17" i="7"/>
  <c r="H16" i="7"/>
  <c r="H15" i="7"/>
  <c r="H14" i="7"/>
  <c r="H18" i="7"/>
  <c r="C4" i="8"/>
  <c r="B4" i="8"/>
  <c r="C3" i="8"/>
  <c r="A10" i="8" s="1"/>
  <c r="A13" i="7" s="1"/>
  <c r="C2" i="8"/>
  <c r="H27" i="7"/>
  <c r="F28" i="26" l="1"/>
  <c r="A16" i="11"/>
  <c r="A50" i="7" s="1"/>
  <c r="A15" i="11"/>
  <c r="A49" i="7" s="1"/>
  <c r="F37" i="26"/>
  <c r="F17" i="26"/>
  <c r="A9" i="8"/>
  <c r="A12" i="7" s="1"/>
  <c r="A13" i="11"/>
  <c r="A47" i="7" s="1"/>
  <c r="A8" i="11"/>
  <c r="A14" i="11"/>
  <c r="A48" i="7" s="1"/>
  <c r="A11" i="11"/>
  <c r="A45" i="7" s="1"/>
  <c r="A10" i="11"/>
  <c r="A44" i="7" s="1"/>
  <c r="A12" i="11"/>
  <c r="A46" i="7" s="1"/>
  <c r="A17" i="11"/>
  <c r="A18" i="8"/>
  <c r="A21" i="7" s="1"/>
  <c r="A17" i="8"/>
  <c r="A20" i="7" s="1"/>
  <c r="A16" i="8"/>
  <c r="A19" i="7" s="1"/>
  <c r="A13" i="8"/>
  <c r="A16" i="7" s="1"/>
  <c r="A12" i="8"/>
  <c r="A15" i="7" s="1"/>
  <c r="A11" i="8"/>
  <c r="A14" i="7" s="1"/>
  <c r="A14" i="8"/>
  <c r="A17" i="7" s="1"/>
  <c r="A15" i="8"/>
  <c r="A18" i="7" s="1"/>
  <c r="A52" i="7" l="1"/>
  <c r="A51" i="7"/>
  <c r="D2" i="6"/>
  <c r="D2" i="5"/>
  <c r="B2" i="4"/>
  <c r="C2" i="3"/>
  <c r="C3" i="2"/>
  <c r="C2" i="2"/>
  <c r="H63" i="7"/>
  <c r="A16" i="5" l="1"/>
  <c r="A59" i="7" s="1"/>
  <c r="A18" i="5"/>
  <c r="A61" i="7" s="1"/>
  <c r="A12" i="5"/>
  <c r="A55" i="7" s="1"/>
  <c r="A19" i="5"/>
  <c r="A62" i="7" s="1"/>
  <c r="A13" i="5"/>
  <c r="A56" i="7" s="1"/>
  <c r="A20" i="5"/>
  <c r="A63" i="7" s="1"/>
  <c r="A21" i="5"/>
  <c r="A64" i="7" s="1"/>
  <c r="A22" i="5"/>
  <c r="A65" i="7" s="1"/>
  <c r="A15" i="5"/>
  <c r="A58" i="7" s="1"/>
  <c r="A14" i="5"/>
  <c r="A57" i="7" s="1"/>
  <c r="A10" i="5"/>
  <c r="A53" i="7" s="1"/>
  <c r="A11" i="5"/>
  <c r="A54" i="7" s="1"/>
  <c r="A17" i="5"/>
  <c r="A60" i="7" s="1"/>
  <c r="A12" i="3"/>
  <c r="A25" i="7" s="1"/>
  <c r="A9" i="3"/>
  <c r="A22" i="7" s="1"/>
  <c r="A18" i="3"/>
  <c r="A31" i="7" s="1"/>
  <c r="A13" i="3"/>
  <c r="A26" i="7" s="1"/>
  <c r="A11" i="3"/>
  <c r="A24" i="7" s="1"/>
  <c r="A15" i="3"/>
  <c r="A27" i="7" s="1"/>
  <c r="A17" i="3"/>
  <c r="A30" i="7" s="1"/>
  <c r="A14" i="3"/>
  <c r="A28" i="7" s="1"/>
  <c r="A16" i="3"/>
  <c r="A29" i="7" s="1"/>
  <c r="A10" i="3"/>
  <c r="A23" i="7" s="1"/>
  <c r="A19" i="3"/>
  <c r="A32" i="7" s="1"/>
  <c r="A17" i="2"/>
  <c r="A9" i="2"/>
  <c r="A2" i="7" s="1"/>
  <c r="A18" i="2"/>
  <c r="A13" i="2"/>
  <c r="A10" i="2"/>
  <c r="A11" i="2"/>
  <c r="A12" i="2"/>
  <c r="A14" i="2"/>
  <c r="A16" i="2"/>
  <c r="A15" i="2"/>
  <c r="H3" i="7"/>
  <c r="H33" i="7"/>
  <c r="H4" i="7"/>
  <c r="H29" i="7" l="1"/>
  <c r="H64" i="7"/>
  <c r="H65" i="7"/>
  <c r="B3" i="4"/>
  <c r="H22" i="7"/>
  <c r="H31" i="7" l="1"/>
  <c r="H26" i="7"/>
  <c r="H25" i="7"/>
  <c r="H24" i="7"/>
  <c r="H23" i="7"/>
  <c r="H42" i="7"/>
  <c r="H41" i="7"/>
  <c r="H39" i="7"/>
  <c r="H40" i="7"/>
  <c r="H36" i="7"/>
  <c r="H35" i="7"/>
  <c r="H34" i="7"/>
  <c r="H38" i="7"/>
  <c r="H37" i="7"/>
  <c r="C3" i="3"/>
  <c r="B3" i="3"/>
  <c r="H2" i="7"/>
  <c r="H7" i="7"/>
  <c r="H6" i="7"/>
  <c r="H5" i="7"/>
  <c r="H9" i="7"/>
  <c r="H30" i="7" l="1"/>
  <c r="H28" i="7"/>
  <c r="H32" i="7"/>
  <c r="D4" i="6"/>
  <c r="D5" i="6" s="1"/>
  <c r="D3" i="6"/>
  <c r="D4" i="5" l="1"/>
  <c r="D3" i="5"/>
  <c r="C3" i="5"/>
  <c r="E10" i="1"/>
  <c r="H62" i="7"/>
  <c r="H61" i="7"/>
  <c r="H60" i="7"/>
  <c r="H59" i="7"/>
  <c r="H58" i="7"/>
  <c r="H57" i="7"/>
  <c r="H56" i="7"/>
  <c r="H55" i="7"/>
  <c r="H54" i="7"/>
  <c r="H53" i="7"/>
  <c r="D5" i="5" l="1"/>
  <c r="C4" i="2"/>
  <c r="B4" i="2"/>
  <c r="H8" i="7"/>
  <c r="H10" i="7"/>
  <c r="H11" i="7"/>
  <c r="C5" i="2"/>
  <c r="D4" i="1"/>
  <c r="D5" i="1"/>
  <c r="C4" i="3" s="1"/>
  <c r="C5" i="3" s="1"/>
  <c r="D6" i="1"/>
  <c r="D7" i="1"/>
  <c r="C5" i="8" s="1"/>
  <c r="C6" i="8" s="1"/>
  <c r="D3" i="1"/>
  <c r="B4" i="11" l="1"/>
  <c r="B5" i="11" s="1"/>
  <c r="B4" i="4"/>
  <c r="B5" i="4" s="1"/>
  <c r="H86" i="7"/>
  <c r="D10" i="1"/>
  <c r="C6" i="2"/>
  <c r="H92" i="7" l="1"/>
  <c r="F45" i="7" l="1"/>
  <c r="F40" i="26" s="1"/>
  <c r="F50" i="7"/>
  <c r="F11" i="26" s="1"/>
  <c r="F44" i="7"/>
  <c r="F38" i="26" s="1"/>
  <c r="F52" i="7"/>
  <c r="F14" i="26" s="1"/>
  <c r="F47" i="7"/>
  <c r="F2" i="26" s="1"/>
  <c r="F46" i="7"/>
  <c r="F39" i="26" s="1"/>
  <c r="F43" i="7"/>
  <c r="F42" i="26" s="1"/>
  <c r="F51" i="7"/>
  <c r="F21" i="26" s="1"/>
  <c r="F49" i="7"/>
  <c r="F48" i="7"/>
  <c r="F27" i="26" s="1"/>
  <c r="F12" i="26" l="1"/>
</calcChain>
</file>

<file path=xl/sharedStrings.xml><?xml version="1.0" encoding="utf-8"?>
<sst xmlns="http://schemas.openxmlformats.org/spreadsheetml/2006/main" count="1068" uniqueCount="212">
  <si>
    <t>La Tola</t>
  </si>
  <si>
    <t>El Charco</t>
  </si>
  <si>
    <t>Mosquera</t>
  </si>
  <si>
    <t>Olaya Herrera</t>
  </si>
  <si>
    <t>Plátano</t>
  </si>
  <si>
    <t>Papa China</t>
  </si>
  <si>
    <t>Coco</t>
  </si>
  <si>
    <t>Total</t>
  </si>
  <si>
    <t>Municipio</t>
  </si>
  <si>
    <t>Línea</t>
  </si>
  <si>
    <t>Presupuesto por línea</t>
  </si>
  <si>
    <t>Número de beneficiarios</t>
  </si>
  <si>
    <t xml:space="preserve">TIPO </t>
  </si>
  <si>
    <t>DESCRIPCION</t>
  </si>
  <si>
    <t>Unidad</t>
  </si>
  <si>
    <t xml:space="preserve">Insumo </t>
  </si>
  <si>
    <t>Bulto</t>
  </si>
  <si>
    <t>Tope presupuestal</t>
  </si>
  <si>
    <t>TOTAL</t>
  </si>
  <si>
    <t>Saldo presupuestal</t>
  </si>
  <si>
    <t>PRESUPUESTO MATERIALES CRIA CAMARON CHAMBERO</t>
  </si>
  <si>
    <t>CANTIDAD</t>
  </si>
  <si>
    <t>VALOR UNITARIO</t>
  </si>
  <si>
    <t>VALOR TOTAL</t>
  </si>
  <si>
    <t>Tumaco</t>
  </si>
  <si>
    <t>Camarón chambero</t>
  </si>
  <si>
    <t>Tilapia</t>
  </si>
  <si>
    <t>Rollo</t>
  </si>
  <si>
    <t>Equipos y herramientas</t>
  </si>
  <si>
    <t>Manguera 1/2 polietileno con una longitud de 100 M para soportar una presión de 120 Psi, fabricada con un 70% de material recuperado y un 30% de material virgen</t>
  </si>
  <si>
    <t>Camarón</t>
  </si>
  <si>
    <t>PROMEDIO</t>
  </si>
  <si>
    <t>Valor CONSULTIVAS</t>
  </si>
  <si>
    <t>Santa Barbara de iscuandé</t>
  </si>
  <si>
    <t xml:space="preserve">Carrete Cable Acero Plastificado 1/8”, rollo x 200m, configuración de núcleo en acero galvanizado recubierta por una capa que garantiza protección anticorrosiva, peso aprox 9.7 kg, </t>
  </si>
  <si>
    <t>Chile (Atarraya de ojo pequeño) para captura de peces tipo carnadas. Material de fabricación: Nylon multifilamento, Radio: 1.7 m, Diámetro: 3.4 m, Grosor del nylon: 0.30 cm apróx, con 5 libras de plomo para su hundimiento, Ojo de malla: 1 pulgada, Circunferencia aproximada: 10 m, Red circular de caída en forma de sombrilla y utilizada al voleo, tipo de cierre: bolsa argolla, con protección contra los rayos del sol - UV</t>
  </si>
  <si>
    <t>Fumigadora Estacionaria con motor de 5.5 Hp a Gasolina, con bomba automática para un caudal entre 20 - 40 Litros por minuto, presión entre 145 – 580 PSI</t>
  </si>
  <si>
    <t>Kit de protección para fumigación, avalado por la NTC 5040 aplicable a cada componente, contiene escafandra laborada en tela anti-fluidos 90% poliéster, 10% acrilatopara repeler líquidos, mascarilla desechable con protección respiratoria de 3 capas de fieltro con filtro de carbón activado, gafas ajustables con protección UV y antiempañantes, guantes fabricados en nitrilo, camisa elaborada en tela anti-fluidos 90% poliéster ,10% acrilato y pantalón en tela antifluidos 90% poliéster, 10% acrílico. Disponibilidad de tallas variadas. Disponibilidad de tallas variadas.</t>
  </si>
  <si>
    <t>Motocultor con motor Diesel de 4T y 296cc con sistema de arranque manual y abarca en promedio unos 400m²/hora con su trabajo de labranza de entre 180 y 300 mm de profundidad y de entre 1050 y 1350 mm de ancho de transmisión por engranajes, clutch de plato húmedo, palanca de cambios con reversa – marcha 2 – neutro – 1, peso de 160 kilogramos, ruedas de 8 pulgadas.</t>
  </si>
  <si>
    <t>Malla pajarera de 1.80 m de ancho por 50 m de largo, fabricada en polipropileno de alta densidad.</t>
  </si>
  <si>
    <t>Medidor Portátil de Oxígeno disuelto y temperatura de agua con sonda óptica (4-5mt de longitud), cubierta hermética, Pantalla digital, Fuente de corriente pila de 9 voltios, Estuche del medidor: con IP 67 a prueba de agua, Función de apagado automático después de 30 minutos de inactividad, 50-60 conjunto de datos revisable de memoria, Indicador de batería baja con duración de batería de mínimo 500 horas, Dimensiones (ancho x profundo x alto) 18,7-19,0 cm x 7,6-7,8 cm x 3,8-4,0 cm; Debe incluir: dos pilas, manual de instrucciones en idioma español (impreso y en CD o en formato digital), Set de calibración, 6 membranas de reemplazo, estuche de transporte rígido con espacio para medidor y sonda; con garantía mínimo un (1) año.</t>
  </si>
  <si>
    <t>Motosierra a gasolina de cilindrada 72.2 centímetros cúbicos y potencia de 5.23 hp, logro 3,9 kW, peso de la unidad sin combustible de 6,2 kg con una relación peso/potencia de 1,6 kg/kW, para una longitud de la espada 37-75 cm 3, longitud con tope de garra 450 mm, nivel de presión sonora 106 dB, potencia acústica 117 dB.</t>
  </si>
  <si>
    <t>Nasas para muestreo y pesca, fabricada con malla sin nudo de ½” (12.7mm aprox) o equivalente. Estructura fabricada en aluminio, aro de forma cuadrada u ovalada con dimensión comprendida entre 38-55cm, longitud mínima del mango entre 65-90 cm de largo, profundidad del saco entre 35-50 cm.</t>
  </si>
  <si>
    <t>Overol impermeable con botas incorporadas para labores de pesca y piscicultura, fabricado en material impermeable de alta resistencia, con recubrimiento en PVC o material equivalente, doble costura y selladas. Selló de todas las costuras y doble TAPED los puntos débiles que tiene más fricción en el uso para mantenerte seco al hacer trabajos de pesca. Las botas deberán ser impermeables y contar con suela antideslizante. Disponibilidad variada de tallas en ambos componentes.</t>
  </si>
  <si>
    <t>Pala redonda en acero forjado de alta durabilidad Ancho aprox 26 cm, alto aprox 145 cm, espesor aprox 0.16 cm, con cabo de madera y manija plástica con un peso aproximado de 1 kilogramos.</t>
  </si>
  <si>
    <t xml:space="preserve">Tanque Circular de Geomembrana, en material polietileno de alta densidad HDPE, calibre 40 mils resistente a rayos ultravioleta, Diámetro del tanque 3m, altura 1.2 metros cúbicos, capacidad de 9.000 litros. Estructura elaborada en platinas de hierro 2” x 1/8” (0.31 cm), con pintura anticorrosiva, conexión al desagüe entre 2-4” Uso: almacenamiento de agua, para piscicultura y almacenamiento en general de líquidos libres de hidrocarburos; producto nuevo y en perfecto estado. Deberá cumplir con la normatividad vigente y aplicable. </t>
  </si>
  <si>
    <t>Abono orgánico mezclado con materiales de origen orgánico animal y vegetal que han sido sometidos a un proceso de compostaje y maduración, con una composición mínima de nitrógeno al 1,5%, Fosforo asimilable al 4% y Potasio soluble al 3,5%, Calcio (CaO) 10%, Magnesio total (MgO) 1.3%, Carbono orgánico oxidable 19% . Bulto x 40 kg.</t>
  </si>
  <si>
    <t>Semilla certificada de Alevinos de tilapia roja Oreochromis sp de 1 gramos o de peso aproximado con tamaño entre 2,5 - 3 cm, homogéneos, porcentaje de reversión sexual mínimo del 90%</t>
  </si>
  <si>
    <t>Cal agrícola: polvo blanco, finamente divido e inoloro, material . Carbonato de Calcio CaCO3 90%-100%. solubilidad 0.017 g/l, punto de fusión 825ºC. Bulto x 50 kg</t>
  </si>
  <si>
    <t>Concentrado para camarón, durante las etapas de levante y finalización,. Proteína (MIN) 35.0%, Grasa (MIN) 5.0%, fibra (MIN) 5.0%, ceniza (MÁX) 12%, humedad (MÁX) 13.0%, presentación bulto x 40 kg</t>
  </si>
  <si>
    <t>Concentrado para tilapia extruder 24% de proteína min, Grasa min 4%, Fibra máx 8.0%, Cenizas máx 10%, Humedad máx 12 %. Fecha de vigencia y/o elaboración. Presentación Bulto x 40 kg</t>
  </si>
  <si>
    <t>Concentrado para tilapia extruder 38% de proteína min, Grasa min 4%, Fibra máx 6.0%, Cenizas máx 10%, Humedad máx 12%. Fecha de vigencia y/o elaboración. Presentación Bulto x 40 kg.</t>
  </si>
  <si>
    <t>Concentrado para tilapia harina 45% de proteína min, Grasa min 4%, Fibra máx 6.0%, Cenizas máx 10%, Humedad máx 12%. Fecha de vigencia y/o elaboración. Presentación bulto x 40 Kg.</t>
  </si>
  <si>
    <t>Sal Marina para Piscicultura, Compuesta por Cloruro sódico (NaCl), Humedad ≤ 0.5%, Cloruro sódico en materia seca ≥ 97%, Residuo insoluble en agua ≤5 gr/kg, Nitrógeno Total ≤20 mg/kg. NO CONTIENE ADITIVOS. Producto Color blanco, granulado, cristalino, inodoro, limpio, suelto y soluble en agua. Presentación bulto x 34 kg.</t>
  </si>
  <si>
    <t>Semillas para palmas de coco con desarrollo de raíz germinativo y tallo mínimo con 4 hojas. Las semillas deben provenir de viveros certificados por el ICA.</t>
  </si>
  <si>
    <t>Saco Fique Granel de 70cm X 95cm - tejido 20/20.</t>
  </si>
  <si>
    <t>Insecticida piretroide, con principio activo Lambdacialotrina al 2,5% CE, Densidad: 0,800 +/- 0,010 g/mL pH: 6,0 – 8,0. Presentación en litro.</t>
  </si>
  <si>
    <t>Feromonas de Segregación Rhynchophorol C. Feromona sintética imitante de la señal química del compuesto orgánico secretado por los machos de la especie mencionada para atraer individuos de ambos sexos y de esta forma capturarlos en el trampeo masivo. Sobre x 0,5 ml.</t>
  </si>
  <si>
    <t>Fertilizante complejo, sólido granulado soluble, de color beige pálido. Nitrógeno total (% N) 15%, Fósforo total 15%, Potasio Total 15%, azufre total 10% pH: 6,0 – 7,2. Solubilidad en agua: 90 g/100 ml. Presentación bulto x 50 Kg.</t>
  </si>
  <si>
    <t>Fungicida sistémico de aplicación foliar para el control de la sigatoka negra y botrytis su ingrediente activo es Pyrimethanil que inhibe la secreción de encimas. Presentación envase plástico x litro.</t>
  </si>
  <si>
    <t>Semilla certificada de Nauplios (larvas) de camarón Machrobraquin tenellum.</t>
  </si>
  <si>
    <t>Herbicida foliar no selectivo con ingrediente activo paraquat al 20%, herbicida post-emergente de contacto no selectivo, ideal para controlar rápidamente malezas de hoja ancha y gramíneas, resistente a la lluvia y se inactiva al contacto con el suelo. Densidad 1.070-1.084 g/ml, pH 4-7, contenido paraquat 188-212 g/l, Categoría II. Presentación Caneca x 5 galones.</t>
  </si>
  <si>
    <t>Fumigadora manual de espalda con una capacidad del Recipiente de 20 Litros en polietileno de alta densidad, capacidad de la cámara de 1 Litro, presión Máxima de Trabajo: 40 PSI (+/- 10%), lanza en acero Inoxidable, con pistón en Latón con posiciones de la Llave: Continua, Intermitente y de bloqueo total. Incluye una boquillas metálica de Cono Hueco (1000 cc), portaboquilla de uso agrícola Universal.</t>
  </si>
  <si>
    <t>Guadaña con motor de dos tiempos con un rango de  40 CC a 45 CC, potencia de 1,6 - 2.2 KW, peso entre 6 - 6.3 kilogramos, presión acústica 90 - 96 dB, vibraciones izquierda/derecha 6,4/3,4 m/s2, cuchilla matorrales, capacidad de depósito 0,64 litros, eje de transmisión rígido, sistema anti vibración de un punto, longitud total (sin herramienta de corte) 190 centímetros, ancho de corte mínimo de 41 a 42 cm con cabezal de nylon. Incluye puñadura ergonómica multifuncional.</t>
  </si>
  <si>
    <t>Azada fabricada de una única pieza templada, en acero carbono de alta calidad, recubierta con pintura electrostática a polvo, lámina de tamaño 2.5 pulgadas, ojo de 38 mm de diámetro, mango de 145 cm en madera barnizada.</t>
  </si>
  <si>
    <t>Chinchorro para Piscicultura 25 x 2,5 m, calibre mínimo 210/12 o equivalente: Aparejo de pesca especial para la captura de peces, Material de fabricación: nylon multifilamento, Ojo de malla de 1 pulgada sin nudo; Flotación con boyas plásticas estándar de color naranja o azul y lastre de plomo que garantice la correcta operación y extensión de red, Con protección contra los rayos del sol – UV.</t>
  </si>
  <si>
    <t>Discos Secchi para monitoreo de calidad de agua en sistemas piscícolas: Diámetro: 25 centímetros, Material del Cuerpo: Acrílico o polietileno reforzado con perno de acero inoxidable, Dos cuadrantes blancos y dos negros, Cinta o cuerda de 3 metros graduada en milímetros, centímetros y/o metros, Pieza de plomo de 250 gramos para contrapeso,</t>
  </si>
  <si>
    <t>Electrobomba con Potencia de 1 HP, diámetro de entrada tubería 2.54 cm, Flujo máximo de 55 l/min, altura máxima de succión de 50 m para acceso a agua en pozos profundos. Dimensiones compactas de 26 cm x 15 cm x 12 cm.</t>
  </si>
  <si>
    <t>Balanza Mecánica de Reloj para 20 Kilos con Platón, balanza de colgar, Material de fabricación:
Aro Central elaborado en lámina de acero cold rolled Calibre 26 y pintado en esmalte horneable color blanco o azul.
Bisel en aluminio repujado o brillado
Contra bisel hecho en aluminio
Carátula o dial: elaborada en artes y posteriormente se hace la parte de litografía en hojalata, pintada con esmalte horneable y posteriormente se cubre con barniz transparente.
Remache fabricado en hierro 3/8” para el automático.
Resortes compensados a temperatura: elaborados en alambres acerados.
Piñón enterizo en acero.
Visor en vidrio: elaborado en vidrio transparente de 2mm.
Colgante con oreja.
Reloj con aro pintado, División: 1 onza, Diámetro del reloj: 21 cm, Sistema Mecánico con lectura por ambos lados, lectura por una cara en kilos y por la otra en libras.</t>
  </si>
  <si>
    <t xml:space="preserve">Bulto </t>
  </si>
  <si>
    <t>Litro</t>
  </si>
  <si>
    <t xml:space="preserve">Caneca </t>
  </si>
  <si>
    <t>litro</t>
  </si>
  <si>
    <t>Bascula Portátil Electrónica
Báscula portátil electrónica, plataforma plegable 100%, Capacidad de pesaje máximo: 500 kg, Protección de sobrepeso, Bandeja reforzado en acero inoxidable, LCD con luz de fondo, Teclado resistente al agua y al aceite, Unidades de pesaje kilogramos, Dimensiones de la bandeja: 45 cm de ancho x 60 cm de largo aproximadamente; Total función de ahorro de energía, Batería recargable, con mínimo 12 meses de garantía.</t>
  </si>
  <si>
    <t>Blower Aireador Solar de 1 HP
Kit blower o soplador industrial para aireación de estanques con funcionamiento mediante energía solar, Potencia: 750 watts (1 HP), Función Doble Propósito: inyección de aire oxigenado y extracción de gases nocivos, Voltaje: DC 48 voltios, Caudal: mínimo 25 m³/hora, Cobertura: mínimo 666 m², Material carcasa: plástico ABS, Dimensiones: 16 cm de ancho x 46 cm de alto (+/- 3%), Peso: 14 kg (+/- 3%)
Kit Sistema fotovoltaico autónomo compuesto por:
2 paneles solares monocristalinos de 590W.
1 batería ciclo profundo agm 100 amperios y 12 voltios.
1 inversos MPPT 80 amperios con potencia nominal mínima de 3000 watts y tensión nominal de trabajo mínima 12 voltios.
6 conectores mc4 par.
2 breakers AC de 30 amperios.
2 mini breakers DC para el riel DIN 32 amperios 800 voltios.
40 metros de cable polarizado apto para sistemas fotovoltaicos.
1 caja de protección para breakers.
3 cables calibre 2 AWG cada uno de 3 metros de longitud.
4 cables calibre 8AWG cada uno de 3 metros de longitud.
1 Dispositivo de Protección contra Sobretensiones (DPS).</t>
  </si>
  <si>
    <t>Geomembrana para revestimiento de estanques o pozos destinados al cultivo de camarón, fabricada en material sintético impermeable tipo HDPE, LLDPE o equivalente, con protección UV y exposiciones ambientales, resistente al rasgado. Dimensiones: área a cubrir 30 m2, medidas sujetas al requerimiento de la supervisión durante ejecución, espesor mínimo 1.0 mm.</t>
  </si>
  <si>
    <t>Kit multiparamétrico para análisis de calidad de agua dulce en sistemas piscícolas, capaz de medir como mínimo pH, pH de alto rango, amoníaco, nitrito, nitrato, oxígeno y dureza. El kit deberá permitir la realización de mínimo 900 pruebas en total, mediante método colorimétrico o equivalente, e incluir todos los reactivos, recipientes, comparadores e insumos necesarios para su operación.
Contenido mínimo de las pruebas:
Amoniaco: Mínimo 130 pruebas
Nitrato: Mínimo 90 pruebas.
Nitrito: Mínimo 90 pruebas.
Dureza: Mínimo 130 pruebas.
pH: Mínimo 250 pruebas.
pH de alto rango: Mínimo 160 pruebas.
Oxigeno: Mínimo 50 pruebas.
Nota: Los reactivos deberán contar con fecha de vencimiento vigente y remanente mínima del 70% al momento de la entrega. El producto deberá suministrarse con manual o instructivo y en perfectas condiciones. Deberá contar con los accesorios de ensayo correspondientes.</t>
  </si>
  <si>
    <t>Tanque de plástico (polietileno) con capacidad de 1000 litros para almacenamiento de agua potable, diámetro aprox 126 cm, ancho aprox 126 cm y alto aprox 145 cm, con capa interior virgen, avalados por NTC 5022 y NTC 4384, con recubrimiento que evite la producción de algas y bacterias, con aditivo U.V para el bloqueo de rayos ultravioletas.</t>
  </si>
  <si>
    <t>Tanque de plástico (polietileno) con capacidad de 500 litros para almacenamiento de agua potable diámetro aprox 105 cm, ancho aprox 105 cm, alto aprox 103 cm, con capa interior virgen, avalados por NTC 5022 y NTC 4384, con recubrimiento que evite la producción de algas y bacterias, con aditivo U.V para el bloqueo de rayos ultravioletas.</t>
  </si>
  <si>
    <t>Concentrado para tilapia extruder 30% de proteína min, Grasa min 6%, Fibra máx 6.0%, Cenizas máx 12%, Humedad máx 12%. Fecha de vigencia y/o elaboración. Presentación bulto x 40 kg.</t>
  </si>
  <si>
    <t xml:space="preserve">Fertilizante completo formulado 17-6-18-2, con una composición Nitrógeno Total (N) 17%, Fósforo 6%, Potasio 18%, Magnesio total 2%. Presentación bulto x 50 Kg. </t>
  </si>
  <si>
    <t xml:space="preserve">Cal dolomita proveniente de la pulverización de la roca dolomita. Calcio total (CaO) 35% - Magnesio total (MgO) 16%, pH 9.7. Bulto x 40 kilogramos </t>
  </si>
  <si>
    <t>Melaza de Caña Liquida como producto derivado de la caña de azúcar, con aspecto de color marrón oscuro, líquido denso y viscoso, de sabor dulce y ligeramente amargo. Composición: Azucares Totales mínimo 48%, cenizas sulfatadas máximo 16%, grados °brix 85. Presentación Bulto x 30 kg.</t>
  </si>
  <si>
    <t>Recipiente bidón plástico con capacidad de 20 litros, para el transporte de líquidos, compatibles con productos químicos, fitosanitarios, agroquímicos. Fabricados con polietileno de alta densidad, grosor constante en todas las áreas del envase.</t>
  </si>
  <si>
    <t>MUNUCIPIO</t>
  </si>
  <si>
    <t>LÍNEA</t>
  </si>
  <si>
    <t>UNIDAD DE MEDIDA</t>
  </si>
  <si>
    <t>VALOR TOTAL PROMEDIO</t>
  </si>
  <si>
    <t>DESCRIPCIÓN</t>
  </si>
  <si>
    <t>LOTE N°</t>
  </si>
  <si>
    <t>RESUMEN POR LOTE</t>
  </si>
  <si>
    <t>BC</t>
  </si>
  <si>
    <t>AC</t>
  </si>
  <si>
    <t>AB</t>
  </si>
  <si>
    <t>DISPERSIÓN ENTRE COTIZACIONES</t>
  </si>
  <si>
    <t>DISPERSIÓN MAX</t>
  </si>
  <si>
    <t>DISPERSIÓN MIN</t>
  </si>
  <si>
    <t>MAX</t>
  </si>
  <si>
    <t>MIN</t>
  </si>
  <si>
    <t>PROMEDIO UNITARIO</t>
  </si>
  <si>
    <t>FUNDACIÓN RUNAQAYA
NIT 900358541</t>
  </si>
  <si>
    <t>ASOCIACION DE CABILDOS INDIGENAS DE LA ZONA DE IPIALES (ACIZI)
NIT 830000096</t>
  </si>
  <si>
    <t>AGRICOLA SAN JOSÉ FUNES
NIT 27203549</t>
  </si>
  <si>
    <t>PRODUCTO</t>
  </si>
  <si>
    <t>ITEM N°</t>
  </si>
  <si>
    <t>LOTE N°2: INSUMOS</t>
  </si>
  <si>
    <t>Tanque de plástico (polietileno) con capacidad de  500 litros para almacenamiento de agua potable diámetro aprox 105 cm, ancho aprox 105 cm, alto aprox 103 cm, con capa interior virgen, avalados por NTC 5022 y NTC 4384, con recubrimiento que evite la producción de algas y bacterias, con aditivo U.V para el bloqueo de rayos ultravioletas.</t>
  </si>
  <si>
    <t>Tanque de plástico (polietileno) con capacidad de  1000 litros para almacenamiento de agua potable, diámetro aprox 126 cm, ancho aprox 126 cm y alto aprox 145 cm, con capa interior virgen, avalados por NTC 5022 y NTC 4384, con recubrimiento que evite la producción de algas y bacterias, con aditivo U.V para el bloqueo de rayos ultravioletas.</t>
  </si>
  <si>
    <t>TIPO</t>
  </si>
  <si>
    <t>LINEA</t>
  </si>
  <si>
    <t>MUNICIPIO</t>
  </si>
  <si>
    <t>LOTE N°1: EQUIPOS Y HERRAMIENTAS</t>
  </si>
  <si>
    <t>PRESUPUESTO OFICIAL</t>
  </si>
  <si>
    <t>No. de empresas que cumplen con el requisito</t>
  </si>
  <si>
    <t>No. de empresas que cumplen con el requisito - Muestra</t>
  </si>
  <si>
    <t>No. de empresas que cumplen con el requisito- Muestra</t>
  </si>
  <si>
    <t xml:space="preserve">No. de empresas que cumplen con el requisito- Departamento </t>
  </si>
  <si>
    <t>&gt;=</t>
  </si>
  <si>
    <t>&lt;=</t>
  </si>
  <si>
    <t>Índices de procesos adelantados por el Departamento</t>
  </si>
  <si>
    <t>&gt;=1 o INDETERMINADO</t>
  </si>
  <si>
    <t>Indices obtenidos por la muestra</t>
  </si>
  <si>
    <t xml:space="preserve">RENTABILIDAD DEL ACTIVO </t>
  </si>
  <si>
    <t xml:space="preserve">RENTABILIDAD DEL PATRIMONIO </t>
  </si>
  <si>
    <t>PATRIMONIO (30%)</t>
  </si>
  <si>
    <t>RAZÓN DE COBERTURA DE INTERÉSES</t>
  </si>
  <si>
    <t>INDICE DE ENDEUDAMIENTO</t>
  </si>
  <si>
    <t>INDICE DE LIQUIDEZ</t>
  </si>
  <si>
    <t>ECOLOGIC S.A.S</t>
  </si>
  <si>
    <t>Mediana</t>
  </si>
  <si>
    <t>SAFER AGROBIOLOGICOS SAS</t>
  </si>
  <si>
    <t>PRODESARROLLO LIMITADA</t>
  </si>
  <si>
    <t>Micro</t>
  </si>
  <si>
    <t>FUNDACIÓN FORMAR: FUNDACIÓN PARA LA INNOVACIÓN LA INVESTIGACIÓN ECONÓMICA Y LA CALIFICACIÓN DEL TALENTO HUMANO</t>
  </si>
  <si>
    <t>ATECH ADVANCED SOLUTIONS S.A. SUCURSAL COLOMBIA</t>
  </si>
  <si>
    <t>Gran empresa</t>
  </si>
  <si>
    <t>ABELLO Y ALDANA ARQUITECTOS - ABALARK SAS</t>
  </si>
  <si>
    <t>2RIOS INGENIERIA S.A.S.</t>
  </si>
  <si>
    <t>INDETERMINADO</t>
  </si>
  <si>
    <t>B&amp;M SOLUCIONES Y CONSULTORIAS S.A.S.</t>
  </si>
  <si>
    <t>ANDEAN GEOLOGICAL SERVICES A.G.S LTDA</t>
  </si>
  <si>
    <t>SIEE INGENIERIA S.A.S</t>
  </si>
  <si>
    <t>Pequeña</t>
  </si>
  <si>
    <t>KOBE SOLUTIONS S.A.S</t>
  </si>
  <si>
    <t>CORPORACIÓN UNIVERSITARIA AUTONOMA DE NARIÑO</t>
  </si>
  <si>
    <t>TEC INGENIERIA S.A.S</t>
  </si>
  <si>
    <t>GRUPO A CONSULTORES Y CONSTRUCTORES S.A.S</t>
  </si>
  <si>
    <t>INGENIERIA JM S.A.S</t>
  </si>
  <si>
    <t>BUSBANZA INGENIERIA S.A.S</t>
  </si>
  <si>
    <t>AUDIT TRUST SERVICES S.A.S</t>
  </si>
  <si>
    <t xml:space="preserve">INDETERMINADO </t>
  </si>
  <si>
    <t>CONBASES S.A.S</t>
  </si>
  <si>
    <t>ARTIEMTICA S.A.S</t>
  </si>
  <si>
    <t>FUNDACIÓN NUEVA ESPERANZA SOCIAL</t>
  </si>
  <si>
    <t>DESARROLLADORA DE NEGOCIOS Y SUMINISTROS CAM S.A.S</t>
  </si>
  <si>
    <t>0.57</t>
  </si>
  <si>
    <t>CYB CONSTRUCTORES S.A.S</t>
  </si>
  <si>
    <t>CONSULTORES Y SERVICIOS ASOCIADOS CSA S.A.S</t>
  </si>
  <si>
    <t>C&amp;C INGENIEROS CONSULTORES Y CONSTRUCTORES S.A.S</t>
  </si>
  <si>
    <t>Mico</t>
  </si>
  <si>
    <t>PROYECTISTAS ASOCIADOS S.A.S</t>
  </si>
  <si>
    <t>HB INGENIERIA S.A.S</t>
  </si>
  <si>
    <t>1570 INGENEIRIA S.A.S</t>
  </si>
  <si>
    <t>CONSICOR S.A.S</t>
  </si>
  <si>
    <t>BYD MULTIPROYECTOS S.A.S</t>
  </si>
  <si>
    <t>HQ SERVICIOS E INVERSIONES S.A.S</t>
  </si>
  <si>
    <t>GOBIERNO Y GESTIÓN LOCAL S.A.S</t>
  </si>
  <si>
    <t>CONSANDER S.A.S</t>
  </si>
  <si>
    <t>MAS TERRITORIO S.A.S</t>
  </si>
  <si>
    <t>BIOAGUA INGENIERIA Y CONTROL AMBIENTAL S.A.S</t>
  </si>
  <si>
    <t>AGRAMBIENTAL SOLUCIONES S.A.S</t>
  </si>
  <si>
    <t>NIT</t>
  </si>
  <si>
    <t>PROVEEDOR</t>
  </si>
  <si>
    <t>N°</t>
  </si>
  <si>
    <t>MIPYME</t>
  </si>
  <si>
    <t>PATRIMONIO</t>
  </si>
  <si>
    <t>https://ambientesolar.com.co/productos/kit-aislado-para-generacion-de-energia-con-acumulacion-en-bateria/</t>
  </si>
  <si>
    <t>https://www.homecenter.com.co/homecenter-co/product/354895/carrete-cable-acero-plastificado-1-8pg-200m/354895/</t>
  </si>
  <si>
    <t>https://biologika.co/products/atarraya?srsltid=AfmBOopQDmvqQunsZInnV44ttdl94Kzx40Y_aPFAOAYctZq_lnCm4rKh</t>
  </si>
  <si>
    <t>https://fabricaderedes.com/diametro-3-00-metros/1486-atarraya-multifilamento-malla-1cm.html</t>
  </si>
  <si>
    <t>https://colombia.bioweb.co/products/disco-secchi-limnologico-30-cm?variant=17959196933</t>
  </si>
  <si>
    <t>https://homecenter.falabella.com.co/homecenter-co/product/118865755/electrobomba-centrifuga-1-hp/118865759</t>
  </si>
  <si>
    <t>https://maquinagro.com/producto/fumigadora-estacionaria-honda-gx160-hl30b2-crg-5-5-hp/</t>
  </si>
  <si>
    <t>https://veterinarialared.com/producto/fumigadora-estacionaria-motor-gasolina-honda-gx160-bomba-diamond-ts28/</t>
  </si>
  <si>
    <t>https://www.homecenter.com.co/homecenter-co/product/384327/fumigadora-estacionaria-bomba-diafragma-de-55hp/384327/</t>
  </si>
  <si>
    <t>https://www.royalcondor.com/fumigadora-manual-royalcondor-la-activa/p</t>
  </si>
  <si>
    <t>https://www.homecenter.com.co/homecenter-co/product/562103/guadana-a-gasolina-srm4510-eje-recto-de-457-cc-2-tiempos/562103/</t>
  </si>
  <si>
    <t>https://www.royalcondor.com/repuestos-y-accesorios-kit-de-proteccion-royalcondor-con-pantalon-kitprtc-p/p</t>
  </si>
  <si>
    <t>https://www.durespo.com/products/motoazada-b1050-fujita-con-motor-a-diesel-de-6-5-hp-296-cc-4-tiempos-arranque-manual?srsltid=AfmBOoqxjIWXiEMtDLCvJbJfxYOCdMy2vxouecdLtVeagoAdFDDmzSfn</t>
  </si>
  <si>
    <t>https://www.homecenter.com.co/homecenter-co/product/477889/malla-gallinero-18x50mts-sin-ttubo/477889/</t>
  </si>
  <si>
    <t>https://www.homecenter.com.co/homecenter-co/product/517457/manguera-1-2pulgpolietileno-100-m-120-psi/517457/</t>
  </si>
  <si>
    <t>https://colombia.bioweb.co/products/kit-portatil-medidor-de-oxigeno-disuelto-con-sonda-y-estuche</t>
  </si>
  <si>
    <t>https://hannacolombia.com/producto/medidor-optico-de-oxigeno-disuelto-impermeable-opdo-hi98198-4m-13/?srsltid=AfmBOophMpPsUj9zQrdQWSXk70yU_VGASskIMXRrLiuTMokZCBKqJU0O</t>
  </si>
  <si>
    <t>https://maquitecdecolombia.com/compra-de/equipo-agricola/motosierra/motosierra-gasolina-toyama-722-cc-espada-24-pulgadas-tcs72xp/?shopping&amp;gad_source=1&amp;gad_campaignid=12733869726&amp;gbraid=0AAAAADwAQf8OJfZTng3K3qwYs7sifhcSp&amp;gclid=CjwKCAjwvsvTBhBaEiwAmf-3nm2JPqdRUipUliP0mRwnV4lGLp_Tn27o-JPLEMJrseOpTLNn3LaEphoCHdgQAvD_BwE</t>
  </si>
  <si>
    <t>https://sumagen.com.co/product/overol-fontanero/</t>
  </si>
  <si>
    <t>https://www.homecenter.com.co/homecenter-co/product/148136/pala-redonda-n4-con-cabo-68036/148136/</t>
  </si>
  <si>
    <t>https://croper.com/products/1359-tanque-agroindustrial-m-16?srsltid=AfmBOoplgKdtF6IqZGFYHRpyQOZ8B4O5Xw5kv_lUTUYTJuZGIBqSBXr1byc</t>
  </si>
  <si>
    <t>https://croper.com/products/4919-tanque-agroindustrial-m-10?srsltid=AfmBOorlWaUoKl9Rx7AzkwlgOBWbM8uNmgolBQyrAjOZKGbkVcyxVhEnckU</t>
  </si>
  <si>
    <t>https://www.homecenter.com.co/homecenter-co/product/31652/tanque-1000-litros/31652/</t>
  </si>
  <si>
    <t>https://www.homecenter.com.co/homecenter-co/product/31651/tanque-500-litros/31651/</t>
  </si>
  <si>
    <t>https://www.google.com/search?sa=X&amp;sca_esv=96de9828adab30a7&amp;rlz=1C1GCEB_enCO1035CO1036&amp;sxsrf=APpeQns3CEaKNi50BB6Db0X5vWDdXzgJlQ:1785959987935&amp;udm=28&amp;fbs=ABfTbFUDadgeu2mn4mYJ8iEZ1GUDd8ABuXxNzQEi57SWOuuPdScLx3ol9c1cFkljSkR7a93eyZS02fp-fDRcVXCUwvuz9DHbYMMSENnBbIGS51lwyjqEsRyis7SdfyYi7Cg-VPJyOtVdyh40NW8ZssFrM8zdGCzFjj5ueqH6DyQWx1mvZZVUaDL6NksYAgMmM9dWagfXFWqwvOkVLwnmk9DGOu2P48Ty_cYUSKOuXz_IqgxxCYbsJJc&amp;q=Abono+org%C3%A1nico+mezclado+composici%C3%B3n+m%C3%ADnima+de+nitr%C3%B3geno+al+1,5%25,+Fosforo+asimilable+al+4%25+y+Potasio+soluble+al+3,5%25,+Calcio+(CaO)+10%25,+Magnesio+total+(MgO)+1.3%25,+Carbono+org%C3%A1nico+oxidable+19%25+.+Bulto+x+40+kg.&amp;ved=1t:220175&amp;ictx=111&amp;biw=1366&amp;bih=633&amp;dpr=1</t>
  </si>
  <si>
    <t>https://croper.com/products/12886-alevines-y-larvas-de-tilpia-roja?srsltid=AfmBOoqSu3z6NAm2JcIVHr9BT3cB15u3c4YSm5Qd_ZQ0tT56gNQS9_l-</t>
  </si>
  <si>
    <t>https://www.tierragro.com/products/15-15-15-x-50-kg-nutrimon-fertilizantes-agro?variant=46165147287777</t>
  </si>
  <si>
    <t>https://www.mercadolibre.com.co/fertilizante-abono-produccion-nutrimon-176182-x-50kg/up/MCOU3097963979?matt_tool=19390127&amp;utm_source=google_shopping&amp;utm_medium=organic&amp;pdp_filters=item_id%3AMCO2841795552&amp;from=gshop</t>
  </si>
  <si>
    <t>https://agroactivocol.com/products/fungicida-pyrimethanil-siganex-60-sc?srsltid=AfmBOopV8YXor7a5cZAtFDQQdTvOZYX3gqUGeHCN7lM-_jQEW1JZ7R7y</t>
  </si>
  <si>
    <t>https://agroactivocol.com/products/herbicida-paraquat-gramafin-sl?variant=45726028103811</t>
  </si>
  <si>
    <t>https://agroactivocol.com/products/insecticida-lambda-cihalotrina-athrin-brio?srsltid=AfmBOoqII_ijxmca05pvo_VR7a4LqduTmuuUCH477rR9DPw23yzdNPZO</t>
  </si>
  <si>
    <t>https://tumatera.co/products/bulto-cal-dolomita-x-50-kg?variant=42842320175331&amp;country=CO&amp;currency=COP&amp;utm_medium=product_sync&amp;utm_source=google&amp;utm_content=sag_organic&amp;utm_campaign=sag_organic&amp;srsltid=AfmBOoqdwHysNURYRkf8U3Yu3YmzcxHAvqjGu55ioivuV7bneNZbqPd_6M0</t>
  </si>
  <si>
    <t>https://www.tierragro.com/products/melaza-agrorisaralda-bolsa-x-30-kls?srsltid=AfmBOop5tI0KR5PfO7Sla3JdT5Ss_YFIiJ1EwlH-kExT4KkFz6Ruu19p</t>
  </si>
  <si>
    <t>https://www.homecenter.com.co/homecenter-co/product/395751/bidon-porta-agua-colapsible-plastico-blanco-20-lt/395751/</t>
  </si>
  <si>
    <t>https://www.tiendascalypso.com/saco-fique-granel/p?srsltid=AfmBOorhfyACqh5wxKXo9lEBZz6Ei5KxgwkXRt5_Z4E5OuwGnnyA178a</t>
  </si>
  <si>
    <t>SE EXCEDE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</si>
</sst>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5" formatCode="&quot;$&quot;\ #,##0;\-&quot;$&quot;\ #,##0"/>
    <numFmt numFmtId="6" formatCode="&quot;$&quot;\ #,##0;[Red]\-&quot;$&quot;\ #,##0"/>
    <numFmt numFmtId="8" formatCode="&quot;$&quot;\ #,##0.00;[Red]\-&quot;$&quot;\ #,##0.00"/>
    <numFmt numFmtId="44" formatCode="_-&quot;$&quot;\ * #,##0.00_-;\-&quot;$&quot;\ * #,##0.00_-;_-&quot;$&quot;\ * &quot;-&quot;??_-;_-@_-"/>
    <numFmt numFmtId="43" formatCode="_-* #,##0.00_-;\-* #,##0.00_-;_-* &quot;-&quot;??_-;_-@_-"/>
    <numFmt numFmtId="164" formatCode="_-* #,##0_-;\-* #,##0_-;_-* &quot;-&quot;??_-;_-@_-"/>
    <numFmt numFmtId="165" formatCode="#,##0_ ;\-#,##0\ "/>
    <numFmt numFmtId="166" formatCode="&quot;$&quot;\ #,##0"/>
    <numFmt numFmtId="167" formatCode="0.0%"/>
    <numFmt numFmtId="168" formatCode="_-&quot;$&quot;\ * #,##0_-;\-&quot;$&quot;\ * #,##0_-;_-&quot;$&quot;\ * &quot;-&quot;??_-;_-@_-"/>
  </numFmts>
  <fonts count="28" x14ac:knownFonts="1">
    <font>
      <sz val="11"/>
      <color theme="1"/>
      <name val="Calibri"/>
      <family val="2"/>
      <scheme val="minor"/>
    </font>
    <font>
      <sz val="11"/>
      <color theme="1"/>
      <name val="Calibri"/>
      <family val="2"/>
      <scheme val="minor"/>
    </font>
    <font>
      <b/>
      <sz val="10"/>
      <color theme="1"/>
      <name val="Arial"/>
      <family val="2"/>
    </font>
    <font>
      <sz val="11"/>
      <color theme="1"/>
      <name val="Calibri"/>
      <family val="2"/>
      <scheme val="minor"/>
    </font>
    <font>
      <sz val="11"/>
      <name val="Calibri"/>
      <family val="2"/>
      <scheme val="minor"/>
    </font>
    <font>
      <sz val="10"/>
      <name val="Arial"/>
      <family val="2"/>
    </font>
    <font>
      <sz val="9"/>
      <color rgb="FF000000"/>
      <name val="Arial"/>
      <family val="2"/>
    </font>
    <font>
      <sz val="9"/>
      <name val="Arial"/>
      <family val="2"/>
    </font>
    <font>
      <b/>
      <sz val="11"/>
      <color theme="1"/>
      <name val="Arial"/>
      <family val="2"/>
    </font>
    <font>
      <sz val="11"/>
      <color theme="1"/>
      <name val="Arial"/>
      <family val="2"/>
    </font>
    <font>
      <b/>
      <sz val="11"/>
      <color theme="0"/>
      <name val="Arial"/>
      <family val="2"/>
    </font>
    <font>
      <b/>
      <sz val="10"/>
      <color theme="0"/>
      <name val="Arial"/>
      <family val="2"/>
    </font>
    <font>
      <sz val="10"/>
      <color theme="1"/>
      <name val="Arial"/>
      <family val="2"/>
    </font>
    <font>
      <sz val="9"/>
      <color theme="1"/>
      <name val="Arial"/>
      <family val="2"/>
    </font>
    <font>
      <b/>
      <sz val="9"/>
      <color theme="0"/>
      <name val="Arial"/>
      <family val="2"/>
    </font>
    <font>
      <sz val="9"/>
      <color rgb="FFFF0000"/>
      <name val="Arial"/>
      <family val="2"/>
    </font>
    <font>
      <b/>
      <sz val="9"/>
      <color theme="1"/>
      <name val="Arial"/>
      <family val="2"/>
    </font>
    <font>
      <b/>
      <sz val="11"/>
      <color theme="1"/>
      <name val="Calibri"/>
      <family val="2"/>
      <scheme val="minor"/>
    </font>
    <font>
      <sz val="11"/>
      <color theme="0"/>
      <name val="Calibri"/>
      <family val="2"/>
      <scheme val="minor"/>
    </font>
    <font>
      <b/>
      <u/>
      <sz val="22"/>
      <color theme="1"/>
      <name val="Arial"/>
      <family val="2"/>
    </font>
    <font>
      <sz val="11"/>
      <color rgb="FF000000"/>
      <name val="Arial"/>
      <family val="2"/>
    </font>
    <font>
      <sz val="8"/>
      <color rgb="FF000000"/>
      <name val="Arial"/>
      <family val="2"/>
    </font>
    <font>
      <b/>
      <sz val="8"/>
      <color theme="1"/>
      <name val="Arial"/>
      <family val="2"/>
    </font>
    <font>
      <b/>
      <sz val="8"/>
      <color rgb="FF000000"/>
      <name val="Arial"/>
      <family val="2"/>
    </font>
    <font>
      <b/>
      <sz val="8"/>
      <color rgb="FFFFFFFF"/>
      <name val="Arial"/>
      <family val="2"/>
    </font>
    <font>
      <b/>
      <sz val="11"/>
      <name val="Calibri"/>
      <family val="2"/>
      <scheme val="minor"/>
    </font>
    <font>
      <b/>
      <sz val="9"/>
      <name val="Arial"/>
      <family val="2"/>
    </font>
    <font>
      <b/>
      <sz val="14"/>
      <color theme="0"/>
      <name val="Calibri"/>
      <family val="2"/>
      <scheme val="minor"/>
    </font>
  </fonts>
  <fills count="13">
    <fill>
      <patternFill patternType="none"/>
    </fill>
    <fill>
      <patternFill patternType="gray125"/>
    </fill>
    <fill>
      <patternFill patternType="solid">
        <fgColor rgb="FFFFFF00"/>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rgb="FFFF0000"/>
        <bgColor indexed="64"/>
      </patternFill>
    </fill>
    <fill>
      <patternFill patternType="solid">
        <fgColor rgb="FF002060"/>
        <bgColor indexed="64"/>
      </patternFill>
    </fill>
    <fill>
      <patternFill patternType="solid">
        <fgColor rgb="FF002060"/>
        <bgColor rgb="FFB4C6E7"/>
      </patternFill>
    </fill>
    <fill>
      <patternFill patternType="solid">
        <fgColor theme="0" tint="-0.14999847407452621"/>
        <bgColor indexed="64"/>
      </patternFill>
    </fill>
    <fill>
      <patternFill patternType="solid">
        <fgColor rgb="FFFFC000"/>
        <bgColor indexed="64"/>
      </patternFill>
    </fill>
    <fill>
      <patternFill patternType="solid">
        <fgColor rgb="FF7030A0"/>
        <bgColor indexed="64"/>
      </patternFill>
    </fill>
    <fill>
      <patternFill patternType="solid">
        <fgColor rgb="FFD9D9D9"/>
        <bgColor indexed="64"/>
      </patternFill>
    </fill>
    <fill>
      <patternFill patternType="solid">
        <fgColor rgb="FFFFFFFF"/>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top/>
      <bottom/>
      <diagonal/>
    </border>
    <border>
      <left/>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0" fontId="3" fillId="0" borderId="0"/>
    <xf numFmtId="9" fontId="1" fillId="0" borderId="0" applyFont="0" applyFill="0" applyBorder="0" applyAlignment="0" applyProtection="0"/>
  </cellStyleXfs>
  <cellXfs count="240">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applyAlignment="1">
      <alignment vertical="center" wrapText="1"/>
    </xf>
    <xf numFmtId="0" fontId="0" fillId="0" borderId="1" xfId="0" applyBorder="1" applyAlignment="1">
      <alignment horizontal="center" vertical="center" wrapText="1"/>
    </xf>
    <xf numFmtId="0" fontId="0" fillId="0" borderId="1" xfId="0" applyBorder="1" applyAlignment="1">
      <alignment horizontal="left"/>
    </xf>
    <xf numFmtId="0" fontId="0" fillId="0" borderId="0" xfId="0" applyAlignment="1">
      <alignment horizontal="left"/>
    </xf>
    <xf numFmtId="0" fontId="0" fillId="0" borderId="0" xfId="0" applyAlignment="1">
      <alignment vertical="center"/>
    </xf>
    <xf numFmtId="0" fontId="5" fillId="0" borderId="1" xfId="3" applyFont="1" applyBorder="1" applyAlignment="1">
      <alignment horizontal="center" vertical="center"/>
    </xf>
    <xf numFmtId="0" fontId="0" fillId="0" borderId="1" xfId="0" applyBorder="1" applyAlignment="1">
      <alignment vertical="center"/>
    </xf>
    <xf numFmtId="0" fontId="4" fillId="0" borderId="1" xfId="0" applyFont="1" applyBorder="1" applyAlignment="1">
      <alignment horizontal="center" vertical="center"/>
    </xf>
    <xf numFmtId="0" fontId="0" fillId="0" borderId="0" xfId="0" applyAlignment="1">
      <alignment horizontal="left" vertical="center"/>
    </xf>
    <xf numFmtId="0" fontId="4" fillId="0" borderId="0" xfId="0" applyFont="1"/>
    <xf numFmtId="0" fontId="0" fillId="0" borderId="0" xfId="0" applyAlignment="1">
      <alignment wrapText="1"/>
    </xf>
    <xf numFmtId="166" fontId="4" fillId="0" borderId="1" xfId="1" applyNumberFormat="1" applyFont="1" applyFill="1" applyBorder="1" applyAlignment="1">
      <alignment horizontal="center" vertical="center"/>
    </xf>
    <xf numFmtId="166" fontId="5" fillId="0" borderId="1" xfId="4" applyNumberFormat="1" applyFont="1" applyBorder="1" applyAlignment="1">
      <alignment horizontal="center" vertical="center"/>
    </xf>
    <xf numFmtId="0" fontId="4" fillId="0" borderId="1" xfId="0" applyFont="1" applyBorder="1" applyAlignment="1">
      <alignment horizontal="center" vertical="center" wrapText="1"/>
    </xf>
    <xf numFmtId="5" fontId="4" fillId="0" borderId="1" xfId="1" applyNumberFormat="1" applyFont="1" applyFill="1" applyBorder="1" applyAlignment="1">
      <alignment horizontal="center" vertical="center" wrapText="1"/>
    </xf>
    <xf numFmtId="43" fontId="0" fillId="0" borderId="0" xfId="0" applyNumberFormat="1"/>
    <xf numFmtId="43" fontId="0" fillId="0" borderId="1" xfId="0" applyNumberFormat="1" applyBorder="1" applyAlignment="1">
      <alignment vertical="center" wrapText="1"/>
    </xf>
    <xf numFmtId="49" fontId="0" fillId="0" borderId="1" xfId="0" applyNumberFormat="1" applyBorder="1" applyAlignment="1">
      <alignment vertical="center" wrapText="1"/>
    </xf>
    <xf numFmtId="43" fontId="0" fillId="0" borderId="0" xfId="1" applyFont="1"/>
    <xf numFmtId="164" fontId="0" fillId="0" borderId="0" xfId="1" applyNumberFormat="1" applyFont="1"/>
    <xf numFmtId="5" fontId="0" fillId="0" borderId="1" xfId="1" applyNumberFormat="1" applyFont="1" applyBorder="1" applyAlignment="1">
      <alignment vertical="center"/>
    </xf>
    <xf numFmtId="164" fontId="0" fillId="0" borderId="0" xfId="1" applyNumberFormat="1" applyFont="1" applyBorder="1" applyAlignment="1">
      <alignment vertical="center"/>
    </xf>
    <xf numFmtId="5" fontId="0" fillId="0" borderId="0" xfId="1" applyNumberFormat="1" applyFont="1" applyBorder="1" applyAlignment="1">
      <alignment vertical="center"/>
    </xf>
    <xf numFmtId="43" fontId="0" fillId="0" borderId="1" xfId="1" applyFont="1" applyBorder="1" applyAlignment="1">
      <alignment vertical="center"/>
    </xf>
    <xf numFmtId="43" fontId="0" fillId="0" borderId="1" xfId="0" applyNumberFormat="1" applyBorder="1" applyAlignment="1">
      <alignment horizontal="left" wrapText="1"/>
    </xf>
    <xf numFmtId="43" fontId="0" fillId="0" borderId="1" xfId="0" applyNumberFormat="1" applyBorder="1" applyAlignment="1">
      <alignment horizontal="center" vertical="center" wrapText="1"/>
    </xf>
    <xf numFmtId="0" fontId="0" fillId="0" borderId="0" xfId="0" applyAlignment="1">
      <alignment horizontal="center" vertical="center" wrapText="1"/>
    </xf>
    <xf numFmtId="164" fontId="9" fillId="0" borderId="1" xfId="1" applyNumberFormat="1" applyFont="1" applyBorder="1" applyAlignment="1">
      <alignment horizontal="center" vertical="center" wrapText="1"/>
    </xf>
    <xf numFmtId="0" fontId="9" fillId="0" borderId="0" xfId="0" applyFont="1"/>
    <xf numFmtId="0" fontId="2" fillId="0" borderId="0" xfId="0" applyFont="1"/>
    <xf numFmtId="0" fontId="12" fillId="0" borderId="1" xfId="0" applyFont="1" applyBorder="1" applyAlignment="1">
      <alignment horizontal="center" vertical="center" wrapText="1"/>
    </xf>
    <xf numFmtId="164" fontId="12" fillId="0" borderId="1" xfId="1" applyNumberFormat="1" applyFont="1" applyBorder="1" applyAlignment="1">
      <alignment horizontal="center" vertical="center"/>
    </xf>
    <xf numFmtId="0" fontId="12" fillId="0" borderId="0" xfId="0" applyFont="1" applyAlignment="1">
      <alignment vertical="center"/>
    </xf>
    <xf numFmtId="49" fontId="12" fillId="0" borderId="1" xfId="0" applyNumberFormat="1" applyFont="1" applyBorder="1" applyAlignment="1">
      <alignment vertical="center" wrapText="1"/>
    </xf>
    <xf numFmtId="43" fontId="12" fillId="0" borderId="0" xfId="1" applyFont="1" applyAlignment="1">
      <alignment vertical="center"/>
    </xf>
    <xf numFmtId="0" fontId="12" fillId="0" borderId="1" xfId="0" applyFont="1" applyBorder="1" applyAlignment="1">
      <alignment vertical="center" wrapText="1"/>
    </xf>
    <xf numFmtId="164" fontId="12" fillId="0" borderId="1" xfId="1" applyNumberFormat="1" applyFont="1" applyBorder="1" applyAlignment="1">
      <alignment horizontal="center" vertical="center" wrapText="1"/>
    </xf>
    <xf numFmtId="164" fontId="12" fillId="0" borderId="1" xfId="0" applyNumberFormat="1" applyFont="1" applyBorder="1" applyAlignment="1">
      <alignment vertical="center" wrapText="1"/>
    </xf>
    <xf numFmtId="43" fontId="12" fillId="0" borderId="1" xfId="0" applyNumberFormat="1" applyFont="1" applyBorder="1" applyAlignment="1">
      <alignment vertical="center" wrapText="1"/>
    </xf>
    <xf numFmtId="0" fontId="12" fillId="0" borderId="0" xfId="0" applyFont="1"/>
    <xf numFmtId="164" fontId="12" fillId="0" borderId="0" xfId="1" applyNumberFormat="1" applyFont="1" applyAlignment="1">
      <alignment horizontal="center" vertical="center"/>
    </xf>
    <xf numFmtId="164" fontId="12" fillId="0" borderId="1" xfId="1" applyNumberFormat="1" applyFont="1" applyFill="1" applyBorder="1" applyAlignment="1">
      <alignment horizontal="center" vertical="center"/>
    </xf>
    <xf numFmtId="0" fontId="12" fillId="0" borderId="0" xfId="0" applyFont="1" applyAlignment="1">
      <alignment horizontal="center"/>
    </xf>
    <xf numFmtId="0" fontId="12" fillId="0" borderId="0" xfId="0" applyFont="1" applyAlignment="1">
      <alignment horizontal="center" vertical="center" wrapText="1"/>
    </xf>
    <xf numFmtId="0" fontId="0" fillId="0" borderId="1" xfId="0" applyBorder="1" applyAlignment="1">
      <alignment horizontal="left" wrapText="1"/>
    </xf>
    <xf numFmtId="43" fontId="0" fillId="0" borderId="1" xfId="0" applyNumberFormat="1" applyBorder="1" applyAlignment="1">
      <alignment horizontal="left" vertical="center" wrapText="1"/>
    </xf>
    <xf numFmtId="165" fontId="0" fillId="0" borderId="1" xfId="0" applyNumberFormat="1" applyBorder="1" applyAlignment="1">
      <alignment horizontal="left" vertical="center" wrapText="1"/>
    </xf>
    <xf numFmtId="5" fontId="0" fillId="0" borderId="1" xfId="0" applyNumberFormat="1" applyBorder="1" applyAlignment="1">
      <alignment horizontal="left" vertical="center" wrapText="1"/>
    </xf>
    <xf numFmtId="6" fontId="0" fillId="3" borderId="1" xfId="0" applyNumberFormat="1" applyFill="1" applyBorder="1" applyAlignment="1">
      <alignment horizontal="left" vertical="center" wrapText="1"/>
    </xf>
    <xf numFmtId="0" fontId="6" fillId="0" borderId="1" xfId="0" applyFont="1" applyBorder="1" applyAlignment="1">
      <alignment vertical="center" wrapText="1"/>
    </xf>
    <xf numFmtId="0" fontId="6" fillId="0" borderId="1" xfId="0" applyFont="1" applyBorder="1" applyAlignment="1">
      <alignment horizontal="center" vertical="center" wrapText="1"/>
    </xf>
    <xf numFmtId="0" fontId="7" fillId="0" borderId="1" xfId="0" applyFont="1" applyBorder="1" applyAlignment="1">
      <alignment vertical="center" wrapText="1"/>
    </xf>
    <xf numFmtId="0" fontId="6" fillId="0" borderId="1" xfId="0" applyFont="1" applyBorder="1" applyAlignment="1">
      <alignment horizontal="left" vertical="center" wrapText="1"/>
    </xf>
    <xf numFmtId="0" fontId="7" fillId="0" borderId="1" xfId="0" applyFont="1" applyBorder="1" applyAlignment="1">
      <alignment horizontal="left" vertical="center" wrapText="1"/>
    </xf>
    <xf numFmtId="0" fontId="13" fillId="0" borderId="0" xfId="0" applyFont="1"/>
    <xf numFmtId="0" fontId="11" fillId="6" borderId="1" xfId="0" applyFont="1" applyFill="1" applyBorder="1" applyAlignment="1">
      <alignment horizontal="center" vertical="center" wrapText="1"/>
    </xf>
    <xf numFmtId="0" fontId="11" fillId="6" borderId="1" xfId="0" applyFont="1" applyFill="1" applyBorder="1" applyAlignment="1">
      <alignment horizontal="center" vertical="center"/>
    </xf>
    <xf numFmtId="164" fontId="11" fillId="6" borderId="1" xfId="1" applyNumberFormat="1" applyFont="1" applyFill="1" applyBorder="1" applyAlignment="1">
      <alignment horizontal="center" vertical="center"/>
    </xf>
    <xf numFmtId="0" fontId="13" fillId="0" borderId="1" xfId="0" applyFont="1" applyBorder="1" applyAlignment="1">
      <alignment horizontal="justify" vertical="center" wrapText="1"/>
    </xf>
    <xf numFmtId="0" fontId="13" fillId="0" borderId="1" xfId="0" applyFont="1" applyBorder="1" applyAlignment="1">
      <alignment horizontal="center" vertical="center" wrapText="1"/>
    </xf>
    <xf numFmtId="5" fontId="9" fillId="0" borderId="0" xfId="0" applyNumberFormat="1" applyFont="1" applyAlignment="1">
      <alignment horizontal="center"/>
    </xf>
    <xf numFmtId="0" fontId="9" fillId="0" borderId="0" xfId="0" applyFont="1" applyAlignment="1">
      <alignment horizontal="center" vertical="center"/>
    </xf>
    <xf numFmtId="0" fontId="9" fillId="0" borderId="0" xfId="0" applyFont="1" applyAlignment="1">
      <alignment horizontal="center"/>
    </xf>
    <xf numFmtId="43" fontId="10" fillId="6" borderId="1" xfId="1" applyFont="1" applyFill="1" applyBorder="1" applyAlignment="1">
      <alignment horizontal="center" vertical="center" wrapText="1"/>
    </xf>
    <xf numFmtId="0" fontId="8" fillId="3" borderId="1" xfId="0" applyFont="1" applyFill="1" applyBorder="1" applyAlignment="1">
      <alignment horizontal="center" vertical="center" wrapText="1"/>
    </xf>
    <xf numFmtId="5" fontId="8" fillId="3" borderId="1" xfId="1" applyNumberFormat="1" applyFont="1" applyFill="1" applyBorder="1" applyAlignment="1">
      <alignment horizontal="center" vertical="center"/>
    </xf>
    <xf numFmtId="5" fontId="9" fillId="0" borderId="1" xfId="1" applyNumberFormat="1" applyFont="1" applyBorder="1" applyAlignment="1">
      <alignment horizontal="center" vertical="center" wrapText="1"/>
    </xf>
    <xf numFmtId="5" fontId="8" fillId="0" borderId="1" xfId="1" applyNumberFormat="1" applyFont="1" applyBorder="1" applyAlignment="1">
      <alignment horizontal="center" vertical="center" wrapText="1"/>
    </xf>
    <xf numFmtId="164" fontId="8" fillId="0" borderId="1" xfId="1" applyNumberFormat="1" applyFont="1" applyBorder="1" applyAlignment="1">
      <alignment horizontal="center" vertical="center" wrapText="1"/>
    </xf>
    <xf numFmtId="43" fontId="9" fillId="0" borderId="1" xfId="1" applyFont="1" applyBorder="1" applyAlignment="1">
      <alignment horizontal="left" vertical="center" wrapText="1"/>
    </xf>
    <xf numFmtId="43" fontId="0" fillId="0" borderId="0" xfId="0" applyNumberFormat="1" applyAlignment="1">
      <alignment horizontal="center" vertical="center"/>
    </xf>
    <xf numFmtId="0" fontId="11" fillId="7" borderId="1" xfId="3" applyFont="1" applyFill="1" applyBorder="1" applyAlignment="1">
      <alignment horizontal="center" vertical="center"/>
    </xf>
    <xf numFmtId="0" fontId="11" fillId="7" borderId="1" xfId="3" applyFont="1" applyFill="1" applyBorder="1" applyAlignment="1">
      <alignment horizontal="center" vertical="center" wrapText="1"/>
    </xf>
    <xf numFmtId="0" fontId="7" fillId="0" borderId="1" xfId="0" applyFont="1" applyBorder="1" applyAlignment="1">
      <alignment horizontal="center" vertical="center" wrapText="1"/>
    </xf>
    <xf numFmtId="0" fontId="6" fillId="0" borderId="1" xfId="0" applyFont="1" applyBorder="1" applyAlignment="1">
      <alignment wrapText="1"/>
    </xf>
    <xf numFmtId="165" fontId="0" fillId="0" borderId="1" xfId="0" applyNumberFormat="1" applyBorder="1" applyAlignment="1">
      <alignment horizontal="center" vertical="center" wrapText="1"/>
    </xf>
    <xf numFmtId="5" fontId="0" fillId="0" borderId="1" xfId="0" applyNumberFormat="1" applyBorder="1" applyAlignment="1">
      <alignment horizontal="center" vertical="center" wrapText="1"/>
    </xf>
    <xf numFmtId="6" fontId="0" fillId="3" borderId="1" xfId="0" applyNumberFormat="1" applyFill="1" applyBorder="1" applyAlignment="1">
      <alignment horizontal="center" vertical="center" wrapText="1"/>
    </xf>
    <xf numFmtId="0" fontId="6" fillId="0" borderId="1" xfId="0" applyFont="1" applyBorder="1" applyAlignment="1">
      <alignment horizontal="justify" vertical="center" wrapText="1"/>
    </xf>
    <xf numFmtId="0" fontId="13" fillId="0" borderId="0" xfId="0" applyFont="1" applyAlignment="1">
      <alignment horizontal="center" vertical="center"/>
    </xf>
    <xf numFmtId="43" fontId="13" fillId="0" borderId="1" xfId="0" applyNumberFormat="1" applyFont="1" applyBorder="1" applyAlignment="1">
      <alignment horizontal="center" vertical="center" wrapText="1"/>
    </xf>
    <xf numFmtId="0" fontId="14" fillId="7" borderId="1" xfId="3" applyFont="1" applyFill="1" applyBorder="1" applyAlignment="1">
      <alignment horizontal="center" vertical="center"/>
    </xf>
    <xf numFmtId="0" fontId="14" fillId="7" borderId="1" xfId="3" applyFont="1" applyFill="1" applyBorder="1" applyAlignment="1">
      <alignment horizontal="center" vertical="center" wrapText="1"/>
    </xf>
    <xf numFmtId="43" fontId="13" fillId="0" borderId="0" xfId="0" applyNumberFormat="1" applyFont="1"/>
    <xf numFmtId="0" fontId="7" fillId="0" borderId="1" xfId="0" applyFont="1" applyBorder="1" applyAlignment="1">
      <alignment horizontal="center" vertical="center"/>
    </xf>
    <xf numFmtId="166" fontId="7" fillId="0" borderId="1" xfId="4" applyNumberFormat="1" applyFont="1" applyBorder="1" applyAlignment="1">
      <alignment horizontal="center" vertical="center"/>
    </xf>
    <xf numFmtId="166" fontId="7" fillId="0" borderId="1" xfId="1" applyNumberFormat="1" applyFont="1" applyFill="1" applyBorder="1" applyAlignment="1">
      <alignment horizontal="center" vertical="center"/>
    </xf>
    <xf numFmtId="166" fontId="13" fillId="0" borderId="0" xfId="0" applyNumberFormat="1" applyFont="1"/>
    <xf numFmtId="0" fontId="13" fillId="0" borderId="0" xfId="0" applyFont="1" applyAlignment="1">
      <alignment horizontal="center" vertical="center" wrapText="1"/>
    </xf>
    <xf numFmtId="43" fontId="13" fillId="0" borderId="1" xfId="0" applyNumberFormat="1" applyFont="1" applyBorder="1" applyAlignment="1">
      <alignment horizontal="left" vertical="center"/>
    </xf>
    <xf numFmtId="165" fontId="13" fillId="0" borderId="1" xfId="0" applyNumberFormat="1" applyFont="1" applyBorder="1" applyAlignment="1">
      <alignment horizontal="left" vertical="center"/>
    </xf>
    <xf numFmtId="5" fontId="13" fillId="0" borderId="1" xfId="0" applyNumberFormat="1" applyFont="1" applyBorder="1" applyAlignment="1">
      <alignment horizontal="left" vertical="center"/>
    </xf>
    <xf numFmtId="6" fontId="13" fillId="3" borderId="1" xfId="0" applyNumberFormat="1" applyFont="1" applyFill="1" applyBorder="1" applyAlignment="1">
      <alignment horizontal="left" vertical="center"/>
    </xf>
    <xf numFmtId="0" fontId="13" fillId="0" borderId="0" xfId="0" applyFont="1" applyAlignment="1">
      <alignment vertical="center"/>
    </xf>
    <xf numFmtId="43" fontId="0" fillId="0" borderId="1" xfId="0" applyNumberFormat="1" applyBorder="1" applyAlignment="1">
      <alignment horizontal="center" wrapText="1"/>
    </xf>
    <xf numFmtId="0" fontId="0" fillId="0" borderId="1" xfId="0" applyBorder="1" applyAlignment="1">
      <alignment horizontal="center" wrapText="1"/>
    </xf>
    <xf numFmtId="5" fontId="0" fillId="0" borderId="1" xfId="0" applyNumberFormat="1" applyBorder="1" applyAlignment="1">
      <alignment horizontal="center" wrapText="1"/>
    </xf>
    <xf numFmtId="5" fontId="0" fillId="4" borderId="1" xfId="0" applyNumberFormat="1" applyFill="1" applyBorder="1" applyAlignment="1">
      <alignment horizontal="center" wrapText="1"/>
    </xf>
    <xf numFmtId="0" fontId="7" fillId="0" borderId="1" xfId="0" applyFont="1" applyBorder="1" applyAlignment="1">
      <alignment wrapText="1"/>
    </xf>
    <xf numFmtId="0" fontId="0" fillId="0" borderId="0" xfId="0" applyAlignment="1">
      <alignment vertical="center" wrapText="1"/>
    </xf>
    <xf numFmtId="5" fontId="0" fillId="4" borderId="1" xfId="0" applyNumberFormat="1" applyFill="1" applyBorder="1" applyAlignment="1">
      <alignment horizontal="center" vertical="center" wrapText="1"/>
    </xf>
    <xf numFmtId="0" fontId="13" fillId="0" borderId="0" xfId="0" applyFont="1" applyAlignment="1">
      <alignment horizontal="center"/>
    </xf>
    <xf numFmtId="0" fontId="13" fillId="0" borderId="1" xfId="0" applyFont="1" applyBorder="1" applyAlignment="1">
      <alignment horizontal="center" vertical="center"/>
    </xf>
    <xf numFmtId="0" fontId="13" fillId="0" borderId="4" xfId="0" applyFont="1" applyBorder="1" applyAlignment="1">
      <alignment vertical="center" wrapText="1"/>
    </xf>
    <xf numFmtId="5" fontId="13" fillId="0" borderId="1" xfId="1" applyNumberFormat="1" applyFont="1" applyBorder="1" applyAlignment="1">
      <alignment horizontal="center" vertical="center" wrapText="1"/>
    </xf>
    <xf numFmtId="0" fontId="13" fillId="0" borderId="0" xfId="0" applyFont="1" applyAlignment="1">
      <alignment wrapText="1"/>
    </xf>
    <xf numFmtId="0" fontId="15" fillId="0" borderId="0" xfId="0" applyFont="1"/>
    <xf numFmtId="0" fontId="13" fillId="0" borderId="1" xfId="0" applyFont="1" applyBorder="1" applyAlignment="1">
      <alignment vertical="center" wrapText="1"/>
    </xf>
    <xf numFmtId="0" fontId="13" fillId="0" borderId="1" xfId="0" applyFont="1" applyBorder="1" applyAlignment="1">
      <alignment vertical="center"/>
    </xf>
    <xf numFmtId="43" fontId="13" fillId="0" borderId="1" xfId="0" applyNumberFormat="1" applyFont="1" applyBorder="1" applyAlignment="1">
      <alignment vertical="center"/>
    </xf>
    <xf numFmtId="43" fontId="7" fillId="0" borderId="1" xfId="0" applyNumberFormat="1" applyFont="1" applyBorder="1" applyAlignment="1">
      <alignment vertical="center" wrapText="1"/>
    </xf>
    <xf numFmtId="49" fontId="7" fillId="0" borderId="1" xfId="0" applyNumberFormat="1" applyFont="1" applyBorder="1" applyAlignment="1">
      <alignment vertical="center" wrapText="1"/>
    </xf>
    <xf numFmtId="49" fontId="6" fillId="0" borderId="1" xfId="0" applyNumberFormat="1" applyFont="1" applyBorder="1" applyAlignment="1">
      <alignment vertical="center" wrapText="1"/>
    </xf>
    <xf numFmtId="1" fontId="13" fillId="0" borderId="1" xfId="0" applyNumberFormat="1" applyFont="1" applyBorder="1" applyAlignment="1">
      <alignment horizontal="center" vertical="center"/>
    </xf>
    <xf numFmtId="49" fontId="13" fillId="0" borderId="1" xfId="0" applyNumberFormat="1" applyFont="1" applyBorder="1" applyAlignment="1">
      <alignment vertical="center" wrapText="1"/>
    </xf>
    <xf numFmtId="1" fontId="13" fillId="0" borderId="0" xfId="0" applyNumberFormat="1" applyFont="1"/>
    <xf numFmtId="164" fontId="9" fillId="0" borderId="0" xfId="1" applyNumberFormat="1" applyFont="1" applyAlignment="1">
      <alignment horizontal="center" vertical="center"/>
    </xf>
    <xf numFmtId="0" fontId="9" fillId="0" borderId="0" xfId="0" applyFont="1" applyAlignment="1">
      <alignment wrapText="1"/>
    </xf>
    <xf numFmtId="5" fontId="9" fillId="0" borderId="1" xfId="0" applyNumberFormat="1" applyFont="1" applyBorder="1" applyAlignment="1">
      <alignment horizontal="center" vertical="center"/>
    </xf>
    <xf numFmtId="5" fontId="9" fillId="0" borderId="1" xfId="0" applyNumberFormat="1" applyFont="1" applyBorder="1" applyAlignment="1">
      <alignment horizontal="center" vertical="center" wrapText="1"/>
    </xf>
    <xf numFmtId="0" fontId="9" fillId="0" borderId="1" xfId="0" applyFont="1" applyBorder="1" applyAlignment="1">
      <alignment horizontal="center" vertical="center" wrapText="1"/>
    </xf>
    <xf numFmtId="0" fontId="10" fillId="6" borderId="1" xfId="0" applyFont="1" applyFill="1" applyBorder="1" applyAlignment="1">
      <alignment horizontal="center" vertical="center" wrapText="1"/>
    </xf>
    <xf numFmtId="0" fontId="19" fillId="0" borderId="5" xfId="0" applyFont="1" applyBorder="1" applyAlignment="1">
      <alignment vertical="center"/>
    </xf>
    <xf numFmtId="0" fontId="19" fillId="0" borderId="6" xfId="0" applyFont="1" applyBorder="1" applyAlignment="1">
      <alignment vertical="center"/>
    </xf>
    <xf numFmtId="5" fontId="8" fillId="0" borderId="1" xfId="0" applyNumberFormat="1" applyFont="1" applyBorder="1" applyAlignment="1">
      <alignment horizontal="center" vertical="center"/>
    </xf>
    <xf numFmtId="0" fontId="9" fillId="0" borderId="0" xfId="0" applyFont="1" applyAlignment="1">
      <alignment vertical="center"/>
    </xf>
    <xf numFmtId="10" fontId="9" fillId="0" borderId="0" xfId="5" applyNumberFormat="1" applyFont="1" applyAlignment="1">
      <alignment horizontal="center" vertical="center"/>
    </xf>
    <xf numFmtId="167" fontId="9" fillId="0" borderId="1" xfId="5" applyNumberFormat="1" applyFont="1" applyBorder="1" applyAlignment="1">
      <alignment horizontal="center" vertical="center"/>
    </xf>
    <xf numFmtId="5" fontId="9" fillId="0" borderId="1" xfId="1" applyNumberFormat="1" applyFont="1" applyBorder="1" applyAlignment="1">
      <alignment horizontal="center" vertical="center"/>
    </xf>
    <xf numFmtId="5" fontId="9" fillId="0" borderId="1" xfId="1" applyNumberFormat="1" applyFont="1" applyFill="1" applyBorder="1" applyAlignment="1">
      <alignment horizontal="center" vertical="center"/>
    </xf>
    <xf numFmtId="0" fontId="20" fillId="0" borderId="1" xfId="0" applyFont="1" applyBorder="1" applyAlignment="1">
      <alignment horizontal="center" vertical="center" wrapText="1"/>
    </xf>
    <xf numFmtId="0" fontId="9" fillId="0" borderId="1" xfId="0" applyFont="1" applyBorder="1" applyAlignment="1">
      <alignment vertical="center" wrapText="1"/>
    </xf>
    <xf numFmtId="0" fontId="9" fillId="0" borderId="1" xfId="0" applyFont="1" applyBorder="1" applyAlignment="1">
      <alignment horizontal="center" vertical="center"/>
    </xf>
    <xf numFmtId="49" fontId="9" fillId="0" borderId="1" xfId="0" applyNumberFormat="1" applyFont="1" applyBorder="1" applyAlignment="1">
      <alignment vertical="center" wrapText="1"/>
    </xf>
    <xf numFmtId="43" fontId="9" fillId="0" borderId="1" xfId="0" applyNumberFormat="1" applyFont="1" applyBorder="1" applyAlignment="1">
      <alignment vertical="center" wrapText="1"/>
    </xf>
    <xf numFmtId="3" fontId="20" fillId="0" borderId="1" xfId="0" applyNumberFormat="1" applyFont="1" applyBorder="1" applyAlignment="1">
      <alignment horizontal="center" vertical="center" wrapText="1"/>
    </xf>
    <xf numFmtId="164" fontId="9" fillId="0" borderId="1" xfId="0" applyNumberFormat="1" applyFont="1" applyBorder="1" applyAlignment="1">
      <alignment vertical="center" wrapText="1"/>
    </xf>
    <xf numFmtId="0" fontId="8" fillId="0" borderId="0" xfId="0" applyFont="1" applyAlignment="1">
      <alignment horizontal="center" vertical="center"/>
    </xf>
    <xf numFmtId="0" fontId="8" fillId="0" borderId="1" xfId="0" applyFont="1" applyBorder="1" applyAlignment="1">
      <alignment horizontal="center" vertical="center" wrapText="1"/>
    </xf>
    <xf numFmtId="0" fontId="9" fillId="2" borderId="1" xfId="0" applyFont="1" applyFill="1" applyBorder="1" applyAlignment="1">
      <alignment vertical="center" wrapText="1"/>
    </xf>
    <xf numFmtId="0" fontId="8" fillId="9" borderId="1" xfId="0" applyFont="1" applyFill="1" applyBorder="1" applyAlignment="1">
      <alignment horizontal="center" vertical="center" wrapText="1"/>
    </xf>
    <xf numFmtId="0" fontId="10" fillId="10" borderId="1" xfId="0" applyFont="1" applyFill="1" applyBorder="1" applyAlignment="1">
      <alignment horizontal="center" vertical="center" wrapText="1"/>
    </xf>
    <xf numFmtId="0" fontId="9" fillId="0" borderId="5" xfId="0" applyFont="1" applyBorder="1" applyAlignment="1">
      <alignment vertical="center"/>
    </xf>
    <xf numFmtId="0" fontId="9" fillId="0" borderId="7" xfId="0" applyFont="1" applyBorder="1" applyAlignment="1">
      <alignment vertical="center"/>
    </xf>
    <xf numFmtId="0" fontId="9" fillId="0" borderId="8" xfId="0" applyFont="1" applyBorder="1" applyAlignment="1">
      <alignment vertical="center"/>
    </xf>
    <xf numFmtId="10" fontId="9" fillId="0" borderId="0" xfId="0" applyNumberFormat="1" applyFont="1" applyAlignment="1">
      <alignment vertical="center"/>
    </xf>
    <xf numFmtId="43" fontId="9" fillId="0" borderId="0" xfId="1" applyFont="1" applyAlignment="1">
      <alignment vertical="center"/>
    </xf>
    <xf numFmtId="0" fontId="8" fillId="0" borderId="0" xfId="0" applyFont="1"/>
    <xf numFmtId="5" fontId="17" fillId="2" borderId="0" xfId="2" applyNumberFormat="1" applyFont="1" applyFill="1" applyAlignment="1">
      <alignment horizontal="center"/>
    </xf>
    <xf numFmtId="0" fontId="17" fillId="2" borderId="0" xfId="0" applyFont="1" applyFill="1" applyAlignment="1">
      <alignment horizontal="center"/>
    </xf>
    <xf numFmtId="0" fontId="21" fillId="0" borderId="1" xfId="0" applyFont="1" applyBorder="1" applyAlignment="1">
      <alignment horizontal="center" vertical="center" wrapText="1"/>
    </xf>
    <xf numFmtId="1" fontId="21" fillId="0" borderId="1" xfId="0" applyNumberFormat="1" applyFont="1" applyBorder="1" applyAlignment="1">
      <alignment horizontal="center" vertical="center" wrapText="1"/>
    </xf>
    <xf numFmtId="0" fontId="23" fillId="0" borderId="1" xfId="0" applyFont="1" applyBorder="1" applyAlignment="1">
      <alignment vertical="center" wrapText="1"/>
    </xf>
    <xf numFmtId="0" fontId="23" fillId="0" borderId="1" xfId="0" applyFont="1" applyBorder="1" applyAlignment="1">
      <alignment horizontal="center" vertical="center" wrapText="1"/>
    </xf>
    <xf numFmtId="8" fontId="21" fillId="0" borderId="1" xfId="0" applyNumberFormat="1" applyFont="1" applyBorder="1" applyAlignment="1">
      <alignment horizontal="center" vertical="center" wrapText="1"/>
    </xf>
    <xf numFmtId="9" fontId="21" fillId="0" borderId="1" xfId="0" applyNumberFormat="1" applyFont="1" applyBorder="1" applyAlignment="1">
      <alignment horizontal="center" vertical="center" wrapText="1"/>
    </xf>
    <xf numFmtId="2" fontId="24" fillId="6" borderId="1" xfId="0" applyNumberFormat="1" applyFont="1" applyFill="1" applyBorder="1" applyAlignment="1">
      <alignment horizontal="center" vertical="center" wrapText="1"/>
    </xf>
    <xf numFmtId="0" fontId="24" fillId="6" borderId="1" xfId="0" applyFont="1" applyFill="1" applyBorder="1" applyAlignment="1">
      <alignment horizontal="center" vertical="center" wrapText="1"/>
    </xf>
    <xf numFmtId="0" fontId="23" fillId="11" borderId="1" xfId="0" applyFont="1" applyFill="1" applyBorder="1" applyAlignment="1">
      <alignment horizontal="center" vertical="center"/>
    </xf>
    <xf numFmtId="44" fontId="23" fillId="11" borderId="1" xfId="2" applyFont="1" applyFill="1" applyBorder="1" applyAlignment="1">
      <alignment horizontal="center" vertical="center"/>
    </xf>
    <xf numFmtId="0" fontId="23" fillId="11" borderId="1" xfId="0" applyFont="1" applyFill="1" applyBorder="1" applyAlignment="1">
      <alignment horizontal="center" vertical="center" wrapText="1"/>
    </xf>
    <xf numFmtId="2" fontId="21" fillId="0" borderId="1" xfId="0" applyNumberFormat="1" applyFont="1" applyBorder="1" applyAlignment="1">
      <alignment horizontal="center" vertical="center" wrapText="1"/>
    </xf>
    <xf numFmtId="0" fontId="21" fillId="0" borderId="1" xfId="0" applyFont="1" applyBorder="1" applyAlignment="1">
      <alignment vertical="center" wrapText="1"/>
    </xf>
    <xf numFmtId="0" fontId="21" fillId="12" borderId="1" xfId="0" applyFont="1" applyFill="1" applyBorder="1" applyAlignment="1">
      <alignment vertical="center" wrapText="1"/>
    </xf>
    <xf numFmtId="5" fontId="9" fillId="0" borderId="0" xfId="0" applyNumberFormat="1" applyFont="1" applyAlignment="1">
      <alignment vertical="center"/>
    </xf>
    <xf numFmtId="168" fontId="0" fillId="0" borderId="0" xfId="2" applyNumberFormat="1" applyFont="1" applyAlignment="1">
      <alignment horizontal="center" vertical="center"/>
    </xf>
    <xf numFmtId="5" fontId="25" fillId="0" borderId="1" xfId="1" applyNumberFormat="1" applyFont="1" applyFill="1" applyBorder="1" applyAlignment="1">
      <alignment horizontal="center" vertical="center" wrapText="1"/>
    </xf>
    <xf numFmtId="5" fontId="0" fillId="0" borderId="0" xfId="0" applyNumberFormat="1" applyAlignment="1">
      <alignment horizontal="center" vertical="center"/>
    </xf>
    <xf numFmtId="166" fontId="26" fillId="0" borderId="1" xfId="1" applyNumberFormat="1" applyFont="1" applyFill="1" applyBorder="1" applyAlignment="1">
      <alignment horizontal="center" vertical="center"/>
    </xf>
    <xf numFmtId="166" fontId="25" fillId="0" borderId="1" xfId="1" applyNumberFormat="1" applyFont="1" applyFill="1" applyBorder="1" applyAlignment="1">
      <alignment horizontal="center" vertical="center"/>
    </xf>
    <xf numFmtId="0" fontId="18" fillId="5" borderId="0" xfId="0" applyFont="1" applyFill="1" applyAlignment="1">
      <alignment vertical="center" wrapText="1"/>
    </xf>
    <xf numFmtId="43" fontId="13" fillId="0" borderId="1" xfId="0" applyNumberFormat="1" applyFont="1" applyBorder="1" applyAlignment="1">
      <alignment horizontal="center" vertical="center"/>
    </xf>
    <xf numFmtId="165" fontId="13" fillId="0" borderId="1" xfId="0" applyNumberFormat="1" applyFont="1" applyBorder="1" applyAlignment="1">
      <alignment horizontal="center" vertical="center"/>
    </xf>
    <xf numFmtId="5" fontId="13" fillId="0" borderId="1" xfId="0" applyNumberFormat="1" applyFont="1" applyBorder="1" applyAlignment="1">
      <alignment horizontal="center" vertical="center"/>
    </xf>
    <xf numFmtId="6" fontId="13" fillId="3" borderId="1" xfId="0" applyNumberFormat="1" applyFont="1" applyFill="1" applyBorder="1" applyAlignment="1">
      <alignment horizontal="center" vertical="center"/>
    </xf>
    <xf numFmtId="165" fontId="13" fillId="0" borderId="1" xfId="0" applyNumberFormat="1" applyFont="1" applyBorder="1" applyAlignment="1">
      <alignment horizontal="center" vertical="center" wrapText="1"/>
    </xf>
    <xf numFmtId="5" fontId="13" fillId="0" borderId="1" xfId="0" applyNumberFormat="1" applyFont="1" applyBorder="1" applyAlignment="1">
      <alignment horizontal="center" vertical="center" wrapText="1"/>
    </xf>
    <xf numFmtId="6" fontId="13" fillId="3" borderId="1" xfId="0" applyNumberFormat="1" applyFont="1" applyFill="1" applyBorder="1" applyAlignment="1">
      <alignment horizontal="center" vertical="center" wrapText="1"/>
    </xf>
    <xf numFmtId="5" fontId="16" fillId="0" borderId="1" xfId="0" applyNumberFormat="1" applyFont="1" applyBorder="1" applyAlignment="1">
      <alignment horizontal="center" vertical="center" wrapText="1"/>
    </xf>
    <xf numFmtId="43" fontId="7" fillId="0" borderId="1" xfId="0" applyNumberFormat="1" applyFont="1" applyBorder="1" applyAlignment="1">
      <alignment horizontal="center" vertical="center" wrapText="1"/>
    </xf>
    <xf numFmtId="49" fontId="7" fillId="0" borderId="1" xfId="0" applyNumberFormat="1" applyFont="1" applyBorder="1" applyAlignment="1">
      <alignment horizontal="center" vertical="center" wrapText="1"/>
    </xf>
    <xf numFmtId="49" fontId="6" fillId="0" borderId="1" xfId="0" applyNumberFormat="1" applyFont="1" applyBorder="1" applyAlignment="1">
      <alignment horizontal="center" vertical="center" wrapText="1"/>
    </xf>
    <xf numFmtId="49" fontId="13" fillId="0" borderId="1" xfId="0" applyNumberFormat="1" applyFont="1" applyBorder="1" applyAlignment="1">
      <alignment horizontal="center" vertical="center" wrapText="1"/>
    </xf>
    <xf numFmtId="168" fontId="13" fillId="0" borderId="1" xfId="2" applyNumberFormat="1" applyFont="1" applyFill="1" applyBorder="1" applyAlignment="1">
      <alignment vertical="center"/>
    </xf>
    <xf numFmtId="168" fontId="16" fillId="0" borderId="1" xfId="2" applyNumberFormat="1" applyFont="1" applyBorder="1"/>
    <xf numFmtId="168" fontId="13" fillId="0" borderId="1" xfId="2" applyNumberFormat="1" applyFont="1" applyBorder="1" applyAlignment="1">
      <alignment vertical="center"/>
    </xf>
    <xf numFmtId="0" fontId="27" fillId="6" borderId="1" xfId="0" applyFont="1" applyFill="1" applyBorder="1" applyAlignment="1">
      <alignment horizontal="center" vertical="center" wrapText="1"/>
    </xf>
    <xf numFmtId="43" fontId="27" fillId="6" borderId="1" xfId="1" applyFont="1" applyFill="1" applyBorder="1" applyAlignment="1">
      <alignment horizontal="center" vertical="center" wrapText="1"/>
    </xf>
    <xf numFmtId="164" fontId="27" fillId="6" borderId="1" xfId="1" applyNumberFormat="1" applyFont="1" applyFill="1" applyBorder="1" applyAlignment="1">
      <alignment horizontal="center" vertical="center" wrapText="1"/>
    </xf>
    <xf numFmtId="0" fontId="0" fillId="0" borderId="1" xfId="0" applyBorder="1" applyAlignment="1">
      <alignment horizontal="center" vertical="center"/>
    </xf>
    <xf numFmtId="43" fontId="0" fillId="0" borderId="1" xfId="0" applyNumberFormat="1" applyBorder="1" applyAlignment="1">
      <alignment horizontal="center" vertical="center"/>
    </xf>
    <xf numFmtId="164" fontId="0" fillId="0" borderId="1" xfId="0" applyNumberFormat="1" applyBorder="1" applyAlignment="1">
      <alignment horizontal="center" vertical="center"/>
    </xf>
    <xf numFmtId="43" fontId="0" fillId="0" borderId="1" xfId="1" applyFont="1" applyFill="1" applyBorder="1" applyAlignment="1">
      <alignment vertical="center"/>
    </xf>
    <xf numFmtId="5" fontId="0" fillId="0" borderId="1" xfId="1" applyNumberFormat="1" applyFont="1" applyFill="1" applyBorder="1" applyAlignment="1">
      <alignment vertical="center"/>
    </xf>
    <xf numFmtId="5" fontId="0" fillId="0" borderId="0" xfId="1" applyNumberFormat="1" applyFont="1" applyFill="1" applyBorder="1" applyAlignment="1">
      <alignment vertical="center"/>
    </xf>
    <xf numFmtId="44" fontId="0" fillId="0" borderId="0" xfId="2" applyFont="1" applyAlignment="1">
      <alignment wrapText="1"/>
    </xf>
    <xf numFmtId="44" fontId="0" fillId="0" borderId="0" xfId="0" applyNumberFormat="1" applyAlignment="1">
      <alignment wrapText="1"/>
    </xf>
    <xf numFmtId="5" fontId="4" fillId="2" borderId="1" xfId="1" applyNumberFormat="1" applyFont="1" applyFill="1" applyBorder="1" applyAlignment="1">
      <alignment horizontal="center" vertical="center" wrapText="1"/>
    </xf>
    <xf numFmtId="0" fontId="8" fillId="0" borderId="0" xfId="0" applyFont="1" applyAlignment="1">
      <alignment horizontal="center" vertical="center" wrapText="1"/>
    </xf>
    <xf numFmtId="0" fontId="8" fillId="8" borderId="1" xfId="0" applyFont="1" applyFill="1" applyBorder="1" applyAlignment="1">
      <alignment horizontal="center" vertical="center" wrapText="1"/>
    </xf>
    <xf numFmtId="0" fontId="8" fillId="0" borderId="9" xfId="0" applyFont="1" applyBorder="1" applyAlignment="1">
      <alignment horizontal="center" vertical="center" wrapText="1"/>
    </xf>
    <xf numFmtId="0" fontId="8" fillId="0" borderId="3" xfId="0" applyFont="1" applyBorder="1" applyAlignment="1">
      <alignment horizontal="center" vertical="center" wrapText="1"/>
    </xf>
    <xf numFmtId="0" fontId="8" fillId="8" borderId="1" xfId="0" applyFont="1" applyFill="1" applyBorder="1" applyAlignment="1">
      <alignment horizontal="center" vertical="center"/>
    </xf>
    <xf numFmtId="0" fontId="8" fillId="0" borderId="1" xfId="0" applyFont="1" applyBorder="1" applyAlignment="1">
      <alignment horizontal="center" vertical="center"/>
    </xf>
    <xf numFmtId="0" fontId="19" fillId="0" borderId="6" xfId="0" applyFont="1" applyBorder="1" applyAlignment="1">
      <alignment horizontal="center" vertical="center"/>
    </xf>
    <xf numFmtId="0" fontId="19" fillId="0" borderId="5" xfId="0" applyFont="1" applyBorder="1" applyAlignment="1">
      <alignment horizontal="center" vertical="center"/>
    </xf>
    <xf numFmtId="164" fontId="8" fillId="8" borderId="1" xfId="1" applyNumberFormat="1" applyFont="1" applyFill="1" applyBorder="1" applyAlignment="1">
      <alignment horizontal="center" vertical="center"/>
    </xf>
    <xf numFmtId="0" fontId="19" fillId="0" borderId="7" xfId="0" applyFont="1" applyBorder="1" applyAlignment="1">
      <alignment horizontal="center" vertical="center"/>
    </xf>
    <xf numFmtId="0" fontId="19" fillId="0" borderId="0" xfId="0" applyFont="1" applyAlignment="1">
      <alignment horizontal="center" vertical="center"/>
    </xf>
    <xf numFmtId="0" fontId="0" fillId="0" borderId="1" xfId="0" applyBorder="1" applyAlignment="1">
      <alignment horizontal="left" vertical="center" wrapText="1"/>
    </xf>
    <xf numFmtId="0" fontId="25" fillId="8" borderId="4" xfId="0" applyFont="1" applyFill="1" applyBorder="1" applyAlignment="1">
      <alignment horizontal="center" vertical="center" wrapText="1"/>
    </xf>
    <xf numFmtId="0" fontId="25" fillId="8" borderId="11" xfId="0" applyFont="1" applyFill="1" applyBorder="1" applyAlignment="1">
      <alignment horizontal="center" vertical="center" wrapText="1"/>
    </xf>
    <xf numFmtId="0" fontId="25" fillId="8" borderId="10" xfId="0" applyFont="1" applyFill="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26" fillId="8" borderId="4" xfId="0" applyFont="1" applyFill="1" applyBorder="1" applyAlignment="1">
      <alignment horizontal="center" vertical="center" wrapText="1"/>
    </xf>
    <xf numFmtId="0" fontId="26" fillId="8" borderId="11" xfId="0" applyFont="1" applyFill="1" applyBorder="1" applyAlignment="1">
      <alignment horizontal="center" vertical="center" wrapText="1"/>
    </xf>
    <xf numFmtId="0" fontId="26" fillId="8" borderId="10" xfId="0" applyFont="1" applyFill="1" applyBorder="1" applyAlignment="1">
      <alignment horizontal="center" vertical="center" wrapText="1"/>
    </xf>
    <xf numFmtId="0" fontId="25" fillId="0" borderId="4" xfId="0" applyFont="1" applyBorder="1" applyAlignment="1">
      <alignment horizontal="center" vertical="center" wrapText="1"/>
    </xf>
    <xf numFmtId="0" fontId="25" fillId="0" borderId="11" xfId="0" applyFont="1" applyBorder="1" applyAlignment="1">
      <alignment horizontal="center" vertical="center" wrapText="1"/>
    </xf>
    <xf numFmtId="0" fontId="25" fillId="0" borderId="10" xfId="0" applyFont="1" applyBorder="1" applyAlignment="1">
      <alignment horizontal="center" vertical="center" wrapText="1"/>
    </xf>
    <xf numFmtId="0" fontId="8" fillId="2" borderId="5" xfId="0" applyFont="1" applyFill="1" applyBorder="1" applyAlignment="1">
      <alignment horizontal="center" vertical="center"/>
    </xf>
    <xf numFmtId="0" fontId="8" fillId="2" borderId="12" xfId="0" applyFont="1" applyFill="1" applyBorder="1" applyAlignment="1">
      <alignment horizontal="center" vertical="center"/>
    </xf>
    <xf numFmtId="0" fontId="16" fillId="0" borderId="4" xfId="0" applyFont="1" applyBorder="1" applyAlignment="1">
      <alignment horizontal="center" vertical="center" wrapText="1"/>
    </xf>
    <xf numFmtId="0" fontId="16" fillId="0" borderId="11" xfId="0" applyFont="1" applyBorder="1" applyAlignment="1">
      <alignment horizontal="center" vertical="center" wrapText="1"/>
    </xf>
    <xf numFmtId="0" fontId="16" fillId="0" borderId="10" xfId="0" applyFont="1" applyBorder="1" applyAlignment="1">
      <alignment horizontal="center" vertical="center" wrapText="1"/>
    </xf>
    <xf numFmtId="43" fontId="9" fillId="0" borderId="2" xfId="1" applyFont="1" applyBorder="1" applyAlignment="1">
      <alignment horizontal="left" vertical="center" wrapText="1"/>
    </xf>
    <xf numFmtId="43" fontId="9" fillId="0" borderId="3" xfId="1" applyFont="1" applyBorder="1" applyAlignment="1">
      <alignment horizontal="left" vertical="center" wrapText="1"/>
    </xf>
    <xf numFmtId="43" fontId="8" fillId="8" borderId="4" xfId="1" applyFont="1" applyFill="1" applyBorder="1" applyAlignment="1">
      <alignment horizontal="center" vertical="center" wrapText="1"/>
    </xf>
    <xf numFmtId="43" fontId="8" fillId="8" borderId="10" xfId="1" applyFont="1" applyFill="1" applyBorder="1" applyAlignment="1">
      <alignment horizontal="center" vertical="center" wrapText="1"/>
    </xf>
    <xf numFmtId="0" fontId="22" fillId="0" borderId="1" xfId="0" applyFont="1" applyBorder="1" applyAlignment="1">
      <alignment horizontal="left" vertical="center" wrapText="1"/>
    </xf>
    <xf numFmtId="0" fontId="23" fillId="11" borderId="4" xfId="0" applyFont="1" applyFill="1" applyBorder="1" applyAlignment="1">
      <alignment horizontal="center" vertical="center"/>
    </xf>
    <xf numFmtId="0" fontId="23" fillId="11" borderId="11" xfId="0" applyFont="1" applyFill="1" applyBorder="1" applyAlignment="1">
      <alignment horizontal="center" vertical="center"/>
    </xf>
    <xf numFmtId="0" fontId="23" fillId="11" borderId="10" xfId="0" applyFont="1" applyFill="1" applyBorder="1" applyAlignment="1">
      <alignment horizontal="center" vertical="center"/>
    </xf>
    <xf numFmtId="0" fontId="23" fillId="11" borderId="1" xfId="0" applyFont="1" applyFill="1" applyBorder="1" applyAlignment="1">
      <alignment horizontal="center" vertical="center"/>
    </xf>
    <xf numFmtId="0" fontId="23" fillId="0" borderId="1" xfId="0" applyFont="1" applyBorder="1" applyAlignment="1">
      <alignment vertical="center" wrapText="1"/>
    </xf>
    <xf numFmtId="0" fontId="24" fillId="6" borderId="1" xfId="0" applyFont="1" applyFill="1" applyBorder="1" applyAlignment="1">
      <alignment horizontal="center" vertical="center" wrapText="1"/>
    </xf>
  </cellXfs>
  <cellStyles count="6">
    <cellStyle name="Millares" xfId="1" builtinId="3"/>
    <cellStyle name="Moneda" xfId="2" builtinId="4"/>
    <cellStyle name="Normal" xfId="0" builtinId="0"/>
    <cellStyle name="Normal 2" xfId="3" xr:uid="{00000000-0005-0000-0000-000003000000}"/>
    <cellStyle name="Normal 5" xfId="4" xr:uid="{00000000-0005-0000-0000-000004000000}"/>
    <cellStyle name="Porcentaje" xfId="5" builtinId="5"/>
  </cellStyles>
  <dxfs count="4">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b="1">
                <a:solidFill>
                  <a:sysClr val="windowText" lastClr="000000"/>
                </a:solidFill>
              </a:rPr>
              <a:t>DISPERSIÓN LOTE N°1</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lineChart>
        <c:grouping val="standard"/>
        <c:varyColors val="0"/>
        <c:ser>
          <c:idx val="1"/>
          <c:order val="0"/>
          <c:tx>
            <c:strRef>
              <c:f>'ANALISIS COTIZACIONES'!$R$3</c:f>
              <c:strCache>
                <c:ptCount val="1"/>
                <c:pt idx="0">
                  <c:v>AB</c:v>
                </c:pt>
              </c:strCache>
            </c:strRef>
          </c:tx>
          <c:spPr>
            <a:ln w="28575" cap="rnd">
              <a:solidFill>
                <a:schemeClr val="accent2"/>
              </a:solidFill>
              <a:round/>
            </a:ln>
            <a:effectLst/>
          </c:spPr>
          <c:marker>
            <c:symbol val="none"/>
          </c:marker>
          <c:val>
            <c:numRef>
              <c:f>'ANALISIS COTIZACIONES'!$R$4:$R$29</c:f>
              <c:numCache>
                <c:formatCode>0.00%</c:formatCode>
                <c:ptCount val="26"/>
                <c:pt idx="0">
                  <c:v>-3.2230116097730029E-2</c:v>
                </c:pt>
                <c:pt idx="1">
                  <c:v>2.564102564102564E-2</c:v>
                </c:pt>
                <c:pt idx="2">
                  <c:v>1.4814814814814815E-2</c:v>
                </c:pt>
                <c:pt idx="3">
                  <c:v>-4.6906187624750496E-2</c:v>
                </c:pt>
                <c:pt idx="4">
                  <c:v>-1.0037254111003013E-2</c:v>
                </c:pt>
                <c:pt idx="5">
                  <c:v>-3.7552462999779104E-3</c:v>
                </c:pt>
                <c:pt idx="6">
                  <c:v>1.2692144972500353E-3</c:v>
                </c:pt>
                <c:pt idx="7">
                  <c:v>1.6129032258064516E-2</c:v>
                </c:pt>
                <c:pt idx="8">
                  <c:v>-1.0061264133087612E-2</c:v>
                </c:pt>
                <c:pt idx="9">
                  <c:v>-2.5862489630605573E-3</c:v>
                </c:pt>
                <c:pt idx="10">
                  <c:v>-7.199236707433429E-3</c:v>
                </c:pt>
                <c:pt idx="11">
                  <c:v>-1.5103338632750398E-2</c:v>
                </c:pt>
                <c:pt idx="12">
                  <c:v>-1.955461899744629E-3</c:v>
                </c:pt>
                <c:pt idx="13">
                  <c:v>-1.8361581920903956E-2</c:v>
                </c:pt>
                <c:pt idx="14">
                  <c:v>2.5000000000000001E-2</c:v>
                </c:pt>
                <c:pt idx="15">
                  <c:v>-9.0229832618591405E-4</c:v>
                </c:pt>
                <c:pt idx="16">
                  <c:v>-4.4056525353283457E-2</c:v>
                </c:pt>
                <c:pt idx="17">
                  <c:v>-1.7728559368326961E-2</c:v>
                </c:pt>
                <c:pt idx="18">
                  <c:v>-1.4705882352941176E-3</c:v>
                </c:pt>
                <c:pt idx="19">
                  <c:v>-1.934984520123839E-3</c:v>
                </c:pt>
                <c:pt idx="20">
                  <c:v>1.7164653528289893E-2</c:v>
                </c:pt>
                <c:pt idx="21">
                  <c:v>-3.3149171270718231E-2</c:v>
                </c:pt>
                <c:pt idx="22">
                  <c:v>-7.2431037264074849E-2</c:v>
                </c:pt>
                <c:pt idx="23">
                  <c:v>-4.2553191489361703E-3</c:v>
                </c:pt>
                <c:pt idx="24">
                  <c:v>-6.022092094756455E-3</c:v>
                </c:pt>
                <c:pt idx="25">
                  <c:v>-1.7560975609756099E-2</c:v>
                </c:pt>
              </c:numCache>
            </c:numRef>
          </c:val>
          <c:smooth val="0"/>
          <c:extLst>
            <c:ext xmlns:c16="http://schemas.microsoft.com/office/drawing/2014/chart" uri="{C3380CC4-5D6E-409C-BE32-E72D297353CC}">
              <c16:uniqueId val="{00000000-5AD9-4F61-B670-DBB046D9C27C}"/>
            </c:ext>
          </c:extLst>
        </c:ser>
        <c:ser>
          <c:idx val="2"/>
          <c:order val="1"/>
          <c:tx>
            <c:strRef>
              <c:f>'ANALISIS COTIZACIONES'!$S$3</c:f>
              <c:strCache>
                <c:ptCount val="1"/>
                <c:pt idx="0">
                  <c:v>AC</c:v>
                </c:pt>
              </c:strCache>
            </c:strRef>
          </c:tx>
          <c:spPr>
            <a:ln w="28575" cap="rnd">
              <a:solidFill>
                <a:schemeClr val="accent3"/>
              </a:solidFill>
              <a:round/>
            </a:ln>
            <a:effectLst/>
          </c:spPr>
          <c:marker>
            <c:symbol val="none"/>
          </c:marker>
          <c:val>
            <c:numRef>
              <c:f>'ANALISIS COTIZACIONES'!$S$4:$S$29</c:f>
              <c:numCache>
                <c:formatCode>0.00%</c:formatCode>
                <c:ptCount val="26"/>
                <c:pt idx="0">
                  <c:v>-4.6785652399930688E-3</c:v>
                </c:pt>
                <c:pt idx="1">
                  <c:v>0.4358974358974359</c:v>
                </c:pt>
                <c:pt idx="2">
                  <c:v>0.34879629629629627</c:v>
                </c:pt>
                <c:pt idx="3">
                  <c:v>-2.7345309381237526E-2</c:v>
                </c:pt>
                <c:pt idx="4">
                  <c:v>-1.4237239873763139E-4</c:v>
                </c:pt>
                <c:pt idx="5">
                  <c:v>-8.8358736470068482E-4</c:v>
                </c:pt>
                <c:pt idx="6">
                  <c:v>8.7152728811169089E-2</c:v>
                </c:pt>
                <c:pt idx="7">
                  <c:v>8.0645161290322578E-2</c:v>
                </c:pt>
                <c:pt idx="8">
                  <c:v>0.40192010758579472</c:v>
                </c:pt>
                <c:pt idx="9">
                  <c:v>-2.3178646367052165E-4</c:v>
                </c:pt>
                <c:pt idx="10">
                  <c:v>-3.4695116662329775E-4</c:v>
                </c:pt>
                <c:pt idx="11">
                  <c:v>-3.9745627980922096E-3</c:v>
                </c:pt>
                <c:pt idx="12">
                  <c:v>-5.6253013554297549E-4</c:v>
                </c:pt>
                <c:pt idx="13">
                  <c:v>-1.4124293785310734E-3</c:v>
                </c:pt>
                <c:pt idx="14">
                  <c:v>0.125</c:v>
                </c:pt>
                <c:pt idx="15">
                  <c:v>-2.4128876587892981E-5</c:v>
                </c:pt>
                <c:pt idx="16">
                  <c:v>9.5000593753710966E-4</c:v>
                </c:pt>
                <c:pt idx="17">
                  <c:v>-2.6816308288225652E-3</c:v>
                </c:pt>
                <c:pt idx="18">
                  <c:v>3.6764705882352942E-2</c:v>
                </c:pt>
                <c:pt idx="19">
                  <c:v>4.8374613003095978E-5</c:v>
                </c:pt>
                <c:pt idx="20">
                  <c:v>0.13716465352828988</c:v>
                </c:pt>
                <c:pt idx="21">
                  <c:v>0.13410497237569061</c:v>
                </c:pt>
                <c:pt idx="22">
                  <c:v>-2.3874818519115985E-2</c:v>
                </c:pt>
                <c:pt idx="23">
                  <c:v>1.7021276595744681E-2</c:v>
                </c:pt>
                <c:pt idx="24">
                  <c:v>4.3252595155709344E-4</c:v>
                </c:pt>
                <c:pt idx="25">
                  <c:v>-6.8292682926829268E-3</c:v>
                </c:pt>
              </c:numCache>
            </c:numRef>
          </c:val>
          <c:smooth val="0"/>
          <c:extLst>
            <c:ext xmlns:c16="http://schemas.microsoft.com/office/drawing/2014/chart" uri="{C3380CC4-5D6E-409C-BE32-E72D297353CC}">
              <c16:uniqueId val="{00000001-5AD9-4F61-B670-DBB046D9C27C}"/>
            </c:ext>
          </c:extLst>
        </c:ser>
        <c:ser>
          <c:idx val="3"/>
          <c:order val="2"/>
          <c:tx>
            <c:strRef>
              <c:f>'ANALISIS COTIZACIONES'!$T$3</c:f>
              <c:strCache>
                <c:ptCount val="1"/>
                <c:pt idx="0">
                  <c:v>BC</c:v>
                </c:pt>
              </c:strCache>
            </c:strRef>
          </c:tx>
          <c:spPr>
            <a:ln w="28575" cap="rnd">
              <a:solidFill>
                <a:schemeClr val="accent4"/>
              </a:solidFill>
              <a:round/>
            </a:ln>
            <a:effectLst/>
          </c:spPr>
          <c:marker>
            <c:symbol val="none"/>
          </c:marker>
          <c:val>
            <c:numRef>
              <c:f>'ANALISIS COTIZACIONES'!$T$4:$T$29</c:f>
              <c:numCache>
                <c:formatCode>0.00%</c:formatCode>
                <c:ptCount val="26"/>
                <c:pt idx="0">
                  <c:v>2.846911369740376E-2</c:v>
                </c:pt>
                <c:pt idx="1">
                  <c:v>0.4</c:v>
                </c:pt>
                <c:pt idx="2">
                  <c:v>0.32910583941605842</c:v>
                </c:pt>
                <c:pt idx="3">
                  <c:v>2.0523560209424085E-2</c:v>
                </c:pt>
                <c:pt idx="4">
                  <c:v>9.9952061361457331E-3</c:v>
                </c:pt>
                <c:pt idx="5">
                  <c:v>2.8824833702882483E-3</c:v>
                </c:pt>
                <c:pt idx="6">
                  <c:v>8.5774647887323946E-2</c:v>
                </c:pt>
                <c:pt idx="7">
                  <c:v>6.3492063492063489E-2</c:v>
                </c:pt>
                <c:pt idx="8">
                  <c:v>0.41616855345911952</c:v>
                </c:pt>
                <c:pt idx="9">
                  <c:v>2.3605675146771039E-3</c:v>
                </c:pt>
                <c:pt idx="10">
                  <c:v>6.9019744889044204E-3</c:v>
                </c:pt>
                <c:pt idx="11">
                  <c:v>1.1299435028248588E-2</c:v>
                </c:pt>
                <c:pt idx="12">
                  <c:v>1.3956609259673451E-3</c:v>
                </c:pt>
                <c:pt idx="13">
                  <c:v>1.7266187050359712E-2</c:v>
                </c:pt>
                <c:pt idx="14">
                  <c:v>9.7560975609756101E-2</c:v>
                </c:pt>
                <c:pt idx="15">
                  <c:v>8.7896253602305478E-4</c:v>
                </c:pt>
                <c:pt idx="16">
                  <c:v>4.708074534161491E-2</c:v>
                </c:pt>
                <c:pt idx="17">
                  <c:v>1.531850353892821E-2</c:v>
                </c:pt>
                <c:pt idx="18">
                  <c:v>3.8291605301914583E-2</c:v>
                </c:pt>
                <c:pt idx="19">
                  <c:v>1.9872043427685148E-3</c:v>
                </c:pt>
                <c:pt idx="20">
                  <c:v>0.117975</c:v>
                </c:pt>
                <c:pt idx="21">
                  <c:v>0.17298857142857144</c:v>
                </c:pt>
                <c:pt idx="22">
                  <c:v>5.2347826086956518E-2</c:v>
                </c:pt>
                <c:pt idx="23">
                  <c:v>2.1367521367521368E-2</c:v>
                </c:pt>
                <c:pt idx="24">
                  <c:v>6.4937238493723848E-3</c:v>
                </c:pt>
                <c:pt idx="25">
                  <c:v>1.0923535253227408E-2</c:v>
                </c:pt>
              </c:numCache>
            </c:numRef>
          </c:val>
          <c:smooth val="0"/>
          <c:extLst>
            <c:ext xmlns:c16="http://schemas.microsoft.com/office/drawing/2014/chart" uri="{C3380CC4-5D6E-409C-BE32-E72D297353CC}">
              <c16:uniqueId val="{00000002-5AD9-4F61-B670-DBB046D9C27C}"/>
            </c:ext>
          </c:extLst>
        </c:ser>
        <c:dLbls>
          <c:showLegendKey val="0"/>
          <c:showVal val="0"/>
          <c:showCatName val="0"/>
          <c:showSerName val="0"/>
          <c:showPercent val="0"/>
          <c:showBubbleSize val="0"/>
        </c:dLbls>
        <c:smooth val="0"/>
        <c:axId val="615999096"/>
        <c:axId val="616000080"/>
      </c:lineChart>
      <c:catAx>
        <c:axId val="615999096"/>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616000080"/>
        <c:crosses val="autoZero"/>
        <c:auto val="1"/>
        <c:lblAlgn val="ctr"/>
        <c:lblOffset val="100"/>
        <c:noMultiLvlLbl val="0"/>
      </c:catAx>
      <c:valAx>
        <c:axId val="61600008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61599909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b="1">
                <a:solidFill>
                  <a:sysClr val="windowText" lastClr="000000"/>
                </a:solidFill>
              </a:rPr>
              <a:t>DISPERSIÓN</a:t>
            </a:r>
            <a:r>
              <a:rPr lang="es-CO" b="1" baseline="0">
                <a:solidFill>
                  <a:sysClr val="windowText" lastClr="000000"/>
                </a:solidFill>
              </a:rPr>
              <a:t> LOTE N°2</a:t>
            </a:r>
            <a:endParaRPr lang="es-CO" b="1">
              <a:solidFill>
                <a:sysClr val="windowText" lastClr="000000"/>
              </a:solidFill>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lineChart>
        <c:grouping val="standard"/>
        <c:varyColors val="0"/>
        <c:ser>
          <c:idx val="1"/>
          <c:order val="0"/>
          <c:tx>
            <c:strRef>
              <c:f>'ANALISIS COTIZACIONES'!$R$34</c:f>
              <c:strCache>
                <c:ptCount val="1"/>
                <c:pt idx="0">
                  <c:v>AB</c:v>
                </c:pt>
              </c:strCache>
            </c:strRef>
          </c:tx>
          <c:spPr>
            <a:ln w="28575" cap="rnd">
              <a:solidFill>
                <a:schemeClr val="accent2"/>
              </a:solidFill>
              <a:round/>
            </a:ln>
            <a:effectLst/>
          </c:spPr>
          <c:marker>
            <c:symbol val="none"/>
          </c:marker>
          <c:val>
            <c:numRef>
              <c:f>'ANALISIS COTIZACIONES'!$R$35:$R$55</c:f>
              <c:numCache>
                <c:formatCode>0.00%</c:formatCode>
                <c:ptCount val="21"/>
                <c:pt idx="0">
                  <c:v>-3.7301489597439369E-2</c:v>
                </c:pt>
                <c:pt idx="1">
                  <c:v>1.3888888888888888E-2</c:v>
                </c:pt>
                <c:pt idx="2">
                  <c:v>-7.1986123156981788E-2</c:v>
                </c:pt>
                <c:pt idx="3">
                  <c:v>-2.8575073351192755E-2</c:v>
                </c:pt>
                <c:pt idx="4">
                  <c:v>7.0895522388059705E-3</c:v>
                </c:pt>
                <c:pt idx="5">
                  <c:v>-5.0091074681238613E-3</c:v>
                </c:pt>
                <c:pt idx="6">
                  <c:v>2.8089887640449437E-3</c:v>
                </c:pt>
                <c:pt idx="7">
                  <c:v>1.3215859030837005E-2</c:v>
                </c:pt>
                <c:pt idx="8">
                  <c:v>-0.17363045496750232</c:v>
                </c:pt>
                <c:pt idx="9">
                  <c:v>-1.0845420096694107E-2</c:v>
                </c:pt>
                <c:pt idx="10">
                  <c:v>-1.5640869388584198E-2</c:v>
                </c:pt>
                <c:pt idx="11">
                  <c:v>-3.0188679245283019E-2</c:v>
                </c:pt>
                <c:pt idx="12">
                  <c:v>-1.7012496593607662E-2</c:v>
                </c:pt>
                <c:pt idx="13">
                  <c:v>-7.3961499493414393E-2</c:v>
                </c:pt>
                <c:pt idx="14">
                  <c:v>-4.954623497669855E-2</c:v>
                </c:pt>
                <c:pt idx="15">
                  <c:v>-8.4417240499872481E-2</c:v>
                </c:pt>
                <c:pt idx="16">
                  <c:v>0.10344827586206896</c:v>
                </c:pt>
                <c:pt idx="17">
                  <c:v>-0.16857012334399268</c:v>
                </c:pt>
                <c:pt idx="18">
                  <c:v>-0.18322295805739514</c:v>
                </c:pt>
                <c:pt idx="19">
                  <c:v>1.7948717948717947E-2</c:v>
                </c:pt>
                <c:pt idx="20">
                  <c:v>-0.20596727622714148</c:v>
                </c:pt>
              </c:numCache>
            </c:numRef>
          </c:val>
          <c:smooth val="0"/>
          <c:extLst>
            <c:ext xmlns:c16="http://schemas.microsoft.com/office/drawing/2014/chart" uri="{C3380CC4-5D6E-409C-BE32-E72D297353CC}">
              <c16:uniqueId val="{00000000-F9AC-46B9-9469-492AAC5D308E}"/>
            </c:ext>
          </c:extLst>
        </c:ser>
        <c:ser>
          <c:idx val="2"/>
          <c:order val="1"/>
          <c:tx>
            <c:strRef>
              <c:f>'ANALISIS COTIZACIONES'!$S$34</c:f>
              <c:strCache>
                <c:ptCount val="1"/>
                <c:pt idx="0">
                  <c:v>AC</c:v>
                </c:pt>
              </c:strCache>
            </c:strRef>
          </c:tx>
          <c:spPr>
            <a:ln w="28575" cap="rnd">
              <a:solidFill>
                <a:schemeClr val="accent3"/>
              </a:solidFill>
              <a:round/>
            </a:ln>
            <a:effectLst/>
          </c:spPr>
          <c:marker>
            <c:symbol val="none"/>
          </c:marker>
          <c:val>
            <c:numRef>
              <c:f>'ANALISIS COTIZACIONES'!$S$35:$S$55</c:f>
              <c:numCache>
                <c:formatCode>0.00%</c:formatCode>
                <c:ptCount val="21"/>
                <c:pt idx="0">
                  <c:v>-8.1250769420164962E-3</c:v>
                </c:pt>
                <c:pt idx="1">
                  <c:v>6.9444444444444448E-2</c:v>
                </c:pt>
                <c:pt idx="2">
                  <c:v>-8.6730268863833475E-4</c:v>
                </c:pt>
                <c:pt idx="3">
                  <c:v>-5.4853935450950375E-3</c:v>
                </c:pt>
                <c:pt idx="4">
                  <c:v>2.4701492537313432E-2</c:v>
                </c:pt>
                <c:pt idx="5">
                  <c:v>5.0091074681238613E-3</c:v>
                </c:pt>
                <c:pt idx="6">
                  <c:v>1.9775280898876403E-2</c:v>
                </c:pt>
                <c:pt idx="7">
                  <c:v>1.8502202643171806E-3</c:v>
                </c:pt>
                <c:pt idx="8">
                  <c:v>-2.3166202414113279E-2</c:v>
                </c:pt>
                <c:pt idx="9">
                  <c:v>-1.3066771200836272E-4</c:v>
                </c:pt>
                <c:pt idx="10">
                  <c:v>1.6250253910217347E-3</c:v>
                </c:pt>
                <c:pt idx="11">
                  <c:v>-2.981132075471698E-3</c:v>
                </c:pt>
                <c:pt idx="12">
                  <c:v>-4.8273445711838675E-3</c:v>
                </c:pt>
                <c:pt idx="13">
                  <c:v>4.0526849037487338E-3</c:v>
                </c:pt>
                <c:pt idx="14">
                  <c:v>-2.5508952661270543E-2</c:v>
                </c:pt>
                <c:pt idx="15">
                  <c:v>2.2443254271869422E-2</c:v>
                </c:pt>
                <c:pt idx="16">
                  <c:v>0</c:v>
                </c:pt>
                <c:pt idx="17">
                  <c:v>-6.9894929191411603E-2</c:v>
                </c:pt>
                <c:pt idx="18">
                  <c:v>-2.2075055187637969E-3</c:v>
                </c:pt>
                <c:pt idx="19">
                  <c:v>0.11282051282051282</c:v>
                </c:pt>
                <c:pt idx="20">
                  <c:v>3.5611164581328202E-2</c:v>
                </c:pt>
              </c:numCache>
            </c:numRef>
          </c:val>
          <c:smooth val="0"/>
          <c:extLst>
            <c:ext xmlns:c16="http://schemas.microsoft.com/office/drawing/2014/chart" uri="{C3380CC4-5D6E-409C-BE32-E72D297353CC}">
              <c16:uniqueId val="{00000001-F9AC-46B9-9469-492AAC5D308E}"/>
            </c:ext>
          </c:extLst>
        </c:ser>
        <c:ser>
          <c:idx val="3"/>
          <c:order val="2"/>
          <c:tx>
            <c:strRef>
              <c:f>'ANALISIS COTIZACIONES'!$T$34</c:f>
              <c:strCache>
                <c:ptCount val="1"/>
                <c:pt idx="0">
                  <c:v>BC</c:v>
                </c:pt>
              </c:strCache>
            </c:strRef>
          </c:tx>
          <c:spPr>
            <a:ln w="28575" cap="rnd">
              <a:solidFill>
                <a:schemeClr val="accent4"/>
              </a:solidFill>
              <a:round/>
            </a:ln>
            <a:effectLst/>
          </c:spPr>
          <c:marker>
            <c:symbol val="none"/>
          </c:marker>
          <c:val>
            <c:numRef>
              <c:f>'ANALISIS COTIZACIONES'!$T$35:$T$55</c:f>
              <c:numCache>
                <c:formatCode>0.00%</c:formatCode>
                <c:ptCount val="21"/>
                <c:pt idx="0">
                  <c:v>3.030690537084399E-2</c:v>
                </c:pt>
                <c:pt idx="1">
                  <c:v>5.4794520547945202E-2</c:v>
                </c:pt>
                <c:pt idx="2">
                  <c:v>7.6635514018691592E-2</c:v>
                </c:pt>
                <c:pt idx="3">
                  <c:v>2.3768877216021011E-2</c:v>
                </c:pt>
                <c:pt idx="4">
                  <c:v>1.7487958503149315E-2</c:v>
                </c:pt>
                <c:pt idx="5">
                  <c:v>1.0068649885583524E-2</c:v>
                </c:pt>
                <c:pt idx="6">
                  <c:v>1.6918767507002802E-2</c:v>
                </c:pt>
                <c:pt idx="7">
                  <c:v>-1.1217391304347827E-2</c:v>
                </c:pt>
                <c:pt idx="8">
                  <c:v>0.18207865168539325</c:v>
                </c:pt>
                <c:pt idx="9">
                  <c:v>1.0832232496697489E-2</c:v>
                </c:pt>
                <c:pt idx="10">
                  <c:v>1.7540239372678498E-2</c:v>
                </c:pt>
                <c:pt idx="11">
                  <c:v>2.8054474708171205E-2</c:v>
                </c:pt>
                <c:pt idx="12">
                  <c:v>1.2396039603960397E-2</c:v>
                </c:pt>
                <c:pt idx="13">
                  <c:v>8.4245076586433265E-2</c:v>
                </c:pt>
                <c:pt idx="14">
                  <c:v>2.5290322580645161E-2</c:v>
                </c:pt>
                <c:pt idx="15">
                  <c:v>0.11671309192200557</c:v>
                </c:pt>
                <c:pt idx="16">
                  <c:v>-9.375E-2</c:v>
                </c:pt>
                <c:pt idx="17">
                  <c:v>0.11868131868131868</c:v>
                </c:pt>
                <c:pt idx="18">
                  <c:v>0.22162162162162163</c:v>
                </c:pt>
                <c:pt idx="19">
                  <c:v>9.3198992443324941E-2</c:v>
                </c:pt>
                <c:pt idx="20">
                  <c:v>0.30424242424242426</c:v>
                </c:pt>
              </c:numCache>
            </c:numRef>
          </c:val>
          <c:smooth val="0"/>
          <c:extLst>
            <c:ext xmlns:c16="http://schemas.microsoft.com/office/drawing/2014/chart" uri="{C3380CC4-5D6E-409C-BE32-E72D297353CC}">
              <c16:uniqueId val="{00000002-F9AC-46B9-9469-492AAC5D308E}"/>
            </c:ext>
          </c:extLst>
        </c:ser>
        <c:dLbls>
          <c:showLegendKey val="0"/>
          <c:showVal val="0"/>
          <c:showCatName val="0"/>
          <c:showSerName val="0"/>
          <c:showPercent val="0"/>
          <c:showBubbleSize val="0"/>
        </c:dLbls>
        <c:smooth val="0"/>
        <c:axId val="615996472"/>
        <c:axId val="615997456"/>
      </c:lineChart>
      <c:catAx>
        <c:axId val="615996472"/>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615997456"/>
        <c:crosses val="autoZero"/>
        <c:auto val="1"/>
        <c:lblAlgn val="ctr"/>
        <c:lblOffset val="100"/>
        <c:noMultiLvlLbl val="0"/>
      </c:catAx>
      <c:valAx>
        <c:axId val="6159974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61599647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9" Type="http://schemas.openxmlformats.org/officeDocument/2006/relationships/image" Target="../media/image39.png"/><Relationship Id="rId3" Type="http://schemas.openxmlformats.org/officeDocument/2006/relationships/image" Target="../media/image3.png"/><Relationship Id="rId21" Type="http://schemas.openxmlformats.org/officeDocument/2006/relationships/image" Target="../media/image21.png"/><Relationship Id="rId34" Type="http://schemas.openxmlformats.org/officeDocument/2006/relationships/image" Target="../media/image34.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s>
</file>

<file path=xl/drawings/drawing1.xml><?xml version="1.0" encoding="utf-8"?>
<xdr:wsDr xmlns:xdr="http://schemas.openxmlformats.org/drawingml/2006/spreadsheetDrawing" xmlns:a="http://schemas.openxmlformats.org/drawingml/2006/main">
  <xdr:twoCellAnchor>
    <xdr:from>
      <xdr:col>21</xdr:col>
      <xdr:colOff>639536</xdr:colOff>
      <xdr:row>1</xdr:row>
      <xdr:rowOff>571499</xdr:rowOff>
    </xdr:from>
    <xdr:to>
      <xdr:col>29</xdr:col>
      <xdr:colOff>449036</xdr:colOff>
      <xdr:row>4</xdr:row>
      <xdr:rowOff>2122713</xdr:rowOff>
    </xdr:to>
    <xdr:graphicFrame macro="">
      <xdr:nvGraphicFramePr>
        <xdr:cNvPr id="5" name="Gráfico 4">
          <a:extLst>
            <a:ext uri="{FF2B5EF4-FFF2-40B4-BE49-F238E27FC236}">
              <a16:creationId xmlns:a16="http://schemas.microsoft.com/office/drawing/2014/main" id="{40087123-F287-480A-BDF4-5EA62E06485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734785</xdr:colOff>
      <xdr:row>32</xdr:row>
      <xdr:rowOff>122463</xdr:rowOff>
    </xdr:from>
    <xdr:to>
      <xdr:col>28</xdr:col>
      <xdr:colOff>653142</xdr:colOff>
      <xdr:row>37</xdr:row>
      <xdr:rowOff>176892</xdr:rowOff>
    </xdr:to>
    <xdr:graphicFrame macro="">
      <xdr:nvGraphicFramePr>
        <xdr:cNvPr id="7" name="Gráfico 6">
          <a:extLst>
            <a:ext uri="{FF2B5EF4-FFF2-40B4-BE49-F238E27FC236}">
              <a16:creationId xmlns:a16="http://schemas.microsoft.com/office/drawing/2014/main" id="{8A7A435B-A4F1-4D70-B730-7162AD63D63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6</xdr:col>
      <xdr:colOff>684281</xdr:colOff>
      <xdr:row>11</xdr:row>
      <xdr:rowOff>76738</xdr:rowOff>
    </xdr:to>
    <xdr:pic>
      <xdr:nvPicPr>
        <xdr:cNvPr id="2" name="Imagen 1">
          <a:extLst>
            <a:ext uri="{FF2B5EF4-FFF2-40B4-BE49-F238E27FC236}">
              <a16:creationId xmlns:a16="http://schemas.microsoft.com/office/drawing/2014/main" id="{D0B382D1-1F38-4256-91D9-45D65D495445}"/>
            </a:ext>
          </a:extLst>
        </xdr:cNvPr>
        <xdr:cNvPicPr>
          <a:picLocks noChangeAspect="1"/>
        </xdr:cNvPicPr>
      </xdr:nvPicPr>
      <xdr:blipFill>
        <a:blip xmlns:r="http://schemas.openxmlformats.org/officeDocument/2006/relationships" r:embed="rId1"/>
        <a:stretch>
          <a:fillRect/>
        </a:stretch>
      </xdr:blipFill>
      <xdr:spPr>
        <a:xfrm>
          <a:off x="1" y="0"/>
          <a:ext cx="5256280" cy="2172238"/>
        </a:xfrm>
        <a:prstGeom prst="rect">
          <a:avLst/>
        </a:prstGeom>
      </xdr:spPr>
    </xdr:pic>
    <xdr:clientData/>
  </xdr:twoCellAnchor>
  <xdr:twoCellAnchor editAs="oneCell">
    <xdr:from>
      <xdr:col>0</xdr:col>
      <xdr:colOff>1</xdr:colOff>
      <xdr:row>12</xdr:row>
      <xdr:rowOff>1</xdr:rowOff>
    </xdr:from>
    <xdr:to>
      <xdr:col>6</xdr:col>
      <xdr:colOff>667599</xdr:colOff>
      <xdr:row>25</xdr:row>
      <xdr:rowOff>1</xdr:rowOff>
    </xdr:to>
    <xdr:pic>
      <xdr:nvPicPr>
        <xdr:cNvPr id="3" name="Imagen 2">
          <a:extLst>
            <a:ext uri="{FF2B5EF4-FFF2-40B4-BE49-F238E27FC236}">
              <a16:creationId xmlns:a16="http://schemas.microsoft.com/office/drawing/2014/main" id="{77BF1E50-D4FF-4921-9F62-23B245DBFBE5}"/>
            </a:ext>
          </a:extLst>
        </xdr:cNvPr>
        <xdr:cNvPicPr>
          <a:picLocks noChangeAspect="1"/>
        </xdr:cNvPicPr>
      </xdr:nvPicPr>
      <xdr:blipFill>
        <a:blip xmlns:r="http://schemas.openxmlformats.org/officeDocument/2006/relationships" r:embed="rId2"/>
        <a:stretch>
          <a:fillRect/>
        </a:stretch>
      </xdr:blipFill>
      <xdr:spPr>
        <a:xfrm>
          <a:off x="1" y="2286001"/>
          <a:ext cx="5239598" cy="2476500"/>
        </a:xfrm>
        <a:prstGeom prst="rect">
          <a:avLst/>
        </a:prstGeom>
      </xdr:spPr>
    </xdr:pic>
    <xdr:clientData/>
  </xdr:twoCellAnchor>
  <xdr:twoCellAnchor editAs="oneCell">
    <xdr:from>
      <xdr:col>0</xdr:col>
      <xdr:colOff>19050</xdr:colOff>
      <xdr:row>25</xdr:row>
      <xdr:rowOff>171451</xdr:rowOff>
    </xdr:from>
    <xdr:to>
      <xdr:col>6</xdr:col>
      <xdr:colOff>295275</xdr:colOff>
      <xdr:row>40</xdr:row>
      <xdr:rowOff>162497</xdr:rowOff>
    </xdr:to>
    <xdr:pic>
      <xdr:nvPicPr>
        <xdr:cNvPr id="4" name="Imagen 3">
          <a:extLst>
            <a:ext uri="{FF2B5EF4-FFF2-40B4-BE49-F238E27FC236}">
              <a16:creationId xmlns:a16="http://schemas.microsoft.com/office/drawing/2014/main" id="{FDE22F05-BBD3-4B65-9E3F-45A68879EE92}"/>
            </a:ext>
          </a:extLst>
        </xdr:cNvPr>
        <xdr:cNvPicPr>
          <a:picLocks noChangeAspect="1"/>
        </xdr:cNvPicPr>
      </xdr:nvPicPr>
      <xdr:blipFill>
        <a:blip xmlns:r="http://schemas.openxmlformats.org/officeDocument/2006/relationships" r:embed="rId3"/>
        <a:stretch>
          <a:fillRect/>
        </a:stretch>
      </xdr:blipFill>
      <xdr:spPr>
        <a:xfrm>
          <a:off x="19050" y="4933951"/>
          <a:ext cx="4848225" cy="2848546"/>
        </a:xfrm>
        <a:prstGeom prst="rect">
          <a:avLst/>
        </a:prstGeom>
      </xdr:spPr>
    </xdr:pic>
    <xdr:clientData/>
  </xdr:twoCellAnchor>
  <xdr:twoCellAnchor editAs="oneCell">
    <xdr:from>
      <xdr:col>4</xdr:col>
      <xdr:colOff>752475</xdr:colOff>
      <xdr:row>42</xdr:row>
      <xdr:rowOff>171450</xdr:rowOff>
    </xdr:from>
    <xdr:to>
      <xdr:col>7</xdr:col>
      <xdr:colOff>685800</xdr:colOff>
      <xdr:row>53</xdr:row>
      <xdr:rowOff>57075</xdr:rowOff>
    </xdr:to>
    <xdr:pic>
      <xdr:nvPicPr>
        <xdr:cNvPr id="5" name="Imagen 4">
          <a:extLst>
            <a:ext uri="{FF2B5EF4-FFF2-40B4-BE49-F238E27FC236}">
              <a16:creationId xmlns:a16="http://schemas.microsoft.com/office/drawing/2014/main" id="{E6AA1067-302A-4504-BCEA-9E39828B2238}"/>
            </a:ext>
          </a:extLst>
        </xdr:cNvPr>
        <xdr:cNvPicPr>
          <a:picLocks noChangeAspect="1"/>
        </xdr:cNvPicPr>
      </xdr:nvPicPr>
      <xdr:blipFill>
        <a:blip xmlns:r="http://schemas.openxmlformats.org/officeDocument/2006/relationships" r:embed="rId4"/>
        <a:stretch>
          <a:fillRect/>
        </a:stretch>
      </xdr:blipFill>
      <xdr:spPr>
        <a:xfrm>
          <a:off x="3800475" y="8172450"/>
          <a:ext cx="2219325" cy="1981125"/>
        </a:xfrm>
        <a:prstGeom prst="rect">
          <a:avLst/>
        </a:prstGeom>
      </xdr:spPr>
    </xdr:pic>
    <xdr:clientData/>
  </xdr:twoCellAnchor>
  <xdr:twoCellAnchor editAs="oneCell">
    <xdr:from>
      <xdr:col>0</xdr:col>
      <xdr:colOff>0</xdr:colOff>
      <xdr:row>42</xdr:row>
      <xdr:rowOff>180975</xdr:rowOff>
    </xdr:from>
    <xdr:to>
      <xdr:col>4</xdr:col>
      <xdr:colOff>687182</xdr:colOff>
      <xdr:row>52</xdr:row>
      <xdr:rowOff>19611</xdr:rowOff>
    </xdr:to>
    <xdr:pic>
      <xdr:nvPicPr>
        <xdr:cNvPr id="6" name="Imagen 5">
          <a:extLst>
            <a:ext uri="{FF2B5EF4-FFF2-40B4-BE49-F238E27FC236}">
              <a16:creationId xmlns:a16="http://schemas.microsoft.com/office/drawing/2014/main" id="{6529195A-999D-4D71-AD2D-F88EE92C138E}"/>
            </a:ext>
          </a:extLst>
        </xdr:cNvPr>
        <xdr:cNvPicPr>
          <a:picLocks noChangeAspect="1"/>
        </xdr:cNvPicPr>
      </xdr:nvPicPr>
      <xdr:blipFill>
        <a:blip xmlns:r="http://schemas.openxmlformats.org/officeDocument/2006/relationships" r:embed="rId5"/>
        <a:stretch>
          <a:fillRect/>
        </a:stretch>
      </xdr:blipFill>
      <xdr:spPr>
        <a:xfrm>
          <a:off x="0" y="8181975"/>
          <a:ext cx="3735182" cy="1743636"/>
        </a:xfrm>
        <a:prstGeom prst="rect">
          <a:avLst/>
        </a:prstGeom>
      </xdr:spPr>
    </xdr:pic>
    <xdr:clientData/>
  </xdr:twoCellAnchor>
  <xdr:twoCellAnchor editAs="oneCell">
    <xdr:from>
      <xdr:col>0</xdr:col>
      <xdr:colOff>0</xdr:colOff>
      <xdr:row>54</xdr:row>
      <xdr:rowOff>55766</xdr:rowOff>
    </xdr:from>
    <xdr:to>
      <xdr:col>7</xdr:col>
      <xdr:colOff>285107</xdr:colOff>
      <xdr:row>66</xdr:row>
      <xdr:rowOff>28576</xdr:rowOff>
    </xdr:to>
    <xdr:pic>
      <xdr:nvPicPr>
        <xdr:cNvPr id="7" name="Imagen 6">
          <a:extLst>
            <a:ext uri="{FF2B5EF4-FFF2-40B4-BE49-F238E27FC236}">
              <a16:creationId xmlns:a16="http://schemas.microsoft.com/office/drawing/2014/main" id="{59192447-C087-4D19-8C54-5A8630F6312C}"/>
            </a:ext>
          </a:extLst>
        </xdr:cNvPr>
        <xdr:cNvPicPr>
          <a:picLocks noChangeAspect="1"/>
        </xdr:cNvPicPr>
      </xdr:nvPicPr>
      <xdr:blipFill>
        <a:blip xmlns:r="http://schemas.openxmlformats.org/officeDocument/2006/relationships" r:embed="rId6"/>
        <a:stretch>
          <a:fillRect/>
        </a:stretch>
      </xdr:blipFill>
      <xdr:spPr>
        <a:xfrm>
          <a:off x="0" y="10342766"/>
          <a:ext cx="5619107" cy="2258810"/>
        </a:xfrm>
        <a:prstGeom prst="rect">
          <a:avLst/>
        </a:prstGeom>
      </xdr:spPr>
    </xdr:pic>
    <xdr:clientData/>
  </xdr:twoCellAnchor>
  <xdr:twoCellAnchor editAs="oneCell">
    <xdr:from>
      <xdr:col>0</xdr:col>
      <xdr:colOff>0</xdr:colOff>
      <xdr:row>68</xdr:row>
      <xdr:rowOff>76200</xdr:rowOff>
    </xdr:from>
    <xdr:to>
      <xdr:col>8</xdr:col>
      <xdr:colOff>28314</xdr:colOff>
      <xdr:row>82</xdr:row>
      <xdr:rowOff>38722</xdr:rowOff>
    </xdr:to>
    <xdr:pic>
      <xdr:nvPicPr>
        <xdr:cNvPr id="8" name="Imagen 7">
          <a:extLst>
            <a:ext uri="{FF2B5EF4-FFF2-40B4-BE49-F238E27FC236}">
              <a16:creationId xmlns:a16="http://schemas.microsoft.com/office/drawing/2014/main" id="{685977A6-6082-4CEA-A78B-AEB100C3B0F5}"/>
            </a:ext>
          </a:extLst>
        </xdr:cNvPr>
        <xdr:cNvPicPr>
          <a:picLocks noChangeAspect="1"/>
        </xdr:cNvPicPr>
      </xdr:nvPicPr>
      <xdr:blipFill>
        <a:blip xmlns:r="http://schemas.openxmlformats.org/officeDocument/2006/relationships" r:embed="rId7"/>
        <a:stretch>
          <a:fillRect/>
        </a:stretch>
      </xdr:blipFill>
      <xdr:spPr>
        <a:xfrm>
          <a:off x="0" y="13030200"/>
          <a:ext cx="6124314" cy="2629522"/>
        </a:xfrm>
        <a:prstGeom prst="rect">
          <a:avLst/>
        </a:prstGeom>
      </xdr:spPr>
    </xdr:pic>
    <xdr:clientData/>
  </xdr:twoCellAnchor>
  <xdr:twoCellAnchor editAs="oneCell">
    <xdr:from>
      <xdr:col>0</xdr:col>
      <xdr:colOff>1</xdr:colOff>
      <xdr:row>83</xdr:row>
      <xdr:rowOff>0</xdr:rowOff>
    </xdr:from>
    <xdr:to>
      <xdr:col>6</xdr:col>
      <xdr:colOff>471813</xdr:colOff>
      <xdr:row>97</xdr:row>
      <xdr:rowOff>133350</xdr:rowOff>
    </xdr:to>
    <xdr:pic>
      <xdr:nvPicPr>
        <xdr:cNvPr id="9" name="Imagen 8">
          <a:extLst>
            <a:ext uri="{FF2B5EF4-FFF2-40B4-BE49-F238E27FC236}">
              <a16:creationId xmlns:a16="http://schemas.microsoft.com/office/drawing/2014/main" id="{3DBD0656-18D5-4BCB-90AB-DA7D86A8E7E6}"/>
            </a:ext>
          </a:extLst>
        </xdr:cNvPr>
        <xdr:cNvPicPr>
          <a:picLocks noChangeAspect="1"/>
        </xdr:cNvPicPr>
      </xdr:nvPicPr>
      <xdr:blipFill>
        <a:blip xmlns:r="http://schemas.openxmlformats.org/officeDocument/2006/relationships" r:embed="rId8"/>
        <a:stretch>
          <a:fillRect/>
        </a:stretch>
      </xdr:blipFill>
      <xdr:spPr>
        <a:xfrm>
          <a:off x="1" y="15811500"/>
          <a:ext cx="5043812" cy="2800350"/>
        </a:xfrm>
        <a:prstGeom prst="rect">
          <a:avLst/>
        </a:prstGeom>
      </xdr:spPr>
    </xdr:pic>
    <xdr:clientData/>
  </xdr:twoCellAnchor>
  <xdr:twoCellAnchor editAs="oneCell">
    <xdr:from>
      <xdr:col>0</xdr:col>
      <xdr:colOff>0</xdr:colOff>
      <xdr:row>98</xdr:row>
      <xdr:rowOff>152400</xdr:rowOff>
    </xdr:from>
    <xdr:to>
      <xdr:col>6</xdr:col>
      <xdr:colOff>361950</xdr:colOff>
      <xdr:row>110</xdr:row>
      <xdr:rowOff>18486</xdr:rowOff>
    </xdr:to>
    <xdr:pic>
      <xdr:nvPicPr>
        <xdr:cNvPr id="10" name="Imagen 9">
          <a:extLst>
            <a:ext uri="{FF2B5EF4-FFF2-40B4-BE49-F238E27FC236}">
              <a16:creationId xmlns:a16="http://schemas.microsoft.com/office/drawing/2014/main" id="{F46E2FF2-A268-486C-B674-2462B377E7C6}"/>
            </a:ext>
          </a:extLst>
        </xdr:cNvPr>
        <xdr:cNvPicPr>
          <a:picLocks noChangeAspect="1"/>
        </xdr:cNvPicPr>
      </xdr:nvPicPr>
      <xdr:blipFill>
        <a:blip xmlns:r="http://schemas.openxmlformats.org/officeDocument/2006/relationships" r:embed="rId9"/>
        <a:stretch>
          <a:fillRect/>
        </a:stretch>
      </xdr:blipFill>
      <xdr:spPr>
        <a:xfrm>
          <a:off x="0" y="18821400"/>
          <a:ext cx="4933950" cy="2152086"/>
        </a:xfrm>
        <a:prstGeom prst="rect">
          <a:avLst/>
        </a:prstGeom>
      </xdr:spPr>
    </xdr:pic>
    <xdr:clientData/>
  </xdr:twoCellAnchor>
  <xdr:twoCellAnchor editAs="oneCell">
    <xdr:from>
      <xdr:col>0</xdr:col>
      <xdr:colOff>1</xdr:colOff>
      <xdr:row>111</xdr:row>
      <xdr:rowOff>152400</xdr:rowOff>
    </xdr:from>
    <xdr:to>
      <xdr:col>7</xdr:col>
      <xdr:colOff>647701</xdr:colOff>
      <xdr:row>124</xdr:row>
      <xdr:rowOff>190025</xdr:rowOff>
    </xdr:to>
    <xdr:pic>
      <xdr:nvPicPr>
        <xdr:cNvPr id="12" name="Imagen 11">
          <a:extLst>
            <a:ext uri="{FF2B5EF4-FFF2-40B4-BE49-F238E27FC236}">
              <a16:creationId xmlns:a16="http://schemas.microsoft.com/office/drawing/2014/main" id="{D57E7226-2330-493C-B9D2-623851DA20A1}"/>
            </a:ext>
          </a:extLst>
        </xdr:cNvPr>
        <xdr:cNvPicPr>
          <a:picLocks noChangeAspect="1"/>
        </xdr:cNvPicPr>
      </xdr:nvPicPr>
      <xdr:blipFill>
        <a:blip xmlns:r="http://schemas.openxmlformats.org/officeDocument/2006/relationships" r:embed="rId10"/>
        <a:stretch>
          <a:fillRect/>
        </a:stretch>
      </xdr:blipFill>
      <xdr:spPr>
        <a:xfrm>
          <a:off x="1" y="21297900"/>
          <a:ext cx="5981700" cy="2514125"/>
        </a:xfrm>
        <a:prstGeom prst="rect">
          <a:avLst/>
        </a:prstGeom>
      </xdr:spPr>
    </xdr:pic>
    <xdr:clientData/>
  </xdr:twoCellAnchor>
  <xdr:twoCellAnchor editAs="oneCell">
    <xdr:from>
      <xdr:col>0</xdr:col>
      <xdr:colOff>0</xdr:colOff>
      <xdr:row>127</xdr:row>
      <xdr:rowOff>30108</xdr:rowOff>
    </xdr:from>
    <xdr:to>
      <xdr:col>7</xdr:col>
      <xdr:colOff>106130</xdr:colOff>
      <xdr:row>136</xdr:row>
      <xdr:rowOff>114748</xdr:rowOff>
    </xdr:to>
    <xdr:pic>
      <xdr:nvPicPr>
        <xdr:cNvPr id="13" name="Imagen 12">
          <a:extLst>
            <a:ext uri="{FF2B5EF4-FFF2-40B4-BE49-F238E27FC236}">
              <a16:creationId xmlns:a16="http://schemas.microsoft.com/office/drawing/2014/main" id="{8B6BE563-DF93-451A-AE41-A9F1D1378B42}"/>
            </a:ext>
          </a:extLst>
        </xdr:cNvPr>
        <xdr:cNvPicPr>
          <a:picLocks noChangeAspect="1"/>
        </xdr:cNvPicPr>
      </xdr:nvPicPr>
      <xdr:blipFill>
        <a:blip xmlns:r="http://schemas.openxmlformats.org/officeDocument/2006/relationships" r:embed="rId11"/>
        <a:stretch>
          <a:fillRect/>
        </a:stretch>
      </xdr:blipFill>
      <xdr:spPr>
        <a:xfrm>
          <a:off x="0" y="24223608"/>
          <a:ext cx="5440130" cy="1799140"/>
        </a:xfrm>
        <a:prstGeom prst="rect">
          <a:avLst/>
        </a:prstGeom>
      </xdr:spPr>
    </xdr:pic>
    <xdr:clientData/>
  </xdr:twoCellAnchor>
  <xdr:twoCellAnchor editAs="oneCell">
    <xdr:from>
      <xdr:col>0</xdr:col>
      <xdr:colOff>1</xdr:colOff>
      <xdr:row>137</xdr:row>
      <xdr:rowOff>76200</xdr:rowOff>
    </xdr:from>
    <xdr:to>
      <xdr:col>6</xdr:col>
      <xdr:colOff>571501</xdr:colOff>
      <xdr:row>145</xdr:row>
      <xdr:rowOff>130121</xdr:rowOff>
    </xdr:to>
    <xdr:pic>
      <xdr:nvPicPr>
        <xdr:cNvPr id="14" name="Imagen 13">
          <a:extLst>
            <a:ext uri="{FF2B5EF4-FFF2-40B4-BE49-F238E27FC236}">
              <a16:creationId xmlns:a16="http://schemas.microsoft.com/office/drawing/2014/main" id="{CFC492C8-B7EE-4220-926E-0FD0678EB5EA}"/>
            </a:ext>
          </a:extLst>
        </xdr:cNvPr>
        <xdr:cNvPicPr>
          <a:picLocks noChangeAspect="1"/>
        </xdr:cNvPicPr>
      </xdr:nvPicPr>
      <xdr:blipFill>
        <a:blip xmlns:r="http://schemas.openxmlformats.org/officeDocument/2006/relationships" r:embed="rId12"/>
        <a:stretch>
          <a:fillRect/>
        </a:stretch>
      </xdr:blipFill>
      <xdr:spPr>
        <a:xfrm>
          <a:off x="1" y="26174700"/>
          <a:ext cx="5143500" cy="1577921"/>
        </a:xfrm>
        <a:prstGeom prst="rect">
          <a:avLst/>
        </a:prstGeom>
      </xdr:spPr>
    </xdr:pic>
    <xdr:clientData/>
  </xdr:twoCellAnchor>
  <xdr:twoCellAnchor editAs="oneCell">
    <xdr:from>
      <xdr:col>7</xdr:col>
      <xdr:colOff>342900</xdr:colOff>
      <xdr:row>140</xdr:row>
      <xdr:rowOff>66675</xdr:rowOff>
    </xdr:from>
    <xdr:to>
      <xdr:col>13</xdr:col>
      <xdr:colOff>66675</xdr:colOff>
      <xdr:row>146</xdr:row>
      <xdr:rowOff>168086</xdr:rowOff>
    </xdr:to>
    <xdr:pic>
      <xdr:nvPicPr>
        <xdr:cNvPr id="15" name="Imagen 14">
          <a:extLst>
            <a:ext uri="{FF2B5EF4-FFF2-40B4-BE49-F238E27FC236}">
              <a16:creationId xmlns:a16="http://schemas.microsoft.com/office/drawing/2014/main" id="{DD177C13-55D6-4375-91C7-A91EA23A3351}"/>
            </a:ext>
          </a:extLst>
        </xdr:cNvPr>
        <xdr:cNvPicPr>
          <a:picLocks noChangeAspect="1"/>
        </xdr:cNvPicPr>
      </xdr:nvPicPr>
      <xdr:blipFill>
        <a:blip xmlns:r="http://schemas.openxmlformats.org/officeDocument/2006/relationships" r:embed="rId13"/>
        <a:stretch>
          <a:fillRect/>
        </a:stretch>
      </xdr:blipFill>
      <xdr:spPr>
        <a:xfrm>
          <a:off x="5676900" y="26736675"/>
          <a:ext cx="4295775" cy="1244411"/>
        </a:xfrm>
        <a:prstGeom prst="rect">
          <a:avLst/>
        </a:prstGeom>
      </xdr:spPr>
    </xdr:pic>
    <xdr:clientData/>
  </xdr:twoCellAnchor>
  <xdr:twoCellAnchor editAs="oneCell">
    <xdr:from>
      <xdr:col>0</xdr:col>
      <xdr:colOff>57150</xdr:colOff>
      <xdr:row>146</xdr:row>
      <xdr:rowOff>161925</xdr:rowOff>
    </xdr:from>
    <xdr:to>
      <xdr:col>6</xdr:col>
      <xdr:colOff>49308</xdr:colOff>
      <xdr:row>157</xdr:row>
      <xdr:rowOff>67219</xdr:rowOff>
    </xdr:to>
    <xdr:pic>
      <xdr:nvPicPr>
        <xdr:cNvPr id="16" name="Imagen 15">
          <a:extLst>
            <a:ext uri="{FF2B5EF4-FFF2-40B4-BE49-F238E27FC236}">
              <a16:creationId xmlns:a16="http://schemas.microsoft.com/office/drawing/2014/main" id="{88E5EE7F-97BA-4BD7-9BC7-A6A9B0FE3B98}"/>
            </a:ext>
          </a:extLst>
        </xdr:cNvPr>
        <xdr:cNvPicPr>
          <a:picLocks noChangeAspect="1"/>
        </xdr:cNvPicPr>
      </xdr:nvPicPr>
      <xdr:blipFill>
        <a:blip xmlns:r="http://schemas.openxmlformats.org/officeDocument/2006/relationships" r:embed="rId14"/>
        <a:stretch>
          <a:fillRect/>
        </a:stretch>
      </xdr:blipFill>
      <xdr:spPr>
        <a:xfrm>
          <a:off x="57150" y="27974925"/>
          <a:ext cx="4564158" cy="2000794"/>
        </a:xfrm>
        <a:prstGeom prst="rect">
          <a:avLst/>
        </a:prstGeom>
      </xdr:spPr>
    </xdr:pic>
    <xdr:clientData/>
  </xdr:twoCellAnchor>
  <xdr:twoCellAnchor editAs="oneCell">
    <xdr:from>
      <xdr:col>0</xdr:col>
      <xdr:colOff>0</xdr:colOff>
      <xdr:row>158</xdr:row>
      <xdr:rowOff>152400</xdr:rowOff>
    </xdr:from>
    <xdr:to>
      <xdr:col>6</xdr:col>
      <xdr:colOff>613369</xdr:colOff>
      <xdr:row>168</xdr:row>
      <xdr:rowOff>133868</xdr:rowOff>
    </xdr:to>
    <xdr:pic>
      <xdr:nvPicPr>
        <xdr:cNvPr id="17" name="Imagen 16">
          <a:extLst>
            <a:ext uri="{FF2B5EF4-FFF2-40B4-BE49-F238E27FC236}">
              <a16:creationId xmlns:a16="http://schemas.microsoft.com/office/drawing/2014/main" id="{FBD8B6BB-0BD6-430C-8C80-D8CFA1DABB02}"/>
            </a:ext>
          </a:extLst>
        </xdr:cNvPr>
        <xdr:cNvPicPr>
          <a:picLocks noChangeAspect="1"/>
        </xdr:cNvPicPr>
      </xdr:nvPicPr>
      <xdr:blipFill>
        <a:blip xmlns:r="http://schemas.openxmlformats.org/officeDocument/2006/relationships" r:embed="rId15"/>
        <a:stretch>
          <a:fillRect/>
        </a:stretch>
      </xdr:blipFill>
      <xdr:spPr>
        <a:xfrm>
          <a:off x="0" y="30251400"/>
          <a:ext cx="5185369" cy="1886468"/>
        </a:xfrm>
        <a:prstGeom prst="rect">
          <a:avLst/>
        </a:prstGeom>
      </xdr:spPr>
    </xdr:pic>
    <xdr:clientData/>
  </xdr:twoCellAnchor>
  <xdr:twoCellAnchor editAs="oneCell">
    <xdr:from>
      <xdr:col>0</xdr:col>
      <xdr:colOff>0</xdr:colOff>
      <xdr:row>169</xdr:row>
      <xdr:rowOff>142875</xdr:rowOff>
    </xdr:from>
    <xdr:to>
      <xdr:col>7</xdr:col>
      <xdr:colOff>238125</xdr:colOff>
      <xdr:row>181</xdr:row>
      <xdr:rowOff>142875</xdr:rowOff>
    </xdr:to>
    <xdr:pic>
      <xdr:nvPicPr>
        <xdr:cNvPr id="18" name="Imagen 17">
          <a:extLst>
            <a:ext uri="{FF2B5EF4-FFF2-40B4-BE49-F238E27FC236}">
              <a16:creationId xmlns:a16="http://schemas.microsoft.com/office/drawing/2014/main" id="{741E7245-803F-448B-8D1B-3E08C5C7CA71}"/>
            </a:ext>
          </a:extLst>
        </xdr:cNvPr>
        <xdr:cNvPicPr>
          <a:picLocks noChangeAspect="1"/>
        </xdr:cNvPicPr>
      </xdr:nvPicPr>
      <xdr:blipFill>
        <a:blip xmlns:r="http://schemas.openxmlformats.org/officeDocument/2006/relationships" r:embed="rId16"/>
        <a:stretch>
          <a:fillRect/>
        </a:stretch>
      </xdr:blipFill>
      <xdr:spPr>
        <a:xfrm>
          <a:off x="0" y="32337375"/>
          <a:ext cx="5572125" cy="2286000"/>
        </a:xfrm>
        <a:prstGeom prst="rect">
          <a:avLst/>
        </a:prstGeom>
      </xdr:spPr>
    </xdr:pic>
    <xdr:clientData/>
  </xdr:twoCellAnchor>
  <xdr:twoCellAnchor editAs="oneCell">
    <xdr:from>
      <xdr:col>0</xdr:col>
      <xdr:colOff>0</xdr:colOff>
      <xdr:row>182</xdr:row>
      <xdr:rowOff>114249</xdr:rowOff>
    </xdr:from>
    <xdr:to>
      <xdr:col>7</xdr:col>
      <xdr:colOff>239375</xdr:colOff>
      <xdr:row>195</xdr:row>
      <xdr:rowOff>133910</xdr:rowOff>
    </xdr:to>
    <xdr:pic>
      <xdr:nvPicPr>
        <xdr:cNvPr id="19" name="Imagen 18">
          <a:extLst>
            <a:ext uri="{FF2B5EF4-FFF2-40B4-BE49-F238E27FC236}">
              <a16:creationId xmlns:a16="http://schemas.microsoft.com/office/drawing/2014/main" id="{DAEBC64E-3869-4CBE-92FC-9AAE7C6ADBBB}"/>
            </a:ext>
          </a:extLst>
        </xdr:cNvPr>
        <xdr:cNvPicPr>
          <a:picLocks noChangeAspect="1"/>
        </xdr:cNvPicPr>
      </xdr:nvPicPr>
      <xdr:blipFill>
        <a:blip xmlns:r="http://schemas.openxmlformats.org/officeDocument/2006/relationships" r:embed="rId17"/>
        <a:stretch>
          <a:fillRect/>
        </a:stretch>
      </xdr:blipFill>
      <xdr:spPr>
        <a:xfrm>
          <a:off x="0" y="34785249"/>
          <a:ext cx="5573375" cy="2496161"/>
        </a:xfrm>
        <a:prstGeom prst="rect">
          <a:avLst/>
        </a:prstGeom>
      </xdr:spPr>
    </xdr:pic>
    <xdr:clientData/>
  </xdr:twoCellAnchor>
  <xdr:twoCellAnchor editAs="oneCell">
    <xdr:from>
      <xdr:col>0</xdr:col>
      <xdr:colOff>0</xdr:colOff>
      <xdr:row>197</xdr:row>
      <xdr:rowOff>142874</xdr:rowOff>
    </xdr:from>
    <xdr:to>
      <xdr:col>4</xdr:col>
      <xdr:colOff>732706</xdr:colOff>
      <xdr:row>207</xdr:row>
      <xdr:rowOff>48165</xdr:rowOff>
    </xdr:to>
    <xdr:pic>
      <xdr:nvPicPr>
        <xdr:cNvPr id="20" name="Imagen 19">
          <a:extLst>
            <a:ext uri="{FF2B5EF4-FFF2-40B4-BE49-F238E27FC236}">
              <a16:creationId xmlns:a16="http://schemas.microsoft.com/office/drawing/2014/main" id="{D71B8482-C05E-41BC-A32E-433536691EAC}"/>
            </a:ext>
          </a:extLst>
        </xdr:cNvPr>
        <xdr:cNvPicPr>
          <a:picLocks noChangeAspect="1"/>
        </xdr:cNvPicPr>
      </xdr:nvPicPr>
      <xdr:blipFill>
        <a:blip xmlns:r="http://schemas.openxmlformats.org/officeDocument/2006/relationships" r:embed="rId18"/>
        <a:stretch>
          <a:fillRect/>
        </a:stretch>
      </xdr:blipFill>
      <xdr:spPr>
        <a:xfrm>
          <a:off x="0" y="37671374"/>
          <a:ext cx="3780706" cy="1810291"/>
        </a:xfrm>
        <a:prstGeom prst="rect">
          <a:avLst/>
        </a:prstGeom>
      </xdr:spPr>
    </xdr:pic>
    <xdr:clientData/>
  </xdr:twoCellAnchor>
  <xdr:twoCellAnchor editAs="oneCell">
    <xdr:from>
      <xdr:col>0</xdr:col>
      <xdr:colOff>0</xdr:colOff>
      <xdr:row>208</xdr:row>
      <xdr:rowOff>180975</xdr:rowOff>
    </xdr:from>
    <xdr:to>
      <xdr:col>6</xdr:col>
      <xdr:colOff>237554</xdr:colOff>
      <xdr:row>218</xdr:row>
      <xdr:rowOff>133912</xdr:rowOff>
    </xdr:to>
    <xdr:pic>
      <xdr:nvPicPr>
        <xdr:cNvPr id="21" name="Imagen 20">
          <a:extLst>
            <a:ext uri="{FF2B5EF4-FFF2-40B4-BE49-F238E27FC236}">
              <a16:creationId xmlns:a16="http://schemas.microsoft.com/office/drawing/2014/main" id="{5EE84660-70E5-453D-B467-9C615929C785}"/>
            </a:ext>
          </a:extLst>
        </xdr:cNvPr>
        <xdr:cNvPicPr>
          <a:picLocks noChangeAspect="1"/>
        </xdr:cNvPicPr>
      </xdr:nvPicPr>
      <xdr:blipFill>
        <a:blip xmlns:r="http://schemas.openxmlformats.org/officeDocument/2006/relationships" r:embed="rId19"/>
        <a:stretch>
          <a:fillRect/>
        </a:stretch>
      </xdr:blipFill>
      <xdr:spPr>
        <a:xfrm>
          <a:off x="0" y="39804975"/>
          <a:ext cx="4809554" cy="1857937"/>
        </a:xfrm>
        <a:prstGeom prst="rect">
          <a:avLst/>
        </a:prstGeom>
      </xdr:spPr>
    </xdr:pic>
    <xdr:clientData/>
  </xdr:twoCellAnchor>
  <xdr:twoCellAnchor editAs="oneCell">
    <xdr:from>
      <xdr:col>0</xdr:col>
      <xdr:colOff>0</xdr:colOff>
      <xdr:row>219</xdr:row>
      <xdr:rowOff>76200</xdr:rowOff>
    </xdr:from>
    <xdr:to>
      <xdr:col>6</xdr:col>
      <xdr:colOff>631940</xdr:colOff>
      <xdr:row>236</xdr:row>
      <xdr:rowOff>172206</xdr:rowOff>
    </xdr:to>
    <xdr:pic>
      <xdr:nvPicPr>
        <xdr:cNvPr id="22" name="Imagen 21">
          <a:extLst>
            <a:ext uri="{FF2B5EF4-FFF2-40B4-BE49-F238E27FC236}">
              <a16:creationId xmlns:a16="http://schemas.microsoft.com/office/drawing/2014/main" id="{45B5D808-AEE5-4A3B-9AF1-C82748A6CAB6}"/>
            </a:ext>
          </a:extLst>
        </xdr:cNvPr>
        <xdr:cNvPicPr>
          <a:picLocks noChangeAspect="1"/>
        </xdr:cNvPicPr>
      </xdr:nvPicPr>
      <xdr:blipFill>
        <a:blip xmlns:r="http://schemas.openxmlformats.org/officeDocument/2006/relationships" r:embed="rId20"/>
        <a:stretch>
          <a:fillRect/>
        </a:stretch>
      </xdr:blipFill>
      <xdr:spPr>
        <a:xfrm>
          <a:off x="0" y="41795700"/>
          <a:ext cx="5203940" cy="3334506"/>
        </a:xfrm>
        <a:prstGeom prst="rect">
          <a:avLst/>
        </a:prstGeom>
      </xdr:spPr>
    </xdr:pic>
    <xdr:clientData/>
  </xdr:twoCellAnchor>
  <xdr:twoCellAnchor editAs="oneCell">
    <xdr:from>
      <xdr:col>7</xdr:col>
      <xdr:colOff>19051</xdr:colOff>
      <xdr:row>225</xdr:row>
      <xdr:rowOff>133350</xdr:rowOff>
    </xdr:from>
    <xdr:to>
      <xdr:col>13</xdr:col>
      <xdr:colOff>105287</xdr:colOff>
      <xdr:row>236</xdr:row>
      <xdr:rowOff>57754</xdr:rowOff>
    </xdr:to>
    <xdr:pic>
      <xdr:nvPicPr>
        <xdr:cNvPr id="23" name="Imagen 22">
          <a:extLst>
            <a:ext uri="{FF2B5EF4-FFF2-40B4-BE49-F238E27FC236}">
              <a16:creationId xmlns:a16="http://schemas.microsoft.com/office/drawing/2014/main" id="{61067B5F-9E6C-4EF5-95CB-27B9944689AC}"/>
            </a:ext>
          </a:extLst>
        </xdr:cNvPr>
        <xdr:cNvPicPr>
          <a:picLocks noChangeAspect="1"/>
        </xdr:cNvPicPr>
      </xdr:nvPicPr>
      <xdr:blipFill>
        <a:blip xmlns:r="http://schemas.openxmlformats.org/officeDocument/2006/relationships" r:embed="rId21"/>
        <a:stretch>
          <a:fillRect/>
        </a:stretch>
      </xdr:blipFill>
      <xdr:spPr>
        <a:xfrm>
          <a:off x="5353051" y="42995850"/>
          <a:ext cx="4658236" cy="2019904"/>
        </a:xfrm>
        <a:prstGeom prst="rect">
          <a:avLst/>
        </a:prstGeom>
      </xdr:spPr>
    </xdr:pic>
    <xdr:clientData/>
  </xdr:twoCellAnchor>
  <xdr:twoCellAnchor editAs="oneCell">
    <xdr:from>
      <xdr:col>0</xdr:col>
      <xdr:colOff>0</xdr:colOff>
      <xdr:row>240</xdr:row>
      <xdr:rowOff>28574</xdr:rowOff>
    </xdr:from>
    <xdr:to>
      <xdr:col>6</xdr:col>
      <xdr:colOff>407022</xdr:colOff>
      <xdr:row>250</xdr:row>
      <xdr:rowOff>180975</xdr:rowOff>
    </xdr:to>
    <xdr:pic>
      <xdr:nvPicPr>
        <xdr:cNvPr id="24" name="Imagen 23">
          <a:extLst>
            <a:ext uri="{FF2B5EF4-FFF2-40B4-BE49-F238E27FC236}">
              <a16:creationId xmlns:a16="http://schemas.microsoft.com/office/drawing/2014/main" id="{5617C6C6-C576-4BCC-A151-FD6C90F257BF}"/>
            </a:ext>
          </a:extLst>
        </xdr:cNvPr>
        <xdr:cNvPicPr>
          <a:picLocks noChangeAspect="1"/>
        </xdr:cNvPicPr>
      </xdr:nvPicPr>
      <xdr:blipFill>
        <a:blip xmlns:r="http://schemas.openxmlformats.org/officeDocument/2006/relationships" r:embed="rId22"/>
        <a:stretch>
          <a:fillRect/>
        </a:stretch>
      </xdr:blipFill>
      <xdr:spPr>
        <a:xfrm>
          <a:off x="0" y="45748574"/>
          <a:ext cx="4979022" cy="2057401"/>
        </a:xfrm>
        <a:prstGeom prst="rect">
          <a:avLst/>
        </a:prstGeom>
      </xdr:spPr>
    </xdr:pic>
    <xdr:clientData/>
  </xdr:twoCellAnchor>
  <xdr:twoCellAnchor editAs="oneCell">
    <xdr:from>
      <xdr:col>0</xdr:col>
      <xdr:colOff>0</xdr:colOff>
      <xdr:row>252</xdr:row>
      <xdr:rowOff>66675</xdr:rowOff>
    </xdr:from>
    <xdr:to>
      <xdr:col>5</xdr:col>
      <xdr:colOff>748273</xdr:colOff>
      <xdr:row>260</xdr:row>
      <xdr:rowOff>124298</xdr:rowOff>
    </xdr:to>
    <xdr:pic>
      <xdr:nvPicPr>
        <xdr:cNvPr id="25" name="Imagen 24">
          <a:extLst>
            <a:ext uri="{FF2B5EF4-FFF2-40B4-BE49-F238E27FC236}">
              <a16:creationId xmlns:a16="http://schemas.microsoft.com/office/drawing/2014/main" id="{352E980F-ED22-4E06-A612-AAB9D803E024}"/>
            </a:ext>
          </a:extLst>
        </xdr:cNvPr>
        <xdr:cNvPicPr>
          <a:picLocks noChangeAspect="1"/>
        </xdr:cNvPicPr>
      </xdr:nvPicPr>
      <xdr:blipFill>
        <a:blip xmlns:r="http://schemas.openxmlformats.org/officeDocument/2006/relationships" r:embed="rId23"/>
        <a:stretch>
          <a:fillRect/>
        </a:stretch>
      </xdr:blipFill>
      <xdr:spPr>
        <a:xfrm>
          <a:off x="0" y="48072675"/>
          <a:ext cx="4558273" cy="1581623"/>
        </a:xfrm>
        <a:prstGeom prst="rect">
          <a:avLst/>
        </a:prstGeom>
      </xdr:spPr>
    </xdr:pic>
    <xdr:clientData/>
  </xdr:twoCellAnchor>
  <xdr:twoCellAnchor editAs="oneCell">
    <xdr:from>
      <xdr:col>0</xdr:col>
      <xdr:colOff>0</xdr:colOff>
      <xdr:row>261</xdr:row>
      <xdr:rowOff>66674</xdr:rowOff>
    </xdr:from>
    <xdr:to>
      <xdr:col>6</xdr:col>
      <xdr:colOff>583614</xdr:colOff>
      <xdr:row>273</xdr:row>
      <xdr:rowOff>181515</xdr:rowOff>
    </xdr:to>
    <xdr:pic>
      <xdr:nvPicPr>
        <xdr:cNvPr id="26" name="Imagen 25">
          <a:extLst>
            <a:ext uri="{FF2B5EF4-FFF2-40B4-BE49-F238E27FC236}">
              <a16:creationId xmlns:a16="http://schemas.microsoft.com/office/drawing/2014/main" id="{FB1DE0F4-A439-4E77-B825-1F0129BC66BC}"/>
            </a:ext>
          </a:extLst>
        </xdr:cNvPr>
        <xdr:cNvPicPr>
          <a:picLocks noChangeAspect="1"/>
        </xdr:cNvPicPr>
      </xdr:nvPicPr>
      <xdr:blipFill>
        <a:blip xmlns:r="http://schemas.openxmlformats.org/officeDocument/2006/relationships" r:embed="rId24"/>
        <a:stretch>
          <a:fillRect/>
        </a:stretch>
      </xdr:blipFill>
      <xdr:spPr>
        <a:xfrm>
          <a:off x="0" y="49787174"/>
          <a:ext cx="5155614" cy="2400841"/>
        </a:xfrm>
        <a:prstGeom prst="rect">
          <a:avLst/>
        </a:prstGeom>
      </xdr:spPr>
    </xdr:pic>
    <xdr:clientData/>
  </xdr:twoCellAnchor>
  <xdr:twoCellAnchor editAs="oneCell">
    <xdr:from>
      <xdr:col>0</xdr:col>
      <xdr:colOff>0</xdr:colOff>
      <xdr:row>275</xdr:row>
      <xdr:rowOff>9525</xdr:rowOff>
    </xdr:from>
    <xdr:to>
      <xdr:col>7</xdr:col>
      <xdr:colOff>551307</xdr:colOff>
      <xdr:row>284</xdr:row>
      <xdr:rowOff>171901</xdr:rowOff>
    </xdr:to>
    <xdr:pic>
      <xdr:nvPicPr>
        <xdr:cNvPr id="27" name="Imagen 26">
          <a:extLst>
            <a:ext uri="{FF2B5EF4-FFF2-40B4-BE49-F238E27FC236}">
              <a16:creationId xmlns:a16="http://schemas.microsoft.com/office/drawing/2014/main" id="{E21A3A73-E915-445D-875C-312AE1A54CBD}"/>
            </a:ext>
          </a:extLst>
        </xdr:cNvPr>
        <xdr:cNvPicPr>
          <a:picLocks noChangeAspect="1"/>
        </xdr:cNvPicPr>
      </xdr:nvPicPr>
      <xdr:blipFill>
        <a:blip xmlns:r="http://schemas.openxmlformats.org/officeDocument/2006/relationships" r:embed="rId25"/>
        <a:stretch>
          <a:fillRect/>
        </a:stretch>
      </xdr:blipFill>
      <xdr:spPr>
        <a:xfrm>
          <a:off x="0" y="52397025"/>
          <a:ext cx="5885307" cy="1876876"/>
        </a:xfrm>
        <a:prstGeom prst="rect">
          <a:avLst/>
        </a:prstGeom>
      </xdr:spPr>
    </xdr:pic>
    <xdr:clientData/>
  </xdr:twoCellAnchor>
  <xdr:twoCellAnchor editAs="oneCell">
    <xdr:from>
      <xdr:col>0</xdr:col>
      <xdr:colOff>0</xdr:colOff>
      <xdr:row>285</xdr:row>
      <xdr:rowOff>38099</xdr:rowOff>
    </xdr:from>
    <xdr:to>
      <xdr:col>7</xdr:col>
      <xdr:colOff>702368</xdr:colOff>
      <xdr:row>295</xdr:row>
      <xdr:rowOff>143350</xdr:rowOff>
    </xdr:to>
    <xdr:pic>
      <xdr:nvPicPr>
        <xdr:cNvPr id="28" name="Imagen 27">
          <a:extLst>
            <a:ext uri="{FF2B5EF4-FFF2-40B4-BE49-F238E27FC236}">
              <a16:creationId xmlns:a16="http://schemas.microsoft.com/office/drawing/2014/main" id="{A2D3EE7C-48F8-4F43-A636-3564DA29D4E6}"/>
            </a:ext>
          </a:extLst>
        </xdr:cNvPr>
        <xdr:cNvPicPr>
          <a:picLocks noChangeAspect="1"/>
        </xdr:cNvPicPr>
      </xdr:nvPicPr>
      <xdr:blipFill>
        <a:blip xmlns:r="http://schemas.openxmlformats.org/officeDocument/2006/relationships" r:embed="rId26"/>
        <a:stretch>
          <a:fillRect/>
        </a:stretch>
      </xdr:blipFill>
      <xdr:spPr>
        <a:xfrm>
          <a:off x="0" y="54330599"/>
          <a:ext cx="6036368" cy="2010251"/>
        </a:xfrm>
        <a:prstGeom prst="rect">
          <a:avLst/>
        </a:prstGeom>
      </xdr:spPr>
    </xdr:pic>
    <xdr:clientData/>
  </xdr:twoCellAnchor>
  <xdr:twoCellAnchor editAs="oneCell">
    <xdr:from>
      <xdr:col>0</xdr:col>
      <xdr:colOff>0</xdr:colOff>
      <xdr:row>296</xdr:row>
      <xdr:rowOff>38100</xdr:rowOff>
    </xdr:from>
    <xdr:to>
      <xdr:col>5</xdr:col>
      <xdr:colOff>219075</xdr:colOff>
      <xdr:row>309</xdr:row>
      <xdr:rowOff>93855</xdr:rowOff>
    </xdr:to>
    <xdr:pic>
      <xdr:nvPicPr>
        <xdr:cNvPr id="29" name="Imagen 28">
          <a:extLst>
            <a:ext uri="{FF2B5EF4-FFF2-40B4-BE49-F238E27FC236}">
              <a16:creationId xmlns:a16="http://schemas.microsoft.com/office/drawing/2014/main" id="{4005E05C-5AA3-4F4B-A3DA-47061DFD61CF}"/>
            </a:ext>
          </a:extLst>
        </xdr:cNvPr>
        <xdr:cNvPicPr>
          <a:picLocks noChangeAspect="1"/>
        </xdr:cNvPicPr>
      </xdr:nvPicPr>
      <xdr:blipFill>
        <a:blip xmlns:r="http://schemas.openxmlformats.org/officeDocument/2006/relationships" r:embed="rId27"/>
        <a:stretch>
          <a:fillRect/>
        </a:stretch>
      </xdr:blipFill>
      <xdr:spPr>
        <a:xfrm>
          <a:off x="0" y="56426100"/>
          <a:ext cx="4029075" cy="2532255"/>
        </a:xfrm>
        <a:prstGeom prst="rect">
          <a:avLst/>
        </a:prstGeom>
      </xdr:spPr>
    </xdr:pic>
    <xdr:clientData/>
  </xdr:twoCellAnchor>
  <xdr:twoCellAnchor editAs="oneCell">
    <xdr:from>
      <xdr:col>0</xdr:col>
      <xdr:colOff>0</xdr:colOff>
      <xdr:row>310</xdr:row>
      <xdr:rowOff>19050</xdr:rowOff>
    </xdr:from>
    <xdr:to>
      <xdr:col>5</xdr:col>
      <xdr:colOff>211729</xdr:colOff>
      <xdr:row>320</xdr:row>
      <xdr:rowOff>10008</xdr:rowOff>
    </xdr:to>
    <xdr:pic>
      <xdr:nvPicPr>
        <xdr:cNvPr id="30" name="Imagen 29">
          <a:extLst>
            <a:ext uri="{FF2B5EF4-FFF2-40B4-BE49-F238E27FC236}">
              <a16:creationId xmlns:a16="http://schemas.microsoft.com/office/drawing/2014/main" id="{AE42D8A0-CD7E-4BC4-A081-13CE0AB570FA}"/>
            </a:ext>
          </a:extLst>
        </xdr:cNvPr>
        <xdr:cNvPicPr>
          <a:picLocks noChangeAspect="1"/>
        </xdr:cNvPicPr>
      </xdr:nvPicPr>
      <xdr:blipFill>
        <a:blip xmlns:r="http://schemas.openxmlformats.org/officeDocument/2006/relationships" r:embed="rId28"/>
        <a:stretch>
          <a:fillRect/>
        </a:stretch>
      </xdr:blipFill>
      <xdr:spPr>
        <a:xfrm>
          <a:off x="0" y="59074050"/>
          <a:ext cx="4021729" cy="1895958"/>
        </a:xfrm>
        <a:prstGeom prst="rect">
          <a:avLst/>
        </a:prstGeom>
      </xdr:spPr>
    </xdr:pic>
    <xdr:clientData/>
  </xdr:twoCellAnchor>
  <xdr:twoCellAnchor editAs="oneCell">
    <xdr:from>
      <xdr:col>0</xdr:col>
      <xdr:colOff>0</xdr:colOff>
      <xdr:row>321</xdr:row>
      <xdr:rowOff>0</xdr:rowOff>
    </xdr:from>
    <xdr:to>
      <xdr:col>6</xdr:col>
      <xdr:colOff>742177</xdr:colOff>
      <xdr:row>332</xdr:row>
      <xdr:rowOff>133349</xdr:rowOff>
    </xdr:to>
    <xdr:pic>
      <xdr:nvPicPr>
        <xdr:cNvPr id="31" name="Imagen 30">
          <a:extLst>
            <a:ext uri="{FF2B5EF4-FFF2-40B4-BE49-F238E27FC236}">
              <a16:creationId xmlns:a16="http://schemas.microsoft.com/office/drawing/2014/main" id="{C5E88AC2-A05A-4036-BB46-0F73D75E9341}"/>
            </a:ext>
          </a:extLst>
        </xdr:cNvPr>
        <xdr:cNvPicPr>
          <a:picLocks noChangeAspect="1"/>
        </xdr:cNvPicPr>
      </xdr:nvPicPr>
      <xdr:blipFill>
        <a:blip xmlns:r="http://schemas.openxmlformats.org/officeDocument/2006/relationships" r:embed="rId29"/>
        <a:stretch>
          <a:fillRect/>
        </a:stretch>
      </xdr:blipFill>
      <xdr:spPr>
        <a:xfrm>
          <a:off x="0" y="61150500"/>
          <a:ext cx="5314177" cy="2228849"/>
        </a:xfrm>
        <a:prstGeom prst="rect">
          <a:avLst/>
        </a:prstGeom>
      </xdr:spPr>
    </xdr:pic>
    <xdr:clientData/>
  </xdr:twoCellAnchor>
  <xdr:twoCellAnchor editAs="oneCell">
    <xdr:from>
      <xdr:col>0</xdr:col>
      <xdr:colOff>0</xdr:colOff>
      <xdr:row>334</xdr:row>
      <xdr:rowOff>0</xdr:rowOff>
    </xdr:from>
    <xdr:to>
      <xdr:col>7</xdr:col>
      <xdr:colOff>561975</xdr:colOff>
      <xdr:row>344</xdr:row>
      <xdr:rowOff>4287</xdr:rowOff>
    </xdr:to>
    <xdr:pic>
      <xdr:nvPicPr>
        <xdr:cNvPr id="32" name="Imagen 31">
          <a:extLst>
            <a:ext uri="{FF2B5EF4-FFF2-40B4-BE49-F238E27FC236}">
              <a16:creationId xmlns:a16="http://schemas.microsoft.com/office/drawing/2014/main" id="{A5BF7E28-5018-430D-A188-59A725B73566}"/>
            </a:ext>
          </a:extLst>
        </xdr:cNvPr>
        <xdr:cNvPicPr>
          <a:picLocks noChangeAspect="1"/>
        </xdr:cNvPicPr>
      </xdr:nvPicPr>
      <xdr:blipFill>
        <a:blip xmlns:r="http://schemas.openxmlformats.org/officeDocument/2006/relationships" r:embed="rId30"/>
        <a:stretch>
          <a:fillRect/>
        </a:stretch>
      </xdr:blipFill>
      <xdr:spPr>
        <a:xfrm>
          <a:off x="0" y="63627000"/>
          <a:ext cx="5895975" cy="1909287"/>
        </a:xfrm>
        <a:prstGeom prst="rect">
          <a:avLst/>
        </a:prstGeom>
      </xdr:spPr>
    </xdr:pic>
    <xdr:clientData/>
  </xdr:twoCellAnchor>
  <xdr:twoCellAnchor editAs="oneCell">
    <xdr:from>
      <xdr:col>0</xdr:col>
      <xdr:colOff>0</xdr:colOff>
      <xdr:row>345</xdr:row>
      <xdr:rowOff>38100</xdr:rowOff>
    </xdr:from>
    <xdr:to>
      <xdr:col>6</xdr:col>
      <xdr:colOff>257175</xdr:colOff>
      <xdr:row>358</xdr:row>
      <xdr:rowOff>27672</xdr:rowOff>
    </xdr:to>
    <xdr:pic>
      <xdr:nvPicPr>
        <xdr:cNvPr id="33" name="Imagen 32">
          <a:extLst>
            <a:ext uri="{FF2B5EF4-FFF2-40B4-BE49-F238E27FC236}">
              <a16:creationId xmlns:a16="http://schemas.microsoft.com/office/drawing/2014/main" id="{E324B696-8DA0-40AB-8FED-DEB676EDA9B2}"/>
            </a:ext>
          </a:extLst>
        </xdr:cNvPr>
        <xdr:cNvPicPr>
          <a:picLocks noChangeAspect="1"/>
        </xdr:cNvPicPr>
      </xdr:nvPicPr>
      <xdr:blipFill>
        <a:blip xmlns:r="http://schemas.openxmlformats.org/officeDocument/2006/relationships" r:embed="rId31"/>
        <a:stretch>
          <a:fillRect/>
        </a:stretch>
      </xdr:blipFill>
      <xdr:spPr>
        <a:xfrm>
          <a:off x="0" y="65760600"/>
          <a:ext cx="4829175" cy="2466072"/>
        </a:xfrm>
        <a:prstGeom prst="rect">
          <a:avLst/>
        </a:prstGeom>
      </xdr:spPr>
    </xdr:pic>
    <xdr:clientData/>
  </xdr:twoCellAnchor>
  <xdr:twoCellAnchor editAs="oneCell">
    <xdr:from>
      <xdr:col>0</xdr:col>
      <xdr:colOff>0</xdr:colOff>
      <xdr:row>359</xdr:row>
      <xdr:rowOff>19050</xdr:rowOff>
    </xdr:from>
    <xdr:to>
      <xdr:col>6</xdr:col>
      <xdr:colOff>498092</xdr:colOff>
      <xdr:row>375</xdr:row>
      <xdr:rowOff>86325</xdr:rowOff>
    </xdr:to>
    <xdr:pic>
      <xdr:nvPicPr>
        <xdr:cNvPr id="34" name="Imagen 33">
          <a:extLst>
            <a:ext uri="{FF2B5EF4-FFF2-40B4-BE49-F238E27FC236}">
              <a16:creationId xmlns:a16="http://schemas.microsoft.com/office/drawing/2014/main" id="{2B4EB2AC-7708-4098-B058-9B51E78AAF39}"/>
            </a:ext>
          </a:extLst>
        </xdr:cNvPr>
        <xdr:cNvPicPr>
          <a:picLocks noChangeAspect="1"/>
        </xdr:cNvPicPr>
      </xdr:nvPicPr>
      <xdr:blipFill>
        <a:blip xmlns:r="http://schemas.openxmlformats.org/officeDocument/2006/relationships" r:embed="rId32"/>
        <a:stretch>
          <a:fillRect/>
        </a:stretch>
      </xdr:blipFill>
      <xdr:spPr>
        <a:xfrm>
          <a:off x="0" y="68408550"/>
          <a:ext cx="5070092" cy="3115275"/>
        </a:xfrm>
        <a:prstGeom prst="rect">
          <a:avLst/>
        </a:prstGeom>
      </xdr:spPr>
    </xdr:pic>
    <xdr:clientData/>
  </xdr:twoCellAnchor>
  <xdr:twoCellAnchor editAs="oneCell">
    <xdr:from>
      <xdr:col>0</xdr:col>
      <xdr:colOff>0</xdr:colOff>
      <xdr:row>376</xdr:row>
      <xdr:rowOff>1</xdr:rowOff>
    </xdr:from>
    <xdr:to>
      <xdr:col>6</xdr:col>
      <xdr:colOff>551813</xdr:colOff>
      <xdr:row>389</xdr:row>
      <xdr:rowOff>57151</xdr:rowOff>
    </xdr:to>
    <xdr:pic>
      <xdr:nvPicPr>
        <xdr:cNvPr id="35" name="Imagen 34">
          <a:extLst>
            <a:ext uri="{FF2B5EF4-FFF2-40B4-BE49-F238E27FC236}">
              <a16:creationId xmlns:a16="http://schemas.microsoft.com/office/drawing/2014/main" id="{29BA3EFE-A750-4DFD-95AA-9AD9C2ED2014}"/>
            </a:ext>
          </a:extLst>
        </xdr:cNvPr>
        <xdr:cNvPicPr>
          <a:picLocks noChangeAspect="1"/>
        </xdr:cNvPicPr>
      </xdr:nvPicPr>
      <xdr:blipFill>
        <a:blip xmlns:r="http://schemas.openxmlformats.org/officeDocument/2006/relationships" r:embed="rId33"/>
        <a:stretch>
          <a:fillRect/>
        </a:stretch>
      </xdr:blipFill>
      <xdr:spPr>
        <a:xfrm>
          <a:off x="0" y="71628001"/>
          <a:ext cx="5123813" cy="2533650"/>
        </a:xfrm>
        <a:prstGeom prst="rect">
          <a:avLst/>
        </a:prstGeom>
      </xdr:spPr>
    </xdr:pic>
    <xdr:clientData/>
  </xdr:twoCellAnchor>
  <xdr:twoCellAnchor editAs="oneCell">
    <xdr:from>
      <xdr:col>0</xdr:col>
      <xdr:colOff>1</xdr:colOff>
      <xdr:row>390</xdr:row>
      <xdr:rowOff>0</xdr:rowOff>
    </xdr:from>
    <xdr:to>
      <xdr:col>7</xdr:col>
      <xdr:colOff>192871</xdr:colOff>
      <xdr:row>403</xdr:row>
      <xdr:rowOff>9525</xdr:rowOff>
    </xdr:to>
    <xdr:pic>
      <xdr:nvPicPr>
        <xdr:cNvPr id="36" name="Imagen 35">
          <a:extLst>
            <a:ext uri="{FF2B5EF4-FFF2-40B4-BE49-F238E27FC236}">
              <a16:creationId xmlns:a16="http://schemas.microsoft.com/office/drawing/2014/main" id="{1B5619F7-32BA-4AA3-BBC7-04616780D8C2}"/>
            </a:ext>
          </a:extLst>
        </xdr:cNvPr>
        <xdr:cNvPicPr>
          <a:picLocks noChangeAspect="1"/>
        </xdr:cNvPicPr>
      </xdr:nvPicPr>
      <xdr:blipFill>
        <a:blip xmlns:r="http://schemas.openxmlformats.org/officeDocument/2006/relationships" r:embed="rId34"/>
        <a:stretch>
          <a:fillRect/>
        </a:stretch>
      </xdr:blipFill>
      <xdr:spPr>
        <a:xfrm>
          <a:off x="1" y="74295000"/>
          <a:ext cx="5526870" cy="2486025"/>
        </a:xfrm>
        <a:prstGeom prst="rect">
          <a:avLst/>
        </a:prstGeom>
      </xdr:spPr>
    </xdr:pic>
    <xdr:clientData/>
  </xdr:twoCellAnchor>
  <xdr:twoCellAnchor editAs="oneCell">
    <xdr:from>
      <xdr:col>0</xdr:col>
      <xdr:colOff>0</xdr:colOff>
      <xdr:row>403</xdr:row>
      <xdr:rowOff>190499</xdr:rowOff>
    </xdr:from>
    <xdr:to>
      <xdr:col>7</xdr:col>
      <xdr:colOff>190500</xdr:colOff>
      <xdr:row>416</xdr:row>
      <xdr:rowOff>131954</xdr:rowOff>
    </xdr:to>
    <xdr:pic>
      <xdr:nvPicPr>
        <xdr:cNvPr id="37" name="Imagen 36">
          <a:extLst>
            <a:ext uri="{FF2B5EF4-FFF2-40B4-BE49-F238E27FC236}">
              <a16:creationId xmlns:a16="http://schemas.microsoft.com/office/drawing/2014/main" id="{F9E6EFE6-5690-452C-91DD-7A8EA31F9476}"/>
            </a:ext>
          </a:extLst>
        </xdr:cNvPr>
        <xdr:cNvPicPr>
          <a:picLocks noChangeAspect="1"/>
        </xdr:cNvPicPr>
      </xdr:nvPicPr>
      <xdr:blipFill>
        <a:blip xmlns:r="http://schemas.openxmlformats.org/officeDocument/2006/relationships" r:embed="rId35"/>
        <a:stretch>
          <a:fillRect/>
        </a:stretch>
      </xdr:blipFill>
      <xdr:spPr>
        <a:xfrm>
          <a:off x="0" y="76961999"/>
          <a:ext cx="5524500" cy="2417955"/>
        </a:xfrm>
        <a:prstGeom prst="rect">
          <a:avLst/>
        </a:prstGeom>
      </xdr:spPr>
    </xdr:pic>
    <xdr:clientData/>
  </xdr:twoCellAnchor>
  <xdr:twoCellAnchor editAs="oneCell">
    <xdr:from>
      <xdr:col>0</xdr:col>
      <xdr:colOff>0</xdr:colOff>
      <xdr:row>417</xdr:row>
      <xdr:rowOff>0</xdr:rowOff>
    </xdr:from>
    <xdr:to>
      <xdr:col>7</xdr:col>
      <xdr:colOff>390525</xdr:colOff>
      <xdr:row>430</xdr:row>
      <xdr:rowOff>170324</xdr:rowOff>
    </xdr:to>
    <xdr:pic>
      <xdr:nvPicPr>
        <xdr:cNvPr id="38" name="Imagen 37">
          <a:extLst>
            <a:ext uri="{FF2B5EF4-FFF2-40B4-BE49-F238E27FC236}">
              <a16:creationId xmlns:a16="http://schemas.microsoft.com/office/drawing/2014/main" id="{0EB0F9DA-F1F2-4F8C-AA27-95B1A69EDFD2}"/>
            </a:ext>
          </a:extLst>
        </xdr:cNvPr>
        <xdr:cNvPicPr>
          <a:picLocks noChangeAspect="1"/>
        </xdr:cNvPicPr>
      </xdr:nvPicPr>
      <xdr:blipFill>
        <a:blip xmlns:r="http://schemas.openxmlformats.org/officeDocument/2006/relationships" r:embed="rId36"/>
        <a:stretch>
          <a:fillRect/>
        </a:stretch>
      </xdr:blipFill>
      <xdr:spPr>
        <a:xfrm>
          <a:off x="0" y="79438500"/>
          <a:ext cx="5724525" cy="2646824"/>
        </a:xfrm>
        <a:prstGeom prst="rect">
          <a:avLst/>
        </a:prstGeom>
      </xdr:spPr>
    </xdr:pic>
    <xdr:clientData/>
  </xdr:twoCellAnchor>
  <xdr:twoCellAnchor editAs="oneCell">
    <xdr:from>
      <xdr:col>0</xdr:col>
      <xdr:colOff>2</xdr:colOff>
      <xdr:row>432</xdr:row>
      <xdr:rowOff>0</xdr:rowOff>
    </xdr:from>
    <xdr:to>
      <xdr:col>7</xdr:col>
      <xdr:colOff>142876</xdr:colOff>
      <xdr:row>446</xdr:row>
      <xdr:rowOff>127203</xdr:rowOff>
    </xdr:to>
    <xdr:pic>
      <xdr:nvPicPr>
        <xdr:cNvPr id="39" name="Imagen 38">
          <a:extLst>
            <a:ext uri="{FF2B5EF4-FFF2-40B4-BE49-F238E27FC236}">
              <a16:creationId xmlns:a16="http://schemas.microsoft.com/office/drawing/2014/main" id="{7528F4FC-3C34-41A7-8AD9-B609CAFD6A38}"/>
            </a:ext>
          </a:extLst>
        </xdr:cNvPr>
        <xdr:cNvPicPr>
          <a:picLocks noChangeAspect="1"/>
        </xdr:cNvPicPr>
      </xdr:nvPicPr>
      <xdr:blipFill>
        <a:blip xmlns:r="http://schemas.openxmlformats.org/officeDocument/2006/relationships" r:embed="rId37"/>
        <a:stretch>
          <a:fillRect/>
        </a:stretch>
      </xdr:blipFill>
      <xdr:spPr>
        <a:xfrm>
          <a:off x="2" y="82296000"/>
          <a:ext cx="5476874" cy="2794203"/>
        </a:xfrm>
        <a:prstGeom prst="rect">
          <a:avLst/>
        </a:prstGeom>
      </xdr:spPr>
    </xdr:pic>
    <xdr:clientData/>
  </xdr:twoCellAnchor>
  <xdr:twoCellAnchor editAs="oneCell">
    <xdr:from>
      <xdr:col>0</xdr:col>
      <xdr:colOff>0</xdr:colOff>
      <xdr:row>448</xdr:row>
      <xdr:rowOff>38100</xdr:rowOff>
    </xdr:from>
    <xdr:to>
      <xdr:col>7</xdr:col>
      <xdr:colOff>504502</xdr:colOff>
      <xdr:row>460</xdr:row>
      <xdr:rowOff>29167</xdr:rowOff>
    </xdr:to>
    <xdr:pic>
      <xdr:nvPicPr>
        <xdr:cNvPr id="40" name="Imagen 39">
          <a:extLst>
            <a:ext uri="{FF2B5EF4-FFF2-40B4-BE49-F238E27FC236}">
              <a16:creationId xmlns:a16="http://schemas.microsoft.com/office/drawing/2014/main" id="{B5E24ADA-4F56-4F6F-9182-DF1180A6BE7C}"/>
            </a:ext>
          </a:extLst>
        </xdr:cNvPr>
        <xdr:cNvPicPr>
          <a:picLocks noChangeAspect="1"/>
        </xdr:cNvPicPr>
      </xdr:nvPicPr>
      <xdr:blipFill>
        <a:blip xmlns:r="http://schemas.openxmlformats.org/officeDocument/2006/relationships" r:embed="rId38"/>
        <a:stretch>
          <a:fillRect/>
        </a:stretch>
      </xdr:blipFill>
      <xdr:spPr>
        <a:xfrm>
          <a:off x="0" y="85382100"/>
          <a:ext cx="5838502" cy="2277067"/>
        </a:xfrm>
        <a:prstGeom prst="rect">
          <a:avLst/>
        </a:prstGeom>
      </xdr:spPr>
    </xdr:pic>
    <xdr:clientData/>
  </xdr:twoCellAnchor>
  <xdr:twoCellAnchor editAs="oneCell">
    <xdr:from>
      <xdr:col>0</xdr:col>
      <xdr:colOff>0</xdr:colOff>
      <xdr:row>461</xdr:row>
      <xdr:rowOff>0</xdr:rowOff>
    </xdr:from>
    <xdr:to>
      <xdr:col>7</xdr:col>
      <xdr:colOff>552450</xdr:colOff>
      <xdr:row>473</xdr:row>
      <xdr:rowOff>89559</xdr:rowOff>
    </xdr:to>
    <xdr:pic>
      <xdr:nvPicPr>
        <xdr:cNvPr id="41" name="Imagen 40">
          <a:extLst>
            <a:ext uri="{FF2B5EF4-FFF2-40B4-BE49-F238E27FC236}">
              <a16:creationId xmlns:a16="http://schemas.microsoft.com/office/drawing/2014/main" id="{0E5C0A2F-0D32-4126-B25E-4E4C22B3D933}"/>
            </a:ext>
          </a:extLst>
        </xdr:cNvPr>
        <xdr:cNvPicPr>
          <a:picLocks noChangeAspect="1"/>
        </xdr:cNvPicPr>
      </xdr:nvPicPr>
      <xdr:blipFill>
        <a:blip xmlns:r="http://schemas.openxmlformats.org/officeDocument/2006/relationships" r:embed="rId39"/>
        <a:stretch>
          <a:fillRect/>
        </a:stretch>
      </xdr:blipFill>
      <xdr:spPr>
        <a:xfrm>
          <a:off x="0" y="87820500"/>
          <a:ext cx="5886450" cy="237555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59999389629810485"/>
  </sheetPr>
  <dimension ref="A1:V64"/>
  <sheetViews>
    <sheetView showGridLines="0" tabSelected="1" topLeftCell="J1" zoomScale="55" zoomScaleNormal="55" workbookViewId="0">
      <selection activeCell="G2" sqref="G2:G3"/>
    </sheetView>
  </sheetViews>
  <sheetFormatPr baseColWidth="10" defaultRowHeight="14.25" x14ac:dyDescent="0.2"/>
  <cols>
    <col min="1" max="2" width="11.42578125" style="120" hidden="1" customWidth="1"/>
    <col min="3" max="3" width="14.85546875" style="120" hidden="1" customWidth="1"/>
    <col min="4" max="4" width="9.85546875" style="65" customWidth="1"/>
    <col min="5" max="5" width="69.5703125" style="31" customWidth="1"/>
    <col min="6" max="6" width="17" style="31" customWidth="1"/>
    <col min="7" max="7" width="13.85546875" style="119" customWidth="1"/>
    <col min="8" max="8" width="21.5703125" style="65" customWidth="1"/>
    <col min="9" max="9" width="32.42578125" style="65" customWidth="1"/>
    <col min="10" max="10" width="22.5703125" style="65" customWidth="1"/>
    <col min="11" max="11" width="18.5703125" style="65" customWidth="1"/>
    <col min="12" max="12" width="17.5703125" style="65" customWidth="1"/>
    <col min="13" max="13" width="14.85546875" style="65" customWidth="1"/>
    <col min="14" max="14" width="14.7109375" style="65" customWidth="1"/>
    <col min="15" max="15" width="16.5703125" style="65" customWidth="1"/>
    <col min="16" max="16" width="18.85546875" style="65" customWidth="1"/>
    <col min="17" max="17" width="19" style="31" customWidth="1"/>
    <col min="18" max="18" width="12.42578125" style="31" customWidth="1"/>
    <col min="19" max="19" width="13.85546875" style="31" customWidth="1"/>
    <col min="20" max="16384" width="11.42578125" style="31"/>
  </cols>
  <sheetData>
    <row r="1" spans="1:22" ht="27.75" x14ac:dyDescent="0.2">
      <c r="D1" s="210" t="s">
        <v>111</v>
      </c>
      <c r="E1" s="211"/>
      <c r="F1" s="211"/>
      <c r="G1" s="211"/>
      <c r="H1" s="211"/>
      <c r="I1" s="211"/>
      <c r="J1" s="211"/>
      <c r="K1" s="211"/>
      <c r="L1" s="211"/>
    </row>
    <row r="2" spans="1:22" s="150" customFormat="1" ht="60" x14ac:dyDescent="0.25">
      <c r="A2" s="203" t="s">
        <v>110</v>
      </c>
      <c r="B2" s="203" t="s">
        <v>109</v>
      </c>
      <c r="C2" s="203" t="s">
        <v>108</v>
      </c>
      <c r="D2" s="202" t="s">
        <v>104</v>
      </c>
      <c r="E2" s="205" t="s">
        <v>103</v>
      </c>
      <c r="F2" s="202" t="s">
        <v>86</v>
      </c>
      <c r="G2" s="209" t="s">
        <v>21</v>
      </c>
      <c r="H2" s="124" t="s">
        <v>102</v>
      </c>
      <c r="I2" s="144" t="s">
        <v>101</v>
      </c>
      <c r="J2" s="143" t="s">
        <v>100</v>
      </c>
      <c r="K2" s="202" t="s">
        <v>99</v>
      </c>
      <c r="L2" s="202" t="s">
        <v>87</v>
      </c>
      <c r="M2" s="202" t="s">
        <v>98</v>
      </c>
      <c r="N2" s="202" t="s">
        <v>97</v>
      </c>
      <c r="O2" s="202" t="s">
        <v>96</v>
      </c>
      <c r="P2" s="202" t="s">
        <v>95</v>
      </c>
      <c r="R2" s="201" t="s">
        <v>94</v>
      </c>
      <c r="S2" s="201"/>
      <c r="T2" s="201"/>
    </row>
    <row r="3" spans="1:22" s="150" customFormat="1" ht="15" x14ac:dyDescent="0.25">
      <c r="A3" s="204"/>
      <c r="B3" s="204"/>
      <c r="C3" s="204"/>
      <c r="D3" s="202"/>
      <c r="E3" s="205"/>
      <c r="F3" s="202"/>
      <c r="G3" s="209"/>
      <c r="H3" s="141" t="s">
        <v>22</v>
      </c>
      <c r="I3" s="141" t="s">
        <v>22</v>
      </c>
      <c r="J3" s="141" t="s">
        <v>22</v>
      </c>
      <c r="K3" s="202"/>
      <c r="L3" s="202"/>
      <c r="M3" s="202"/>
      <c r="N3" s="202"/>
      <c r="O3" s="202"/>
      <c r="P3" s="202"/>
      <c r="Q3" s="32"/>
      <c r="R3" s="140" t="s">
        <v>93</v>
      </c>
      <c r="S3" s="140" t="s">
        <v>92</v>
      </c>
      <c r="T3" s="140" t="s">
        <v>91</v>
      </c>
    </row>
    <row r="4" spans="1:22" s="128" customFormat="1" ht="61.5" customHeight="1" x14ac:dyDescent="0.25">
      <c r="A4" s="134" t="s">
        <v>1</v>
      </c>
      <c r="B4" s="134" t="s">
        <v>5</v>
      </c>
      <c r="C4" s="134" t="s">
        <v>28</v>
      </c>
      <c r="D4" s="135">
        <v>1</v>
      </c>
      <c r="E4" s="134" t="s">
        <v>64</v>
      </c>
      <c r="F4" s="133" t="s">
        <v>14</v>
      </c>
      <c r="G4" s="133">
        <v>60</v>
      </c>
      <c r="H4" s="132">
        <v>115420</v>
      </c>
      <c r="I4" s="132">
        <v>111700</v>
      </c>
      <c r="J4" s="132">
        <v>114880</v>
      </c>
      <c r="K4" s="131">
        <f t="shared" ref="K4:K29" si="0">ROUND(AVERAGE(H4:J4),0)</f>
        <v>114000</v>
      </c>
      <c r="L4" s="131">
        <f t="shared" ref="L4:L29" si="1">+K4*G4</f>
        <v>6840000</v>
      </c>
      <c r="M4" s="121">
        <f t="shared" ref="M4:M29" si="2">MIN(H4,I4,J4)</f>
        <v>111700</v>
      </c>
      <c r="N4" s="121">
        <f t="shared" ref="N4:N29" si="3">MAX(H4,I4,J4)</f>
        <v>115420</v>
      </c>
      <c r="O4" s="130">
        <f t="shared" ref="O4:O29" si="4">+(M4-K4)/K4</f>
        <v>-2.0175438596491228E-2</v>
      </c>
      <c r="P4" s="130">
        <f t="shared" ref="P4:P29" si="5">+(N4-K4)/K4</f>
        <v>1.2456140350877193E-2</v>
      </c>
      <c r="R4" s="129">
        <f t="shared" ref="R4:R29" si="6">+(I4-H4)/H4</f>
        <v>-3.2230116097730029E-2</v>
      </c>
      <c r="S4" s="129">
        <f t="shared" ref="S4:S29" si="7">+(J4-H4)/H4</f>
        <v>-4.6785652399930688E-3</v>
      </c>
      <c r="T4" s="129">
        <f t="shared" ref="T4:T29" si="8">+(J4-I4)/I4</f>
        <v>2.846911369740376E-2</v>
      </c>
      <c r="U4" s="148"/>
    </row>
    <row r="5" spans="1:22" s="128" customFormat="1" ht="285" customHeight="1" x14ac:dyDescent="0.25">
      <c r="A5" s="134" t="s">
        <v>24</v>
      </c>
      <c r="B5" s="134" t="s">
        <v>26</v>
      </c>
      <c r="C5" s="134" t="s">
        <v>28</v>
      </c>
      <c r="D5" s="135">
        <v>2</v>
      </c>
      <c r="E5" s="136" t="s">
        <v>68</v>
      </c>
      <c r="F5" s="133" t="s">
        <v>14</v>
      </c>
      <c r="G5" s="133">
        <v>1</v>
      </c>
      <c r="H5" s="132">
        <v>195000</v>
      </c>
      <c r="I5" s="132">
        <v>200000</v>
      </c>
      <c r="J5" s="132">
        <v>280000</v>
      </c>
      <c r="K5" s="131">
        <f t="shared" si="0"/>
        <v>225000</v>
      </c>
      <c r="L5" s="131">
        <f t="shared" si="1"/>
        <v>225000</v>
      </c>
      <c r="M5" s="121">
        <f t="shared" si="2"/>
        <v>195000</v>
      </c>
      <c r="N5" s="121">
        <f t="shared" si="3"/>
        <v>280000</v>
      </c>
      <c r="O5" s="130">
        <f t="shared" si="4"/>
        <v>-0.13333333333333333</v>
      </c>
      <c r="P5" s="130">
        <f t="shared" si="5"/>
        <v>0.24444444444444444</v>
      </c>
      <c r="R5" s="129">
        <f t="shared" si="6"/>
        <v>2.564102564102564E-2</v>
      </c>
      <c r="S5" s="129">
        <f t="shared" si="7"/>
        <v>0.4358974358974359</v>
      </c>
      <c r="T5" s="129">
        <f t="shared" si="8"/>
        <v>0.4</v>
      </c>
    </row>
    <row r="6" spans="1:22" s="128" customFormat="1" ht="128.25" x14ac:dyDescent="0.25">
      <c r="A6" s="134" t="s">
        <v>24</v>
      </c>
      <c r="B6" s="134" t="s">
        <v>26</v>
      </c>
      <c r="C6" s="134" t="s">
        <v>28</v>
      </c>
      <c r="D6" s="135">
        <v>3</v>
      </c>
      <c r="E6" s="136" t="s">
        <v>73</v>
      </c>
      <c r="F6" s="133" t="s">
        <v>14</v>
      </c>
      <c r="G6" s="133">
        <v>1</v>
      </c>
      <c r="H6" s="132">
        <v>540000</v>
      </c>
      <c r="I6" s="132">
        <v>548000</v>
      </c>
      <c r="J6" s="132">
        <v>728350</v>
      </c>
      <c r="K6" s="131">
        <f t="shared" si="0"/>
        <v>605450</v>
      </c>
      <c r="L6" s="131">
        <f t="shared" si="1"/>
        <v>605450</v>
      </c>
      <c r="M6" s="121">
        <f t="shared" si="2"/>
        <v>540000</v>
      </c>
      <c r="N6" s="121">
        <f t="shared" si="3"/>
        <v>728350</v>
      </c>
      <c r="O6" s="130">
        <f t="shared" si="4"/>
        <v>-0.10810141217276406</v>
      </c>
      <c r="P6" s="130">
        <f t="shared" si="5"/>
        <v>0.20298951193327278</v>
      </c>
      <c r="Q6" s="149"/>
      <c r="R6" s="129">
        <f t="shared" si="6"/>
        <v>1.4814814814814815E-2</v>
      </c>
      <c r="S6" s="129">
        <f t="shared" si="7"/>
        <v>0.34879629629629627</v>
      </c>
      <c r="T6" s="129">
        <f t="shared" si="8"/>
        <v>0.32910583941605842</v>
      </c>
    </row>
    <row r="7" spans="1:22" s="128" customFormat="1" ht="344.25" customHeight="1" x14ac:dyDescent="0.25">
      <c r="A7" s="134" t="s">
        <v>24</v>
      </c>
      <c r="B7" s="134" t="s">
        <v>30</v>
      </c>
      <c r="C7" s="134" t="s">
        <v>28</v>
      </c>
      <c r="D7" s="135">
        <v>4</v>
      </c>
      <c r="E7" s="134" t="s">
        <v>74</v>
      </c>
      <c r="F7" s="133" t="s">
        <v>14</v>
      </c>
      <c r="G7" s="133">
        <v>2</v>
      </c>
      <c r="H7" s="132">
        <v>10020000</v>
      </c>
      <c r="I7" s="132">
        <v>9550000</v>
      </c>
      <c r="J7" s="132">
        <v>9746000</v>
      </c>
      <c r="K7" s="131">
        <f t="shared" si="0"/>
        <v>9772000</v>
      </c>
      <c r="L7" s="131">
        <f t="shared" si="1"/>
        <v>19544000</v>
      </c>
      <c r="M7" s="121">
        <f t="shared" si="2"/>
        <v>9550000</v>
      </c>
      <c r="N7" s="121">
        <f t="shared" si="3"/>
        <v>10020000</v>
      </c>
      <c r="O7" s="130">
        <f t="shared" si="4"/>
        <v>-2.2717969709373721E-2</v>
      </c>
      <c r="P7" s="130">
        <f t="shared" si="5"/>
        <v>2.5378632828489563E-2</v>
      </c>
      <c r="R7" s="129">
        <f t="shared" si="6"/>
        <v>-4.6906187624750496E-2</v>
      </c>
      <c r="S7" s="129">
        <f t="shared" si="7"/>
        <v>-2.7345309381237526E-2</v>
      </c>
      <c r="T7" s="129">
        <f t="shared" si="8"/>
        <v>2.0523560209424085E-2</v>
      </c>
    </row>
    <row r="8" spans="1:22" s="128" customFormat="1" ht="65.25" customHeight="1" x14ac:dyDescent="0.25">
      <c r="A8" s="134" t="s">
        <v>24</v>
      </c>
      <c r="B8" s="134" t="s">
        <v>26</v>
      </c>
      <c r="C8" s="134" t="s">
        <v>28</v>
      </c>
      <c r="D8" s="135">
        <v>5</v>
      </c>
      <c r="E8" s="134" t="s">
        <v>34</v>
      </c>
      <c r="F8" s="133" t="s">
        <v>27</v>
      </c>
      <c r="G8" s="133">
        <v>2</v>
      </c>
      <c r="H8" s="132">
        <v>421430</v>
      </c>
      <c r="I8" s="132">
        <v>417200</v>
      </c>
      <c r="J8" s="132">
        <v>421370</v>
      </c>
      <c r="K8" s="131">
        <f t="shared" si="0"/>
        <v>420000</v>
      </c>
      <c r="L8" s="131">
        <f t="shared" si="1"/>
        <v>840000</v>
      </c>
      <c r="M8" s="121">
        <f t="shared" si="2"/>
        <v>417200</v>
      </c>
      <c r="N8" s="121">
        <f t="shared" si="3"/>
        <v>421430</v>
      </c>
      <c r="O8" s="130">
        <f t="shared" si="4"/>
        <v>-6.6666666666666671E-3</v>
      </c>
      <c r="P8" s="130">
        <f t="shared" si="5"/>
        <v>3.4047619047619048E-3</v>
      </c>
      <c r="R8" s="129">
        <f t="shared" si="6"/>
        <v>-1.0037254111003013E-2</v>
      </c>
      <c r="S8" s="129">
        <f t="shared" si="7"/>
        <v>-1.4237239873763139E-4</v>
      </c>
      <c r="T8" s="129">
        <f t="shared" si="8"/>
        <v>9.9952061361457331E-3</v>
      </c>
    </row>
    <row r="9" spans="1:22" s="128" customFormat="1" ht="85.5" x14ac:dyDescent="0.25">
      <c r="A9" s="134" t="s">
        <v>24</v>
      </c>
      <c r="B9" s="134" t="s">
        <v>30</v>
      </c>
      <c r="C9" s="134" t="s">
        <v>28</v>
      </c>
      <c r="D9" s="135">
        <v>6</v>
      </c>
      <c r="E9" s="134" t="s">
        <v>35</v>
      </c>
      <c r="F9" s="133" t="s">
        <v>14</v>
      </c>
      <c r="G9" s="133">
        <v>3</v>
      </c>
      <c r="H9" s="132">
        <v>1131750</v>
      </c>
      <c r="I9" s="132">
        <v>1127500</v>
      </c>
      <c r="J9" s="132">
        <v>1130750</v>
      </c>
      <c r="K9" s="131">
        <f t="shared" si="0"/>
        <v>1130000</v>
      </c>
      <c r="L9" s="131">
        <f t="shared" si="1"/>
        <v>3390000</v>
      </c>
      <c r="M9" s="121">
        <f t="shared" si="2"/>
        <v>1127500</v>
      </c>
      <c r="N9" s="121">
        <f t="shared" si="3"/>
        <v>1131750</v>
      </c>
      <c r="O9" s="130">
        <f t="shared" si="4"/>
        <v>-2.2123893805309734E-3</v>
      </c>
      <c r="P9" s="130">
        <f t="shared" si="5"/>
        <v>1.5486725663716814E-3</v>
      </c>
      <c r="R9" s="129">
        <f t="shared" si="6"/>
        <v>-3.7552462999779104E-3</v>
      </c>
      <c r="S9" s="129">
        <f t="shared" si="7"/>
        <v>-8.8358736470068482E-4</v>
      </c>
      <c r="T9" s="129">
        <f t="shared" si="8"/>
        <v>2.8824833702882483E-3</v>
      </c>
    </row>
    <row r="10" spans="1:22" s="128" customFormat="1" ht="85.5" x14ac:dyDescent="0.25">
      <c r="A10" s="134" t="s">
        <v>24</v>
      </c>
      <c r="B10" s="134" t="s">
        <v>30</v>
      </c>
      <c r="C10" s="134" t="s">
        <v>28</v>
      </c>
      <c r="D10" s="135">
        <v>7</v>
      </c>
      <c r="E10" s="136" t="s">
        <v>65</v>
      </c>
      <c r="F10" s="133" t="s">
        <v>14</v>
      </c>
      <c r="G10" s="133">
        <v>2</v>
      </c>
      <c r="H10" s="132">
        <v>3545500</v>
      </c>
      <c r="I10" s="132">
        <v>3550000</v>
      </c>
      <c r="J10" s="132">
        <v>3854500</v>
      </c>
      <c r="K10" s="131">
        <f t="shared" si="0"/>
        <v>3650000</v>
      </c>
      <c r="L10" s="131">
        <f t="shared" si="1"/>
        <v>7300000</v>
      </c>
      <c r="M10" s="121">
        <f t="shared" si="2"/>
        <v>3545500</v>
      </c>
      <c r="N10" s="121">
        <f t="shared" si="3"/>
        <v>3854500</v>
      </c>
      <c r="O10" s="130">
        <f t="shared" si="4"/>
        <v>-2.8630136986301371E-2</v>
      </c>
      <c r="P10" s="130">
        <f t="shared" si="5"/>
        <v>5.6027397260273976E-2</v>
      </c>
      <c r="R10" s="129">
        <f t="shared" si="6"/>
        <v>1.2692144972500353E-3</v>
      </c>
      <c r="S10" s="129">
        <f t="shared" si="7"/>
        <v>8.7152728811169089E-2</v>
      </c>
      <c r="T10" s="129">
        <f t="shared" si="8"/>
        <v>8.5774647887323946E-2</v>
      </c>
      <c r="U10" s="148"/>
      <c r="V10" s="148"/>
    </row>
    <row r="11" spans="1:22" s="128" customFormat="1" ht="85.5" x14ac:dyDescent="0.25">
      <c r="A11" s="134" t="s">
        <v>24</v>
      </c>
      <c r="B11" s="134" t="s">
        <v>26</v>
      </c>
      <c r="C11" s="134" t="s">
        <v>28</v>
      </c>
      <c r="D11" s="135">
        <v>8</v>
      </c>
      <c r="E11" s="136" t="s">
        <v>66</v>
      </c>
      <c r="F11" s="133" t="s">
        <v>14</v>
      </c>
      <c r="G11" s="133">
        <v>1</v>
      </c>
      <c r="H11" s="132">
        <v>310000</v>
      </c>
      <c r="I11" s="132">
        <v>315000</v>
      </c>
      <c r="J11" s="132">
        <v>335000</v>
      </c>
      <c r="K11" s="131">
        <f t="shared" si="0"/>
        <v>320000</v>
      </c>
      <c r="L11" s="131">
        <f t="shared" si="1"/>
        <v>320000</v>
      </c>
      <c r="M11" s="121">
        <f t="shared" si="2"/>
        <v>310000</v>
      </c>
      <c r="N11" s="121">
        <f t="shared" si="3"/>
        <v>335000</v>
      </c>
      <c r="O11" s="130">
        <f t="shared" si="4"/>
        <v>-3.125E-2</v>
      </c>
      <c r="P11" s="130">
        <f t="shared" si="5"/>
        <v>4.6875E-2</v>
      </c>
      <c r="R11" s="129">
        <f t="shared" si="6"/>
        <v>1.6129032258064516E-2</v>
      </c>
      <c r="S11" s="129">
        <f t="shared" si="7"/>
        <v>8.0645161290322578E-2</v>
      </c>
      <c r="T11" s="129">
        <f t="shared" si="8"/>
        <v>6.3492063492063489E-2</v>
      </c>
      <c r="U11" s="148"/>
    </row>
    <row r="12" spans="1:22" s="128" customFormat="1" ht="58.5" customHeight="1" x14ac:dyDescent="0.25">
      <c r="A12" s="134" t="s">
        <v>24</v>
      </c>
      <c r="B12" s="134" t="s">
        <v>26</v>
      </c>
      <c r="C12" s="134" t="s">
        <v>28</v>
      </c>
      <c r="D12" s="135">
        <v>9</v>
      </c>
      <c r="E12" s="134" t="s">
        <v>67</v>
      </c>
      <c r="F12" s="133" t="s">
        <v>14</v>
      </c>
      <c r="G12" s="133">
        <v>1</v>
      </c>
      <c r="H12" s="132">
        <v>401540</v>
      </c>
      <c r="I12" s="132">
        <v>397500</v>
      </c>
      <c r="J12" s="132">
        <v>562927</v>
      </c>
      <c r="K12" s="131">
        <f t="shared" si="0"/>
        <v>453989</v>
      </c>
      <c r="L12" s="131">
        <f t="shared" si="1"/>
        <v>453989</v>
      </c>
      <c r="M12" s="121">
        <f t="shared" si="2"/>
        <v>397500</v>
      </c>
      <c r="N12" s="121">
        <f t="shared" si="3"/>
        <v>562927</v>
      </c>
      <c r="O12" s="130">
        <f t="shared" si="4"/>
        <v>-0.12442812491051546</v>
      </c>
      <c r="P12" s="130">
        <f t="shared" si="5"/>
        <v>0.23995735579496419</v>
      </c>
      <c r="R12" s="129">
        <f t="shared" si="6"/>
        <v>-1.0061264133087612E-2</v>
      </c>
      <c r="S12" s="129">
        <f t="shared" si="7"/>
        <v>0.40192010758579472</v>
      </c>
      <c r="T12" s="129">
        <f t="shared" si="8"/>
        <v>0.41616855345911952</v>
      </c>
      <c r="U12" s="148"/>
    </row>
    <row r="13" spans="1:22" s="128" customFormat="1" ht="42.75" x14ac:dyDescent="0.25">
      <c r="A13" s="134" t="s">
        <v>24</v>
      </c>
      <c r="B13" s="134" t="s">
        <v>30</v>
      </c>
      <c r="C13" s="134" t="s">
        <v>28</v>
      </c>
      <c r="D13" s="135">
        <v>10</v>
      </c>
      <c r="E13" s="134" t="s">
        <v>36</v>
      </c>
      <c r="F13" s="133" t="s">
        <v>14</v>
      </c>
      <c r="G13" s="133">
        <v>4</v>
      </c>
      <c r="H13" s="132">
        <v>1639440</v>
      </c>
      <c r="I13" s="132">
        <v>1635200</v>
      </c>
      <c r="J13" s="132">
        <v>1639060</v>
      </c>
      <c r="K13" s="131">
        <f t="shared" si="0"/>
        <v>1637900</v>
      </c>
      <c r="L13" s="131">
        <f t="shared" si="1"/>
        <v>6551600</v>
      </c>
      <c r="M13" s="121">
        <f t="shared" si="2"/>
        <v>1635200</v>
      </c>
      <c r="N13" s="121">
        <f t="shared" si="3"/>
        <v>1639440</v>
      </c>
      <c r="O13" s="130">
        <f t="shared" si="4"/>
        <v>-1.6484522864643751E-3</v>
      </c>
      <c r="P13" s="130">
        <f t="shared" si="5"/>
        <v>9.4022834116856951E-4</v>
      </c>
      <c r="R13" s="129">
        <f t="shared" si="6"/>
        <v>-2.5862489630605573E-3</v>
      </c>
      <c r="S13" s="129">
        <f t="shared" si="7"/>
        <v>-2.3178646367052165E-4</v>
      </c>
      <c r="T13" s="129">
        <f t="shared" si="8"/>
        <v>2.3605675146771039E-3</v>
      </c>
      <c r="U13" s="148"/>
    </row>
    <row r="14" spans="1:22" s="128" customFormat="1" ht="90" customHeight="1" x14ac:dyDescent="0.25">
      <c r="A14" s="134" t="s">
        <v>1</v>
      </c>
      <c r="B14" s="134" t="s">
        <v>5</v>
      </c>
      <c r="C14" s="134" t="s">
        <v>28</v>
      </c>
      <c r="D14" s="135">
        <v>11</v>
      </c>
      <c r="E14" s="134" t="s">
        <v>62</v>
      </c>
      <c r="F14" s="133" t="s">
        <v>14</v>
      </c>
      <c r="G14" s="133">
        <v>75</v>
      </c>
      <c r="H14" s="132">
        <v>576450</v>
      </c>
      <c r="I14" s="132">
        <v>572300</v>
      </c>
      <c r="J14" s="132">
        <v>576250</v>
      </c>
      <c r="K14" s="131">
        <f t="shared" si="0"/>
        <v>575000</v>
      </c>
      <c r="L14" s="131">
        <f t="shared" si="1"/>
        <v>43125000</v>
      </c>
      <c r="M14" s="121">
        <f t="shared" si="2"/>
        <v>572300</v>
      </c>
      <c r="N14" s="121">
        <f t="shared" si="3"/>
        <v>576450</v>
      </c>
      <c r="O14" s="130">
        <f t="shared" si="4"/>
        <v>-4.6956521739130435E-3</v>
      </c>
      <c r="P14" s="130">
        <f t="shared" si="5"/>
        <v>2.5217391304347826E-3</v>
      </c>
      <c r="R14" s="129">
        <f t="shared" si="6"/>
        <v>-7.199236707433429E-3</v>
      </c>
      <c r="S14" s="129">
        <f t="shared" si="7"/>
        <v>-3.4695116662329775E-4</v>
      </c>
      <c r="T14" s="129">
        <f t="shared" si="8"/>
        <v>6.9019744889044204E-3</v>
      </c>
      <c r="U14" s="148"/>
    </row>
    <row r="15" spans="1:22" s="128" customFormat="1" ht="85.5" x14ac:dyDescent="0.25">
      <c r="A15" s="134" t="s">
        <v>1</v>
      </c>
      <c r="B15" s="134" t="s">
        <v>5</v>
      </c>
      <c r="C15" s="134" t="s">
        <v>28</v>
      </c>
      <c r="D15" s="135">
        <v>12</v>
      </c>
      <c r="E15" s="134" t="s">
        <v>75</v>
      </c>
      <c r="F15" s="133" t="s">
        <v>14</v>
      </c>
      <c r="G15" s="133">
        <v>30</v>
      </c>
      <c r="H15" s="132">
        <v>251600</v>
      </c>
      <c r="I15" s="132">
        <v>247800</v>
      </c>
      <c r="J15" s="132">
        <v>250600</v>
      </c>
      <c r="K15" s="131">
        <f t="shared" si="0"/>
        <v>250000</v>
      </c>
      <c r="L15" s="131">
        <f t="shared" si="1"/>
        <v>7500000</v>
      </c>
      <c r="M15" s="121">
        <f t="shared" si="2"/>
        <v>247800</v>
      </c>
      <c r="N15" s="121">
        <f t="shared" si="3"/>
        <v>251600</v>
      </c>
      <c r="O15" s="130">
        <f t="shared" si="4"/>
        <v>-8.8000000000000005E-3</v>
      </c>
      <c r="P15" s="130">
        <f t="shared" si="5"/>
        <v>6.4000000000000003E-3</v>
      </c>
      <c r="R15" s="129">
        <f t="shared" si="6"/>
        <v>-1.5103338632750398E-2</v>
      </c>
      <c r="S15" s="129">
        <f t="shared" si="7"/>
        <v>-3.9745627980922096E-3</v>
      </c>
      <c r="T15" s="129">
        <f t="shared" si="8"/>
        <v>1.1299435028248588E-2</v>
      </c>
      <c r="U15" s="148"/>
    </row>
    <row r="16" spans="1:22" s="128" customFormat="1" ht="114" x14ac:dyDescent="0.25">
      <c r="A16" s="134" t="s">
        <v>24</v>
      </c>
      <c r="B16" s="134" t="s">
        <v>30</v>
      </c>
      <c r="C16" s="134" t="s">
        <v>28</v>
      </c>
      <c r="D16" s="135">
        <v>13</v>
      </c>
      <c r="E16" s="134" t="s">
        <v>63</v>
      </c>
      <c r="F16" s="133" t="s">
        <v>14</v>
      </c>
      <c r="G16" s="133">
        <v>8</v>
      </c>
      <c r="H16" s="132">
        <v>2239880</v>
      </c>
      <c r="I16" s="132">
        <v>2235500</v>
      </c>
      <c r="J16" s="132">
        <v>2238620</v>
      </c>
      <c r="K16" s="131">
        <f t="shared" si="0"/>
        <v>2238000</v>
      </c>
      <c r="L16" s="131">
        <f t="shared" si="1"/>
        <v>17904000</v>
      </c>
      <c r="M16" s="121">
        <f t="shared" si="2"/>
        <v>2235500</v>
      </c>
      <c r="N16" s="121">
        <f t="shared" si="3"/>
        <v>2239880</v>
      </c>
      <c r="O16" s="130">
        <f t="shared" si="4"/>
        <v>-1.1170688114387846E-3</v>
      </c>
      <c r="P16" s="130">
        <f t="shared" si="5"/>
        <v>8.4003574620196604E-4</v>
      </c>
      <c r="R16" s="129">
        <f t="shared" si="6"/>
        <v>-1.955461899744629E-3</v>
      </c>
      <c r="S16" s="129">
        <f t="shared" si="7"/>
        <v>-5.6253013554297549E-4</v>
      </c>
      <c r="T16" s="129">
        <f t="shared" si="8"/>
        <v>1.3956609259673451E-3</v>
      </c>
      <c r="U16" s="148"/>
    </row>
    <row r="17" spans="1:20" s="128" customFormat="1" ht="128.25" x14ac:dyDescent="0.25">
      <c r="A17" s="134" t="s">
        <v>1</v>
      </c>
      <c r="B17" s="134" t="s">
        <v>5</v>
      </c>
      <c r="C17" s="134" t="s">
        <v>28</v>
      </c>
      <c r="D17" s="135">
        <v>14</v>
      </c>
      <c r="E17" s="134" t="s">
        <v>37</v>
      </c>
      <c r="F17" s="133" t="s">
        <v>14</v>
      </c>
      <c r="G17" s="133">
        <v>15</v>
      </c>
      <c r="H17" s="132">
        <v>212400</v>
      </c>
      <c r="I17" s="132">
        <v>208500</v>
      </c>
      <c r="J17" s="132">
        <v>212100</v>
      </c>
      <c r="K17" s="131">
        <f t="shared" si="0"/>
        <v>211000</v>
      </c>
      <c r="L17" s="131">
        <f t="shared" si="1"/>
        <v>3165000</v>
      </c>
      <c r="M17" s="121">
        <f t="shared" si="2"/>
        <v>208500</v>
      </c>
      <c r="N17" s="121">
        <f t="shared" si="3"/>
        <v>212400</v>
      </c>
      <c r="O17" s="130">
        <f t="shared" si="4"/>
        <v>-1.1848341232227487E-2</v>
      </c>
      <c r="P17" s="130">
        <f t="shared" si="5"/>
        <v>6.6350710900473934E-3</v>
      </c>
      <c r="R17" s="129">
        <f t="shared" si="6"/>
        <v>-1.8361581920903956E-2</v>
      </c>
      <c r="S17" s="129">
        <f t="shared" si="7"/>
        <v>-1.4124293785310734E-3</v>
      </c>
      <c r="T17" s="129">
        <f t="shared" si="8"/>
        <v>1.7266187050359712E-2</v>
      </c>
    </row>
    <row r="18" spans="1:20" s="128" customFormat="1" ht="313.5" x14ac:dyDescent="0.25">
      <c r="A18" s="134" t="s">
        <v>2</v>
      </c>
      <c r="B18" s="134" t="s">
        <v>6</v>
      </c>
      <c r="C18" s="134" t="s">
        <v>28</v>
      </c>
      <c r="D18" s="135">
        <v>15</v>
      </c>
      <c r="E18" s="136" t="s">
        <v>76</v>
      </c>
      <c r="F18" s="133" t="s">
        <v>14</v>
      </c>
      <c r="G18" s="133">
        <v>2</v>
      </c>
      <c r="H18" s="132">
        <v>400000</v>
      </c>
      <c r="I18" s="132">
        <v>410000</v>
      </c>
      <c r="J18" s="132">
        <v>450000</v>
      </c>
      <c r="K18" s="131">
        <f t="shared" si="0"/>
        <v>420000</v>
      </c>
      <c r="L18" s="131">
        <f t="shared" si="1"/>
        <v>840000</v>
      </c>
      <c r="M18" s="121">
        <f t="shared" si="2"/>
        <v>400000</v>
      </c>
      <c r="N18" s="121">
        <f t="shared" si="3"/>
        <v>450000</v>
      </c>
      <c r="O18" s="130">
        <f t="shared" si="4"/>
        <v>-4.7619047619047616E-2</v>
      </c>
      <c r="P18" s="130">
        <f t="shared" si="5"/>
        <v>7.1428571428571425E-2</v>
      </c>
      <c r="R18" s="129">
        <f t="shared" si="6"/>
        <v>2.5000000000000001E-2</v>
      </c>
      <c r="S18" s="129">
        <f t="shared" si="7"/>
        <v>0.125</v>
      </c>
      <c r="T18" s="129">
        <f t="shared" si="8"/>
        <v>9.7560975609756101E-2</v>
      </c>
    </row>
    <row r="19" spans="1:20" s="128" customFormat="1" ht="85.5" x14ac:dyDescent="0.25">
      <c r="A19" s="134" t="s">
        <v>24</v>
      </c>
      <c r="B19" s="134" t="s">
        <v>26</v>
      </c>
      <c r="C19" s="134" t="s">
        <v>28</v>
      </c>
      <c r="D19" s="135">
        <v>16</v>
      </c>
      <c r="E19" s="134" t="s">
        <v>38</v>
      </c>
      <c r="F19" s="133" t="s">
        <v>14</v>
      </c>
      <c r="G19" s="133">
        <v>2</v>
      </c>
      <c r="H19" s="132">
        <v>4931850</v>
      </c>
      <c r="I19" s="132">
        <v>4927400</v>
      </c>
      <c r="J19" s="132">
        <v>4931731</v>
      </c>
      <c r="K19" s="131">
        <f t="shared" si="0"/>
        <v>4930327</v>
      </c>
      <c r="L19" s="131">
        <f t="shared" si="1"/>
        <v>9860654</v>
      </c>
      <c r="M19" s="121">
        <f t="shared" si="2"/>
        <v>4927400</v>
      </c>
      <c r="N19" s="121">
        <f t="shared" si="3"/>
        <v>4931850</v>
      </c>
      <c r="O19" s="130">
        <f t="shared" si="4"/>
        <v>-5.9367259007364018E-4</v>
      </c>
      <c r="P19" s="130">
        <f t="shared" si="5"/>
        <v>3.0890446008956403E-4</v>
      </c>
      <c r="R19" s="129">
        <f t="shared" si="6"/>
        <v>-9.0229832618591405E-4</v>
      </c>
      <c r="S19" s="129">
        <f t="shared" si="7"/>
        <v>-2.4128876587892981E-5</v>
      </c>
      <c r="T19" s="129">
        <f t="shared" si="8"/>
        <v>8.7896253602305478E-4</v>
      </c>
    </row>
    <row r="20" spans="1:20" s="128" customFormat="1" ht="28.5" x14ac:dyDescent="0.25">
      <c r="A20" s="134" t="s">
        <v>1</v>
      </c>
      <c r="B20" s="134" t="s">
        <v>5</v>
      </c>
      <c r="C20" s="134" t="s">
        <v>28</v>
      </c>
      <c r="D20" s="135">
        <v>17</v>
      </c>
      <c r="E20" s="134" t="s">
        <v>39</v>
      </c>
      <c r="F20" s="133" t="s">
        <v>27</v>
      </c>
      <c r="G20" s="133">
        <v>4</v>
      </c>
      <c r="H20" s="132">
        <v>84210</v>
      </c>
      <c r="I20" s="132">
        <v>80500</v>
      </c>
      <c r="J20" s="132">
        <v>84290</v>
      </c>
      <c r="K20" s="131">
        <f t="shared" si="0"/>
        <v>83000</v>
      </c>
      <c r="L20" s="131">
        <f t="shared" si="1"/>
        <v>332000</v>
      </c>
      <c r="M20" s="121">
        <f t="shared" si="2"/>
        <v>80500</v>
      </c>
      <c r="N20" s="121">
        <f t="shared" si="3"/>
        <v>84290</v>
      </c>
      <c r="O20" s="130">
        <f t="shared" si="4"/>
        <v>-3.0120481927710843E-2</v>
      </c>
      <c r="P20" s="130">
        <f t="shared" si="5"/>
        <v>1.5542168674698795E-2</v>
      </c>
      <c r="R20" s="129">
        <f t="shared" si="6"/>
        <v>-4.4056525353283457E-2</v>
      </c>
      <c r="S20" s="129">
        <f t="shared" si="7"/>
        <v>9.5000593753710966E-4</v>
      </c>
      <c r="T20" s="129">
        <f t="shared" si="8"/>
        <v>4.708074534161491E-2</v>
      </c>
    </row>
    <row r="21" spans="1:20" s="128" customFormat="1" ht="42.75" x14ac:dyDescent="0.25">
      <c r="A21" s="134" t="s">
        <v>24</v>
      </c>
      <c r="B21" s="134" t="s">
        <v>30</v>
      </c>
      <c r="C21" s="134" t="s">
        <v>28</v>
      </c>
      <c r="D21" s="135">
        <v>18</v>
      </c>
      <c r="E21" s="134" t="s">
        <v>29</v>
      </c>
      <c r="F21" s="133" t="s">
        <v>27</v>
      </c>
      <c r="G21" s="133">
        <v>1</v>
      </c>
      <c r="H21" s="132">
        <v>201370</v>
      </c>
      <c r="I21" s="132">
        <v>197800</v>
      </c>
      <c r="J21" s="132">
        <v>200830</v>
      </c>
      <c r="K21" s="131">
        <f t="shared" si="0"/>
        <v>200000</v>
      </c>
      <c r="L21" s="131">
        <f t="shared" si="1"/>
        <v>200000</v>
      </c>
      <c r="M21" s="121">
        <f t="shared" si="2"/>
        <v>197800</v>
      </c>
      <c r="N21" s="121">
        <f t="shared" si="3"/>
        <v>201370</v>
      </c>
      <c r="O21" s="130">
        <f t="shared" si="4"/>
        <v>-1.0999999999999999E-2</v>
      </c>
      <c r="P21" s="130">
        <f t="shared" si="5"/>
        <v>6.8500000000000002E-3</v>
      </c>
      <c r="R21" s="129">
        <f t="shared" si="6"/>
        <v>-1.7728559368326961E-2</v>
      </c>
      <c r="S21" s="129">
        <f t="shared" si="7"/>
        <v>-2.6816308288225652E-3</v>
      </c>
      <c r="T21" s="129">
        <f t="shared" si="8"/>
        <v>1.531850353892821E-2</v>
      </c>
    </row>
    <row r="22" spans="1:20" s="128" customFormat="1" ht="165.75" customHeight="1" x14ac:dyDescent="0.25">
      <c r="A22" s="134" t="s">
        <v>24</v>
      </c>
      <c r="B22" s="134" t="s">
        <v>30</v>
      </c>
      <c r="C22" s="134" t="s">
        <v>28</v>
      </c>
      <c r="D22" s="135">
        <v>19</v>
      </c>
      <c r="E22" s="136" t="s">
        <v>40</v>
      </c>
      <c r="F22" s="133" t="s">
        <v>14</v>
      </c>
      <c r="G22" s="133">
        <v>1</v>
      </c>
      <c r="H22" s="132">
        <v>6800000</v>
      </c>
      <c r="I22" s="132">
        <v>6790000</v>
      </c>
      <c r="J22" s="132">
        <v>7050000</v>
      </c>
      <c r="K22" s="131">
        <f t="shared" si="0"/>
        <v>6880000</v>
      </c>
      <c r="L22" s="131">
        <f t="shared" si="1"/>
        <v>6880000</v>
      </c>
      <c r="M22" s="121">
        <f t="shared" si="2"/>
        <v>6790000</v>
      </c>
      <c r="N22" s="121">
        <f t="shared" si="3"/>
        <v>7050000</v>
      </c>
      <c r="O22" s="130">
        <f t="shared" si="4"/>
        <v>-1.308139534883721E-2</v>
      </c>
      <c r="P22" s="130">
        <f t="shared" si="5"/>
        <v>2.4709302325581394E-2</v>
      </c>
      <c r="R22" s="129">
        <f t="shared" si="6"/>
        <v>-1.4705882352941176E-3</v>
      </c>
      <c r="S22" s="129">
        <f t="shared" si="7"/>
        <v>3.6764705882352942E-2</v>
      </c>
      <c r="T22" s="129">
        <f t="shared" si="8"/>
        <v>3.8291605301914583E-2</v>
      </c>
    </row>
    <row r="23" spans="1:20" s="128" customFormat="1" ht="71.25" x14ac:dyDescent="0.25">
      <c r="A23" s="134" t="s">
        <v>24</v>
      </c>
      <c r="B23" s="134" t="s">
        <v>26</v>
      </c>
      <c r="C23" s="134" t="s">
        <v>28</v>
      </c>
      <c r="D23" s="135">
        <v>20</v>
      </c>
      <c r="E23" s="134" t="s">
        <v>41</v>
      </c>
      <c r="F23" s="133" t="s">
        <v>14</v>
      </c>
      <c r="G23" s="133">
        <v>5</v>
      </c>
      <c r="H23" s="132">
        <v>2067200</v>
      </c>
      <c r="I23" s="132">
        <v>2063200</v>
      </c>
      <c r="J23" s="132">
        <v>2067300</v>
      </c>
      <c r="K23" s="131">
        <f t="shared" si="0"/>
        <v>2065900</v>
      </c>
      <c r="L23" s="131">
        <f t="shared" si="1"/>
        <v>10329500</v>
      </c>
      <c r="M23" s="121">
        <f t="shared" si="2"/>
        <v>2063200</v>
      </c>
      <c r="N23" s="121">
        <f t="shared" si="3"/>
        <v>2067300</v>
      </c>
      <c r="O23" s="130">
        <f t="shared" si="4"/>
        <v>-1.3069364441647708E-3</v>
      </c>
      <c r="P23" s="130">
        <f t="shared" si="5"/>
        <v>6.7767074882617751E-4</v>
      </c>
      <c r="R23" s="129">
        <f t="shared" si="6"/>
        <v>-1.934984520123839E-3</v>
      </c>
      <c r="S23" s="129">
        <f t="shared" si="7"/>
        <v>4.8374613003095978E-5</v>
      </c>
      <c r="T23" s="129">
        <f t="shared" si="8"/>
        <v>1.9872043427685148E-3</v>
      </c>
    </row>
    <row r="24" spans="1:20" s="128" customFormat="1" ht="71.25" x14ac:dyDescent="0.25">
      <c r="A24" s="134" t="s">
        <v>2</v>
      </c>
      <c r="B24" s="134" t="s">
        <v>6</v>
      </c>
      <c r="C24" s="134" t="s">
        <v>28</v>
      </c>
      <c r="D24" s="135">
        <v>21</v>
      </c>
      <c r="E24" s="136" t="s">
        <v>42</v>
      </c>
      <c r="F24" s="133" t="s">
        <v>14</v>
      </c>
      <c r="G24" s="133">
        <v>2</v>
      </c>
      <c r="H24" s="132">
        <v>235950</v>
      </c>
      <c r="I24" s="132">
        <v>240000</v>
      </c>
      <c r="J24" s="132">
        <v>268314</v>
      </c>
      <c r="K24" s="131">
        <f t="shared" si="0"/>
        <v>248088</v>
      </c>
      <c r="L24" s="131">
        <f t="shared" si="1"/>
        <v>496176</v>
      </c>
      <c r="M24" s="121">
        <f t="shared" si="2"/>
        <v>235950</v>
      </c>
      <c r="N24" s="121">
        <f t="shared" si="3"/>
        <v>268314</v>
      </c>
      <c r="O24" s="130">
        <f t="shared" si="4"/>
        <v>-4.8926187481861276E-2</v>
      </c>
      <c r="P24" s="130">
        <f t="shared" si="5"/>
        <v>8.1527522492018958E-2</v>
      </c>
      <c r="R24" s="129">
        <f t="shared" si="6"/>
        <v>1.7164653528289893E-2</v>
      </c>
      <c r="S24" s="129">
        <f t="shared" si="7"/>
        <v>0.13716465352828988</v>
      </c>
      <c r="T24" s="129">
        <f t="shared" si="8"/>
        <v>0.117975</v>
      </c>
    </row>
    <row r="25" spans="1:20" s="128" customFormat="1" ht="99.75" x14ac:dyDescent="0.25">
      <c r="A25" s="134" t="s">
        <v>24</v>
      </c>
      <c r="B25" s="134" t="s">
        <v>26</v>
      </c>
      <c r="C25" s="134" t="s">
        <v>28</v>
      </c>
      <c r="D25" s="135">
        <v>22</v>
      </c>
      <c r="E25" s="136" t="s">
        <v>43</v>
      </c>
      <c r="F25" s="133" t="s">
        <v>14</v>
      </c>
      <c r="G25" s="133">
        <v>3</v>
      </c>
      <c r="H25" s="132">
        <v>362000</v>
      </c>
      <c r="I25" s="132">
        <v>350000</v>
      </c>
      <c r="J25" s="132">
        <v>410546</v>
      </c>
      <c r="K25" s="131">
        <f t="shared" si="0"/>
        <v>374182</v>
      </c>
      <c r="L25" s="131">
        <f t="shared" si="1"/>
        <v>1122546</v>
      </c>
      <c r="M25" s="121">
        <f t="shared" si="2"/>
        <v>350000</v>
      </c>
      <c r="N25" s="121">
        <f t="shared" si="3"/>
        <v>410546</v>
      </c>
      <c r="O25" s="130">
        <f t="shared" si="4"/>
        <v>-6.4626304846304744E-2</v>
      </c>
      <c r="P25" s="130">
        <f t="shared" si="5"/>
        <v>9.7182654430197066E-2</v>
      </c>
      <c r="R25" s="129">
        <f t="shared" si="6"/>
        <v>-3.3149171270718231E-2</v>
      </c>
      <c r="S25" s="129">
        <f t="shared" si="7"/>
        <v>0.13410497237569061</v>
      </c>
      <c r="T25" s="129">
        <f t="shared" si="8"/>
        <v>0.17298857142857144</v>
      </c>
    </row>
    <row r="26" spans="1:20" s="128" customFormat="1" ht="42.75" x14ac:dyDescent="0.25">
      <c r="A26" s="134" t="s">
        <v>24</v>
      </c>
      <c r="B26" s="134" t="s">
        <v>26</v>
      </c>
      <c r="C26" s="134" t="s">
        <v>28</v>
      </c>
      <c r="D26" s="135">
        <v>23</v>
      </c>
      <c r="E26" s="134" t="s">
        <v>44</v>
      </c>
      <c r="F26" s="133" t="s">
        <v>14</v>
      </c>
      <c r="G26" s="133">
        <v>1</v>
      </c>
      <c r="H26" s="132">
        <v>61990</v>
      </c>
      <c r="I26" s="132">
        <v>57500</v>
      </c>
      <c r="J26" s="132">
        <v>60510</v>
      </c>
      <c r="K26" s="131">
        <f t="shared" si="0"/>
        <v>60000</v>
      </c>
      <c r="L26" s="131">
        <f t="shared" si="1"/>
        <v>60000</v>
      </c>
      <c r="M26" s="121">
        <f t="shared" si="2"/>
        <v>57500</v>
      </c>
      <c r="N26" s="121">
        <f t="shared" si="3"/>
        <v>61990</v>
      </c>
      <c r="O26" s="130">
        <f t="shared" si="4"/>
        <v>-4.1666666666666664E-2</v>
      </c>
      <c r="P26" s="130">
        <f t="shared" si="5"/>
        <v>3.3166666666666664E-2</v>
      </c>
      <c r="R26" s="129">
        <f t="shared" si="6"/>
        <v>-7.2431037264074849E-2</v>
      </c>
      <c r="S26" s="129">
        <f t="shared" si="7"/>
        <v>-2.3874818519115985E-2</v>
      </c>
      <c r="T26" s="129">
        <f t="shared" si="8"/>
        <v>5.2347826086956518E-2</v>
      </c>
    </row>
    <row r="27" spans="1:20" s="128" customFormat="1" ht="114" x14ac:dyDescent="0.25">
      <c r="A27" s="134" t="s">
        <v>24</v>
      </c>
      <c r="B27" s="134" t="s">
        <v>30</v>
      </c>
      <c r="C27" s="134" t="s">
        <v>28</v>
      </c>
      <c r="D27" s="135">
        <v>24</v>
      </c>
      <c r="E27" s="136" t="s">
        <v>45</v>
      </c>
      <c r="F27" s="133" t="s">
        <v>14</v>
      </c>
      <c r="G27" s="133">
        <v>1</v>
      </c>
      <c r="H27" s="132">
        <v>11750000</v>
      </c>
      <c r="I27" s="132">
        <v>11700000</v>
      </c>
      <c r="J27" s="132">
        <v>11950000</v>
      </c>
      <c r="K27" s="131">
        <f t="shared" si="0"/>
        <v>11800000</v>
      </c>
      <c r="L27" s="131">
        <f t="shared" si="1"/>
        <v>11800000</v>
      </c>
      <c r="M27" s="121">
        <f t="shared" si="2"/>
        <v>11700000</v>
      </c>
      <c r="N27" s="121">
        <f t="shared" si="3"/>
        <v>11950000</v>
      </c>
      <c r="O27" s="130">
        <f t="shared" si="4"/>
        <v>-8.4745762711864406E-3</v>
      </c>
      <c r="P27" s="130">
        <f t="shared" si="5"/>
        <v>1.2711864406779662E-2</v>
      </c>
      <c r="R27" s="129">
        <f t="shared" si="6"/>
        <v>-4.2553191489361703E-3</v>
      </c>
      <c r="S27" s="129">
        <f t="shared" si="7"/>
        <v>1.7021276595744681E-2</v>
      </c>
      <c r="T27" s="129">
        <f t="shared" si="8"/>
        <v>2.1367521367521368E-2</v>
      </c>
    </row>
    <row r="28" spans="1:20" s="128" customFormat="1" ht="71.25" x14ac:dyDescent="0.25">
      <c r="A28" s="134" t="s">
        <v>24</v>
      </c>
      <c r="B28" s="134" t="s">
        <v>30</v>
      </c>
      <c r="C28" s="134" t="s">
        <v>28</v>
      </c>
      <c r="D28" s="135">
        <v>25</v>
      </c>
      <c r="E28" s="134" t="s">
        <v>107</v>
      </c>
      <c r="F28" s="133" t="s">
        <v>14</v>
      </c>
      <c r="G28" s="133">
        <v>3</v>
      </c>
      <c r="H28" s="132">
        <v>601120</v>
      </c>
      <c r="I28" s="132">
        <v>597500</v>
      </c>
      <c r="J28" s="132">
        <v>601380</v>
      </c>
      <c r="K28" s="131">
        <f t="shared" si="0"/>
        <v>600000</v>
      </c>
      <c r="L28" s="131">
        <f t="shared" si="1"/>
        <v>1800000</v>
      </c>
      <c r="M28" s="121">
        <f t="shared" si="2"/>
        <v>597500</v>
      </c>
      <c r="N28" s="121">
        <f t="shared" si="3"/>
        <v>601380</v>
      </c>
      <c r="O28" s="130">
        <f t="shared" si="4"/>
        <v>-4.1666666666666666E-3</v>
      </c>
      <c r="P28" s="130">
        <f t="shared" si="5"/>
        <v>2.3E-3</v>
      </c>
      <c r="R28" s="129">
        <f t="shared" si="6"/>
        <v>-6.022092094756455E-3</v>
      </c>
      <c r="S28" s="129">
        <f t="shared" si="7"/>
        <v>4.3252595155709344E-4</v>
      </c>
      <c r="T28" s="129">
        <f t="shared" si="8"/>
        <v>6.4937238493723848E-3</v>
      </c>
    </row>
    <row r="29" spans="1:20" s="128" customFormat="1" ht="71.25" x14ac:dyDescent="0.25">
      <c r="A29" s="134" t="s">
        <v>24</v>
      </c>
      <c r="B29" s="134" t="s">
        <v>26</v>
      </c>
      <c r="C29" s="134" t="s">
        <v>28</v>
      </c>
      <c r="D29" s="135">
        <v>26</v>
      </c>
      <c r="E29" s="134" t="s">
        <v>106</v>
      </c>
      <c r="F29" s="133" t="s">
        <v>14</v>
      </c>
      <c r="G29" s="133">
        <v>75</v>
      </c>
      <c r="H29" s="132">
        <v>307500</v>
      </c>
      <c r="I29" s="132">
        <v>302100</v>
      </c>
      <c r="J29" s="132">
        <v>305400</v>
      </c>
      <c r="K29" s="131">
        <f t="shared" si="0"/>
        <v>305000</v>
      </c>
      <c r="L29" s="131">
        <f t="shared" si="1"/>
        <v>22875000</v>
      </c>
      <c r="M29" s="121">
        <f t="shared" si="2"/>
        <v>302100</v>
      </c>
      <c r="N29" s="121">
        <f t="shared" si="3"/>
        <v>307500</v>
      </c>
      <c r="O29" s="130">
        <f t="shared" si="4"/>
        <v>-9.5081967213114758E-3</v>
      </c>
      <c r="P29" s="130">
        <f t="shared" si="5"/>
        <v>8.1967213114754103E-3</v>
      </c>
      <c r="R29" s="129">
        <f t="shared" si="6"/>
        <v>-1.7560975609756099E-2</v>
      </c>
      <c r="S29" s="129">
        <f t="shared" si="7"/>
        <v>-6.8292682926829268E-3</v>
      </c>
      <c r="T29" s="129">
        <f t="shared" si="8"/>
        <v>1.0923535253227408E-2</v>
      </c>
    </row>
    <row r="30" spans="1:20" s="128" customFormat="1" ht="15" x14ac:dyDescent="0.25">
      <c r="A30" s="134"/>
      <c r="B30" s="134"/>
      <c r="C30" s="134"/>
      <c r="D30" s="205" t="s">
        <v>18</v>
      </c>
      <c r="E30" s="205"/>
      <c r="F30" s="205"/>
      <c r="G30" s="205"/>
      <c r="H30" s="127">
        <f>+SUM(H4:H29)</f>
        <v>49403600</v>
      </c>
      <c r="I30" s="127">
        <f>+SUM(I4:I29)</f>
        <v>48832200</v>
      </c>
      <c r="J30" s="127">
        <f>+SUM(J4:J29)</f>
        <v>50470708</v>
      </c>
      <c r="K30" s="127">
        <f>+SUM(K4:K29)</f>
        <v>49568836</v>
      </c>
      <c r="L30" s="127">
        <f>+SUM(L4:L29)</f>
        <v>184359915</v>
      </c>
      <c r="M30" s="147"/>
      <c r="N30" s="147"/>
      <c r="O30" s="147"/>
      <c r="P30" s="147"/>
      <c r="R30" s="64"/>
      <c r="S30" s="64"/>
      <c r="T30" s="64"/>
    </row>
    <row r="31" spans="1:20" s="128" customFormat="1" x14ac:dyDescent="0.25">
      <c r="A31" s="134"/>
      <c r="B31" s="134"/>
      <c r="C31" s="134"/>
      <c r="D31" s="146"/>
      <c r="R31" s="64"/>
      <c r="S31" s="64"/>
      <c r="T31" s="64"/>
    </row>
    <row r="32" spans="1:20" s="128" customFormat="1" ht="27.75" x14ac:dyDescent="0.25">
      <c r="A32" s="134"/>
      <c r="B32" s="134"/>
      <c r="C32" s="134"/>
      <c r="D32" s="207" t="s">
        <v>105</v>
      </c>
      <c r="E32" s="208"/>
      <c r="F32" s="208"/>
      <c r="G32" s="208"/>
      <c r="H32" s="208"/>
      <c r="I32" s="208"/>
      <c r="J32" s="208"/>
      <c r="K32" s="208"/>
      <c r="L32" s="208"/>
      <c r="M32" s="145"/>
      <c r="N32" s="145"/>
      <c r="O32" s="145"/>
      <c r="P32" s="145"/>
      <c r="R32" s="64"/>
      <c r="S32" s="64"/>
      <c r="T32" s="64"/>
    </row>
    <row r="33" spans="1:20" s="128" customFormat="1" ht="60" x14ac:dyDescent="0.25">
      <c r="A33" s="134"/>
      <c r="B33" s="134"/>
      <c r="C33" s="134"/>
      <c r="D33" s="205" t="s">
        <v>104</v>
      </c>
      <c r="E33" s="205" t="s">
        <v>103</v>
      </c>
      <c r="F33" s="202" t="s">
        <v>86</v>
      </c>
      <c r="G33" s="209" t="s">
        <v>21</v>
      </c>
      <c r="H33" s="124" t="s">
        <v>102</v>
      </c>
      <c r="I33" s="144" t="s">
        <v>101</v>
      </c>
      <c r="J33" s="143" t="s">
        <v>100</v>
      </c>
      <c r="K33" s="202" t="s">
        <v>99</v>
      </c>
      <c r="L33" s="202" t="s">
        <v>87</v>
      </c>
      <c r="M33" s="202" t="s">
        <v>98</v>
      </c>
      <c r="N33" s="202" t="s">
        <v>97</v>
      </c>
      <c r="O33" s="202" t="s">
        <v>96</v>
      </c>
      <c r="P33" s="202" t="s">
        <v>95</v>
      </c>
      <c r="R33" s="201" t="s">
        <v>94</v>
      </c>
      <c r="S33" s="201"/>
      <c r="T33" s="201"/>
    </row>
    <row r="34" spans="1:20" s="128" customFormat="1" ht="33.75" customHeight="1" x14ac:dyDescent="0.25">
      <c r="A34" s="142"/>
      <c r="B34" s="142"/>
      <c r="C34" s="142"/>
      <c r="D34" s="205"/>
      <c r="E34" s="205"/>
      <c r="F34" s="202"/>
      <c r="G34" s="209"/>
      <c r="H34" s="141" t="s">
        <v>22</v>
      </c>
      <c r="I34" s="141" t="s">
        <v>22</v>
      </c>
      <c r="J34" s="141" t="s">
        <v>22</v>
      </c>
      <c r="K34" s="202"/>
      <c r="L34" s="202"/>
      <c r="M34" s="202"/>
      <c r="N34" s="202"/>
      <c r="O34" s="202"/>
      <c r="P34" s="202"/>
      <c r="Q34" s="167"/>
      <c r="R34" s="140" t="s">
        <v>93</v>
      </c>
      <c r="S34" s="140" t="s">
        <v>92</v>
      </c>
      <c r="T34" s="140" t="s">
        <v>91</v>
      </c>
    </row>
    <row r="35" spans="1:20" s="128" customFormat="1" ht="85.5" x14ac:dyDescent="0.25">
      <c r="A35" s="134" t="s">
        <v>1</v>
      </c>
      <c r="B35" s="134" t="s">
        <v>5</v>
      </c>
      <c r="C35" s="134" t="s">
        <v>15</v>
      </c>
      <c r="D35" s="135">
        <v>1</v>
      </c>
      <c r="E35" s="134" t="s">
        <v>46</v>
      </c>
      <c r="F35" s="133" t="s">
        <v>69</v>
      </c>
      <c r="G35" s="133">
        <v>60</v>
      </c>
      <c r="H35" s="132">
        <v>81230</v>
      </c>
      <c r="I35" s="132">
        <v>78200</v>
      </c>
      <c r="J35" s="132">
        <v>80570</v>
      </c>
      <c r="K35" s="131">
        <f t="shared" ref="K35:K55" si="9">ROUND(AVERAGE(H35:J35),0)</f>
        <v>80000</v>
      </c>
      <c r="L35" s="131">
        <f t="shared" ref="L35:L55" si="10">+K35*G35</f>
        <v>4800000</v>
      </c>
      <c r="M35" s="121">
        <f t="shared" ref="M35:M55" si="11">MIN(H35,I35,J35)</f>
        <v>78200</v>
      </c>
      <c r="N35" s="121">
        <f t="shared" ref="N35:N55" si="12">MAX(H35,I35,J35)</f>
        <v>81230</v>
      </c>
      <c r="O35" s="130">
        <f t="shared" ref="O35:O55" si="13">+(M35-K35)/K35</f>
        <v>-2.2499999999999999E-2</v>
      </c>
      <c r="P35" s="130">
        <f t="shared" ref="P35:P55" si="14">+(N35-K35)/K35</f>
        <v>1.5375E-2</v>
      </c>
      <c r="Q35" s="167"/>
      <c r="R35" s="129">
        <f t="shared" ref="R35:R55" si="15">+(I35-H35)/H35</f>
        <v>-3.7301489597439369E-2</v>
      </c>
      <c r="S35" s="129">
        <f t="shared" ref="S35:S55" si="16">+(J35-H35)/H35</f>
        <v>-8.1250769420164962E-3</v>
      </c>
      <c r="T35" s="129">
        <f t="shared" ref="T35:T55" si="17">+(J35-I35)/I35</f>
        <v>3.030690537084399E-2</v>
      </c>
    </row>
    <row r="36" spans="1:20" s="128" customFormat="1" ht="42.75" x14ac:dyDescent="0.25">
      <c r="A36" s="134" t="s">
        <v>24</v>
      </c>
      <c r="B36" s="134" t="s">
        <v>26</v>
      </c>
      <c r="C36" s="134" t="s">
        <v>15</v>
      </c>
      <c r="D36" s="135">
        <v>2</v>
      </c>
      <c r="E36" s="139" t="s">
        <v>47</v>
      </c>
      <c r="F36" s="133" t="s">
        <v>14</v>
      </c>
      <c r="G36" s="138">
        <v>24250</v>
      </c>
      <c r="H36" s="132">
        <v>360</v>
      </c>
      <c r="I36" s="132">
        <v>365</v>
      </c>
      <c r="J36" s="132">
        <v>385</v>
      </c>
      <c r="K36" s="131">
        <f t="shared" si="9"/>
        <v>370</v>
      </c>
      <c r="L36" s="131">
        <f t="shared" si="10"/>
        <v>8972500</v>
      </c>
      <c r="M36" s="121">
        <f t="shared" si="11"/>
        <v>360</v>
      </c>
      <c r="N36" s="121">
        <f t="shared" si="12"/>
        <v>385</v>
      </c>
      <c r="O36" s="130">
        <f t="shared" si="13"/>
        <v>-2.7027027027027029E-2</v>
      </c>
      <c r="P36" s="130">
        <f t="shared" si="14"/>
        <v>4.0540540540540543E-2</v>
      </c>
      <c r="R36" s="129">
        <f t="shared" si="15"/>
        <v>1.3888888888888888E-2</v>
      </c>
      <c r="S36" s="129">
        <f t="shared" si="16"/>
        <v>6.9444444444444448E-2</v>
      </c>
      <c r="T36" s="129">
        <f t="shared" si="17"/>
        <v>5.4794520547945202E-2</v>
      </c>
    </row>
    <row r="37" spans="1:20" s="128" customFormat="1" ht="56.25" customHeight="1" x14ac:dyDescent="0.25">
      <c r="A37" s="134" t="s">
        <v>24</v>
      </c>
      <c r="B37" s="134" t="s">
        <v>30</v>
      </c>
      <c r="C37" s="134" t="s">
        <v>15</v>
      </c>
      <c r="D37" s="135">
        <v>3</v>
      </c>
      <c r="E37" s="134" t="s">
        <v>48</v>
      </c>
      <c r="F37" s="133" t="s">
        <v>69</v>
      </c>
      <c r="G37" s="133">
        <v>4</v>
      </c>
      <c r="H37" s="132">
        <v>46120</v>
      </c>
      <c r="I37" s="132">
        <v>42800</v>
      </c>
      <c r="J37" s="132">
        <v>46080</v>
      </c>
      <c r="K37" s="131">
        <f t="shared" si="9"/>
        <v>45000</v>
      </c>
      <c r="L37" s="131">
        <f t="shared" si="10"/>
        <v>180000</v>
      </c>
      <c r="M37" s="121">
        <f t="shared" si="11"/>
        <v>42800</v>
      </c>
      <c r="N37" s="121">
        <f t="shared" si="12"/>
        <v>46120</v>
      </c>
      <c r="O37" s="130">
        <f t="shared" si="13"/>
        <v>-4.8888888888888891E-2</v>
      </c>
      <c r="P37" s="130">
        <f t="shared" si="14"/>
        <v>2.4888888888888887E-2</v>
      </c>
      <c r="R37" s="129">
        <f t="shared" si="15"/>
        <v>-7.1986123156981788E-2</v>
      </c>
      <c r="S37" s="129">
        <f t="shared" si="16"/>
        <v>-8.6730268863833475E-4</v>
      </c>
      <c r="T37" s="129">
        <f t="shared" si="17"/>
        <v>7.6635514018691592E-2</v>
      </c>
    </row>
    <row r="38" spans="1:20" s="128" customFormat="1" ht="42.75" x14ac:dyDescent="0.25">
      <c r="A38" s="134" t="s">
        <v>24</v>
      </c>
      <c r="B38" s="134" t="s">
        <v>30</v>
      </c>
      <c r="C38" s="134" t="s">
        <v>15</v>
      </c>
      <c r="D38" s="135">
        <v>4</v>
      </c>
      <c r="E38" s="134" t="s">
        <v>49</v>
      </c>
      <c r="F38" s="133" t="s">
        <v>16</v>
      </c>
      <c r="G38" s="133">
        <v>70</v>
      </c>
      <c r="H38" s="132">
        <v>156780</v>
      </c>
      <c r="I38" s="132">
        <v>152300</v>
      </c>
      <c r="J38" s="132">
        <v>155920</v>
      </c>
      <c r="K38" s="131">
        <f t="shared" si="9"/>
        <v>155000</v>
      </c>
      <c r="L38" s="131">
        <f t="shared" si="10"/>
        <v>10850000</v>
      </c>
      <c r="M38" s="121">
        <f t="shared" si="11"/>
        <v>152300</v>
      </c>
      <c r="N38" s="121">
        <f t="shared" si="12"/>
        <v>156780</v>
      </c>
      <c r="O38" s="130">
        <f t="shared" si="13"/>
        <v>-1.7419354838709676E-2</v>
      </c>
      <c r="P38" s="130">
        <f t="shared" si="14"/>
        <v>1.1483870967741935E-2</v>
      </c>
      <c r="R38" s="129">
        <f t="shared" si="15"/>
        <v>-2.8575073351192755E-2</v>
      </c>
      <c r="S38" s="129">
        <f t="shared" si="16"/>
        <v>-5.4853935450950375E-3</v>
      </c>
      <c r="T38" s="129">
        <f t="shared" si="17"/>
        <v>2.3768877216021011E-2</v>
      </c>
    </row>
    <row r="39" spans="1:20" s="128" customFormat="1" ht="42.75" x14ac:dyDescent="0.25">
      <c r="A39" s="134" t="s">
        <v>24</v>
      </c>
      <c r="B39" s="134" t="s">
        <v>26</v>
      </c>
      <c r="C39" s="134" t="s">
        <v>15</v>
      </c>
      <c r="D39" s="135">
        <v>5</v>
      </c>
      <c r="E39" s="137" t="s">
        <v>50</v>
      </c>
      <c r="F39" s="133" t="s">
        <v>16</v>
      </c>
      <c r="G39" s="133">
        <v>98</v>
      </c>
      <c r="H39" s="132">
        <v>134000</v>
      </c>
      <c r="I39" s="132">
        <v>134950</v>
      </c>
      <c r="J39" s="132">
        <v>137310</v>
      </c>
      <c r="K39" s="131">
        <f t="shared" si="9"/>
        <v>135420</v>
      </c>
      <c r="L39" s="131">
        <f t="shared" si="10"/>
        <v>13271160</v>
      </c>
      <c r="M39" s="121">
        <f t="shared" si="11"/>
        <v>134000</v>
      </c>
      <c r="N39" s="121">
        <f t="shared" si="12"/>
        <v>137310</v>
      </c>
      <c r="O39" s="130">
        <f t="shared" si="13"/>
        <v>-1.0485895731797371E-2</v>
      </c>
      <c r="P39" s="130">
        <f t="shared" si="14"/>
        <v>1.3956579530350023E-2</v>
      </c>
      <c r="R39" s="129">
        <f t="shared" si="15"/>
        <v>7.0895522388059705E-3</v>
      </c>
      <c r="S39" s="129">
        <f t="shared" si="16"/>
        <v>2.4701492537313432E-2</v>
      </c>
      <c r="T39" s="129">
        <f t="shared" si="17"/>
        <v>1.7487958503149315E-2</v>
      </c>
    </row>
    <row r="40" spans="1:20" s="128" customFormat="1" ht="42.75" x14ac:dyDescent="0.25">
      <c r="A40" s="134" t="s">
        <v>24</v>
      </c>
      <c r="B40" s="134" t="s">
        <v>26</v>
      </c>
      <c r="C40" s="134" t="s">
        <v>15</v>
      </c>
      <c r="D40" s="135">
        <v>6</v>
      </c>
      <c r="E40" s="137" t="s">
        <v>79</v>
      </c>
      <c r="F40" s="133" t="s">
        <v>16</v>
      </c>
      <c r="G40" s="133">
        <v>146</v>
      </c>
      <c r="H40" s="132">
        <v>153720</v>
      </c>
      <c r="I40" s="132">
        <v>152950</v>
      </c>
      <c r="J40" s="132">
        <v>154490</v>
      </c>
      <c r="K40" s="131">
        <f t="shared" si="9"/>
        <v>153720</v>
      </c>
      <c r="L40" s="131">
        <f t="shared" si="10"/>
        <v>22443120</v>
      </c>
      <c r="M40" s="121">
        <f t="shared" si="11"/>
        <v>152950</v>
      </c>
      <c r="N40" s="121">
        <f t="shared" si="12"/>
        <v>154490</v>
      </c>
      <c r="O40" s="130">
        <f t="shared" si="13"/>
        <v>-5.0091074681238613E-3</v>
      </c>
      <c r="P40" s="130">
        <f t="shared" si="14"/>
        <v>5.0091074681238613E-3</v>
      </c>
      <c r="R40" s="129">
        <f t="shared" si="15"/>
        <v>-5.0091074681238613E-3</v>
      </c>
      <c r="S40" s="129">
        <f t="shared" si="16"/>
        <v>5.0091074681238613E-3</v>
      </c>
      <c r="T40" s="129">
        <f t="shared" si="17"/>
        <v>1.0068649885583524E-2</v>
      </c>
    </row>
    <row r="41" spans="1:20" s="128" customFormat="1" ht="42.75" x14ac:dyDescent="0.25">
      <c r="A41" s="134" t="s">
        <v>24</v>
      </c>
      <c r="B41" s="134" t="s">
        <v>26</v>
      </c>
      <c r="C41" s="134" t="s">
        <v>15</v>
      </c>
      <c r="D41" s="135">
        <v>7</v>
      </c>
      <c r="E41" s="137" t="s">
        <v>51</v>
      </c>
      <c r="F41" s="133" t="s">
        <v>16</v>
      </c>
      <c r="G41" s="133">
        <v>48</v>
      </c>
      <c r="H41" s="132">
        <v>178000</v>
      </c>
      <c r="I41" s="132">
        <v>178500</v>
      </c>
      <c r="J41" s="132">
        <v>181520</v>
      </c>
      <c r="K41" s="131">
        <f t="shared" si="9"/>
        <v>179340</v>
      </c>
      <c r="L41" s="131">
        <f t="shared" si="10"/>
        <v>8608320</v>
      </c>
      <c r="M41" s="121">
        <f t="shared" si="11"/>
        <v>178000</v>
      </c>
      <c r="N41" s="121">
        <f t="shared" si="12"/>
        <v>181520</v>
      </c>
      <c r="O41" s="130">
        <f t="shared" si="13"/>
        <v>-7.4718411954945909E-3</v>
      </c>
      <c r="P41" s="130">
        <f t="shared" si="14"/>
        <v>1.2155681944909111E-2</v>
      </c>
      <c r="R41" s="129">
        <f t="shared" si="15"/>
        <v>2.8089887640449437E-3</v>
      </c>
      <c r="S41" s="129">
        <f t="shared" si="16"/>
        <v>1.9775280898876403E-2</v>
      </c>
      <c r="T41" s="129">
        <f t="shared" si="17"/>
        <v>1.6918767507002802E-2</v>
      </c>
    </row>
    <row r="42" spans="1:20" s="128" customFormat="1" ht="42.75" x14ac:dyDescent="0.25">
      <c r="A42" s="134" t="s">
        <v>24</v>
      </c>
      <c r="B42" s="134" t="s">
        <v>26</v>
      </c>
      <c r="C42" s="134" t="s">
        <v>15</v>
      </c>
      <c r="D42" s="135">
        <v>8</v>
      </c>
      <c r="E42" s="137" t="s">
        <v>52</v>
      </c>
      <c r="F42" s="133" t="s">
        <v>16</v>
      </c>
      <c r="G42" s="133">
        <v>14</v>
      </c>
      <c r="H42" s="132">
        <v>227000</v>
      </c>
      <c r="I42" s="132">
        <v>230000</v>
      </c>
      <c r="J42" s="132">
        <v>227420</v>
      </c>
      <c r="K42" s="131">
        <f t="shared" si="9"/>
        <v>228140</v>
      </c>
      <c r="L42" s="131">
        <f t="shared" si="10"/>
        <v>3193960</v>
      </c>
      <c r="M42" s="121">
        <f t="shared" si="11"/>
        <v>227000</v>
      </c>
      <c r="N42" s="121">
        <f t="shared" si="12"/>
        <v>230000</v>
      </c>
      <c r="O42" s="130">
        <f t="shared" si="13"/>
        <v>-4.9969317085999821E-3</v>
      </c>
      <c r="P42" s="130">
        <f t="shared" si="14"/>
        <v>8.1528885771894443E-3</v>
      </c>
      <c r="R42" s="129">
        <f t="shared" si="15"/>
        <v>1.3215859030837005E-2</v>
      </c>
      <c r="S42" s="129">
        <f t="shared" si="16"/>
        <v>1.8502202643171806E-3</v>
      </c>
      <c r="T42" s="129">
        <f t="shared" si="17"/>
        <v>-1.1217391304347827E-2</v>
      </c>
    </row>
    <row r="43" spans="1:20" s="128" customFormat="1" ht="71.25" x14ac:dyDescent="0.25">
      <c r="A43" s="134" t="s">
        <v>24</v>
      </c>
      <c r="B43" s="134" t="s">
        <v>26</v>
      </c>
      <c r="C43" s="134" t="s">
        <v>15</v>
      </c>
      <c r="D43" s="135">
        <v>9</v>
      </c>
      <c r="E43" s="134" t="s">
        <v>57</v>
      </c>
      <c r="F43" s="133" t="s">
        <v>14</v>
      </c>
      <c r="G43" s="133">
        <v>30</v>
      </c>
      <c r="H43" s="132">
        <v>21540</v>
      </c>
      <c r="I43" s="132">
        <v>17800</v>
      </c>
      <c r="J43" s="132">
        <v>21041</v>
      </c>
      <c r="K43" s="131">
        <f t="shared" si="9"/>
        <v>20127</v>
      </c>
      <c r="L43" s="131">
        <f t="shared" si="10"/>
        <v>603810</v>
      </c>
      <c r="M43" s="121">
        <f t="shared" si="11"/>
        <v>17800</v>
      </c>
      <c r="N43" s="121">
        <f t="shared" si="12"/>
        <v>21540</v>
      </c>
      <c r="O43" s="130">
        <f t="shared" si="13"/>
        <v>-0.11561583941968501</v>
      </c>
      <c r="P43" s="130">
        <f t="shared" si="14"/>
        <v>7.0204203308987925E-2</v>
      </c>
      <c r="R43" s="129">
        <f t="shared" si="15"/>
        <v>-0.17363045496750232</v>
      </c>
      <c r="S43" s="129">
        <f t="shared" si="16"/>
        <v>-2.3166202414113279E-2</v>
      </c>
      <c r="T43" s="129">
        <f t="shared" si="17"/>
        <v>0.18207865168539325</v>
      </c>
    </row>
    <row r="44" spans="1:20" s="128" customFormat="1" ht="57" x14ac:dyDescent="0.25">
      <c r="A44" s="134" t="s">
        <v>2</v>
      </c>
      <c r="B44" s="134" t="s">
        <v>6</v>
      </c>
      <c r="C44" s="134" t="s">
        <v>15</v>
      </c>
      <c r="D44" s="135">
        <v>10</v>
      </c>
      <c r="E44" s="134" t="s">
        <v>58</v>
      </c>
      <c r="F44" s="133" t="s">
        <v>16</v>
      </c>
      <c r="G44" s="133">
        <v>30</v>
      </c>
      <c r="H44" s="132">
        <v>306120</v>
      </c>
      <c r="I44" s="132">
        <v>302800</v>
      </c>
      <c r="J44" s="132">
        <v>306080</v>
      </c>
      <c r="K44" s="131">
        <f t="shared" si="9"/>
        <v>305000</v>
      </c>
      <c r="L44" s="131">
        <f t="shared" si="10"/>
        <v>9150000</v>
      </c>
      <c r="M44" s="121">
        <f t="shared" si="11"/>
        <v>302800</v>
      </c>
      <c r="N44" s="121">
        <f t="shared" si="12"/>
        <v>306120</v>
      </c>
      <c r="O44" s="130">
        <f t="shared" si="13"/>
        <v>-7.2131147540983606E-3</v>
      </c>
      <c r="P44" s="130">
        <f t="shared" si="14"/>
        <v>3.6721311475409837E-3</v>
      </c>
      <c r="R44" s="129">
        <f t="shared" si="15"/>
        <v>-1.0845420096694107E-2</v>
      </c>
      <c r="S44" s="129">
        <f t="shared" si="16"/>
        <v>-1.3066771200836272E-4</v>
      </c>
      <c r="T44" s="129">
        <f t="shared" si="17"/>
        <v>1.0832232496697489E-2</v>
      </c>
    </row>
    <row r="45" spans="1:20" s="128" customFormat="1" ht="42.75" x14ac:dyDescent="0.25">
      <c r="A45" s="134" t="s">
        <v>1</v>
      </c>
      <c r="B45" s="134" t="s">
        <v>5</v>
      </c>
      <c r="C45" s="134" t="s">
        <v>15</v>
      </c>
      <c r="D45" s="135">
        <v>11</v>
      </c>
      <c r="E45" s="134" t="s">
        <v>80</v>
      </c>
      <c r="F45" s="133" t="s">
        <v>16</v>
      </c>
      <c r="G45" s="133">
        <v>30</v>
      </c>
      <c r="H45" s="132">
        <v>246150</v>
      </c>
      <c r="I45" s="132">
        <v>242300</v>
      </c>
      <c r="J45" s="132">
        <v>246550</v>
      </c>
      <c r="K45" s="131">
        <f t="shared" si="9"/>
        <v>245000</v>
      </c>
      <c r="L45" s="131">
        <f t="shared" si="10"/>
        <v>7350000</v>
      </c>
      <c r="M45" s="121">
        <f t="shared" si="11"/>
        <v>242300</v>
      </c>
      <c r="N45" s="121">
        <f t="shared" si="12"/>
        <v>246550</v>
      </c>
      <c r="O45" s="130">
        <f t="shared" si="13"/>
        <v>-1.1020408163265306E-2</v>
      </c>
      <c r="P45" s="130">
        <f t="shared" si="14"/>
        <v>6.3265306122448984E-3</v>
      </c>
      <c r="R45" s="129">
        <f t="shared" si="15"/>
        <v>-1.5640869388584198E-2</v>
      </c>
      <c r="S45" s="129">
        <f t="shared" si="16"/>
        <v>1.6250253910217347E-3</v>
      </c>
      <c r="T45" s="129">
        <f t="shared" si="17"/>
        <v>1.7540239372678498E-2</v>
      </c>
    </row>
    <row r="46" spans="1:20" s="128" customFormat="1" ht="42.75" x14ac:dyDescent="0.25">
      <c r="A46" s="134" t="s">
        <v>0</v>
      </c>
      <c r="B46" s="134" t="s">
        <v>4</v>
      </c>
      <c r="C46" s="134" t="s">
        <v>15</v>
      </c>
      <c r="D46" s="135">
        <v>12</v>
      </c>
      <c r="E46" s="134" t="s">
        <v>59</v>
      </c>
      <c r="F46" s="133" t="s">
        <v>70</v>
      </c>
      <c r="G46" s="133">
        <v>30</v>
      </c>
      <c r="H46" s="132">
        <v>132500</v>
      </c>
      <c r="I46" s="132">
        <v>128500</v>
      </c>
      <c r="J46" s="132">
        <v>132105</v>
      </c>
      <c r="K46" s="131">
        <f t="shared" si="9"/>
        <v>131035</v>
      </c>
      <c r="L46" s="131">
        <f t="shared" si="10"/>
        <v>3931050</v>
      </c>
      <c r="M46" s="121">
        <f t="shared" si="11"/>
        <v>128500</v>
      </c>
      <c r="N46" s="121">
        <f t="shared" si="12"/>
        <v>132500</v>
      </c>
      <c r="O46" s="130">
        <f t="shared" si="13"/>
        <v>-1.934597626588316E-2</v>
      </c>
      <c r="P46" s="130">
        <f t="shared" si="14"/>
        <v>1.1180219025451216E-2</v>
      </c>
      <c r="R46" s="129">
        <f t="shared" si="15"/>
        <v>-3.0188679245283019E-2</v>
      </c>
      <c r="S46" s="129">
        <f t="shared" si="16"/>
        <v>-2.981132075471698E-3</v>
      </c>
      <c r="T46" s="129">
        <f t="shared" si="17"/>
        <v>2.8054474708171205E-2</v>
      </c>
    </row>
    <row r="47" spans="1:20" s="128" customFormat="1" ht="85.5" x14ac:dyDescent="0.25">
      <c r="A47" s="134" t="s">
        <v>0</v>
      </c>
      <c r="B47" s="134" t="s">
        <v>4</v>
      </c>
      <c r="C47" s="134" t="s">
        <v>15</v>
      </c>
      <c r="D47" s="135">
        <v>13</v>
      </c>
      <c r="E47" s="134" t="s">
        <v>61</v>
      </c>
      <c r="F47" s="133" t="s">
        <v>71</v>
      </c>
      <c r="G47" s="133">
        <v>60</v>
      </c>
      <c r="H47" s="132">
        <v>256870</v>
      </c>
      <c r="I47" s="132">
        <v>252500</v>
      </c>
      <c r="J47" s="132">
        <v>255630</v>
      </c>
      <c r="K47" s="131">
        <f t="shared" si="9"/>
        <v>255000</v>
      </c>
      <c r="L47" s="131">
        <f t="shared" si="10"/>
        <v>15300000</v>
      </c>
      <c r="M47" s="121">
        <f t="shared" si="11"/>
        <v>252500</v>
      </c>
      <c r="N47" s="121">
        <f t="shared" si="12"/>
        <v>256870</v>
      </c>
      <c r="O47" s="130">
        <f t="shared" si="13"/>
        <v>-9.8039215686274508E-3</v>
      </c>
      <c r="P47" s="130">
        <f t="shared" si="14"/>
        <v>7.3333333333333332E-3</v>
      </c>
      <c r="R47" s="129">
        <f t="shared" si="15"/>
        <v>-1.7012496593607662E-2</v>
      </c>
      <c r="S47" s="129">
        <f t="shared" si="16"/>
        <v>-4.8273445711838675E-3</v>
      </c>
      <c r="T47" s="129">
        <f t="shared" si="17"/>
        <v>1.2396039603960397E-2</v>
      </c>
    </row>
    <row r="48" spans="1:20" s="128" customFormat="1" ht="28.5" x14ac:dyDescent="0.25">
      <c r="A48" s="134" t="s">
        <v>1</v>
      </c>
      <c r="B48" s="134" t="s">
        <v>5</v>
      </c>
      <c r="C48" s="134" t="s">
        <v>15</v>
      </c>
      <c r="D48" s="135">
        <v>14</v>
      </c>
      <c r="E48" s="134" t="s">
        <v>56</v>
      </c>
      <c r="F48" s="133" t="s">
        <v>72</v>
      </c>
      <c r="G48" s="133">
        <v>15</v>
      </c>
      <c r="H48" s="132">
        <v>49350</v>
      </c>
      <c r="I48" s="132">
        <v>45700</v>
      </c>
      <c r="J48" s="132">
        <v>49550</v>
      </c>
      <c r="K48" s="131">
        <f t="shared" si="9"/>
        <v>48200</v>
      </c>
      <c r="L48" s="131">
        <f t="shared" si="10"/>
        <v>723000</v>
      </c>
      <c r="M48" s="121">
        <f t="shared" si="11"/>
        <v>45700</v>
      </c>
      <c r="N48" s="121">
        <f t="shared" si="12"/>
        <v>49550</v>
      </c>
      <c r="O48" s="130">
        <f t="shared" si="13"/>
        <v>-5.1867219917012451E-2</v>
      </c>
      <c r="P48" s="130">
        <f t="shared" si="14"/>
        <v>2.8008298755186723E-2</v>
      </c>
      <c r="R48" s="129">
        <f t="shared" si="15"/>
        <v>-7.3961499493414393E-2</v>
      </c>
      <c r="S48" s="129">
        <f t="shared" si="16"/>
        <v>4.0526849037487338E-3</v>
      </c>
      <c r="T48" s="129">
        <f t="shared" si="17"/>
        <v>8.4245076586433265E-2</v>
      </c>
    </row>
    <row r="49" spans="1:20" s="128" customFormat="1" ht="40.5" customHeight="1" x14ac:dyDescent="0.25">
      <c r="A49" s="134" t="s">
        <v>2</v>
      </c>
      <c r="B49" s="134" t="s">
        <v>6</v>
      </c>
      <c r="C49" s="134" t="s">
        <v>15</v>
      </c>
      <c r="D49" s="135">
        <v>15</v>
      </c>
      <c r="E49" s="134" t="s">
        <v>81</v>
      </c>
      <c r="F49" s="133" t="s">
        <v>69</v>
      </c>
      <c r="G49" s="133">
        <v>120</v>
      </c>
      <c r="H49" s="132">
        <v>81540</v>
      </c>
      <c r="I49" s="132">
        <v>77500</v>
      </c>
      <c r="J49" s="132">
        <v>79460</v>
      </c>
      <c r="K49" s="131">
        <f t="shared" si="9"/>
        <v>79500</v>
      </c>
      <c r="L49" s="131">
        <f t="shared" si="10"/>
        <v>9540000</v>
      </c>
      <c r="M49" s="121">
        <f t="shared" si="11"/>
        <v>77500</v>
      </c>
      <c r="N49" s="121">
        <f t="shared" si="12"/>
        <v>81540</v>
      </c>
      <c r="O49" s="130">
        <f t="shared" si="13"/>
        <v>-2.5157232704402517E-2</v>
      </c>
      <c r="P49" s="130">
        <f t="shared" si="14"/>
        <v>2.5660377358490565E-2</v>
      </c>
      <c r="R49" s="129">
        <f t="shared" si="15"/>
        <v>-4.954623497669855E-2</v>
      </c>
      <c r="S49" s="129">
        <f t="shared" si="16"/>
        <v>-2.5508952661270543E-2</v>
      </c>
      <c r="T49" s="129">
        <f t="shared" si="17"/>
        <v>2.5290322580645161E-2</v>
      </c>
    </row>
    <row r="50" spans="1:20" s="128" customFormat="1" ht="75.75" customHeight="1" x14ac:dyDescent="0.25">
      <c r="A50" s="134" t="s">
        <v>1</v>
      </c>
      <c r="B50" s="134" t="s">
        <v>5</v>
      </c>
      <c r="C50" s="134" t="s">
        <v>15</v>
      </c>
      <c r="D50" s="135">
        <v>16</v>
      </c>
      <c r="E50" s="134" t="s">
        <v>82</v>
      </c>
      <c r="F50" s="133" t="s">
        <v>16</v>
      </c>
      <c r="G50" s="133">
        <v>17</v>
      </c>
      <c r="H50" s="132">
        <v>39210</v>
      </c>
      <c r="I50" s="132">
        <v>35900</v>
      </c>
      <c r="J50" s="132">
        <v>40090</v>
      </c>
      <c r="K50" s="131">
        <f t="shared" si="9"/>
        <v>38400</v>
      </c>
      <c r="L50" s="131">
        <f t="shared" si="10"/>
        <v>652800</v>
      </c>
      <c r="M50" s="121">
        <f t="shared" si="11"/>
        <v>35900</v>
      </c>
      <c r="N50" s="121">
        <f t="shared" si="12"/>
        <v>40090</v>
      </c>
      <c r="O50" s="130">
        <f t="shared" si="13"/>
        <v>-6.5104166666666671E-2</v>
      </c>
      <c r="P50" s="130">
        <f t="shared" si="14"/>
        <v>4.401041666666667E-2</v>
      </c>
      <c r="R50" s="129">
        <f t="shared" si="15"/>
        <v>-8.4417240499872481E-2</v>
      </c>
      <c r="S50" s="129">
        <f t="shared" si="16"/>
        <v>2.2443254271869422E-2</v>
      </c>
      <c r="T50" s="129">
        <f t="shared" si="17"/>
        <v>0.11671309192200557</v>
      </c>
    </row>
    <row r="51" spans="1:20" s="128" customFormat="1" ht="28.5" x14ac:dyDescent="0.25">
      <c r="A51" s="134" t="s">
        <v>2</v>
      </c>
      <c r="B51" s="134" t="s">
        <v>6</v>
      </c>
      <c r="C51" s="134" t="s">
        <v>15</v>
      </c>
      <c r="D51" s="135">
        <v>17</v>
      </c>
      <c r="E51" s="134" t="s">
        <v>60</v>
      </c>
      <c r="F51" s="133" t="s">
        <v>14</v>
      </c>
      <c r="G51" s="133">
        <v>3000</v>
      </c>
      <c r="H51" s="132">
        <v>290</v>
      </c>
      <c r="I51" s="132">
        <v>320</v>
      </c>
      <c r="J51" s="132">
        <v>290</v>
      </c>
      <c r="K51" s="131">
        <f t="shared" si="9"/>
        <v>300</v>
      </c>
      <c r="L51" s="131">
        <f t="shared" si="10"/>
        <v>900000</v>
      </c>
      <c r="M51" s="121">
        <f t="shared" si="11"/>
        <v>290</v>
      </c>
      <c r="N51" s="121">
        <f t="shared" si="12"/>
        <v>320</v>
      </c>
      <c r="O51" s="130">
        <f t="shared" si="13"/>
        <v>-3.3333333333333333E-2</v>
      </c>
      <c r="P51" s="130">
        <f t="shared" si="14"/>
        <v>6.6666666666666666E-2</v>
      </c>
      <c r="R51" s="129">
        <f t="shared" si="15"/>
        <v>0.10344827586206896</v>
      </c>
      <c r="S51" s="129">
        <f t="shared" si="16"/>
        <v>0</v>
      </c>
      <c r="T51" s="129">
        <f t="shared" si="17"/>
        <v>-9.375E-2</v>
      </c>
    </row>
    <row r="52" spans="1:20" s="128" customFormat="1" ht="57" x14ac:dyDescent="0.25">
      <c r="A52" s="134" t="s">
        <v>24</v>
      </c>
      <c r="B52" s="134" t="s">
        <v>30</v>
      </c>
      <c r="C52" s="134" t="s">
        <v>15</v>
      </c>
      <c r="D52" s="135">
        <v>18</v>
      </c>
      <c r="E52" s="134" t="s">
        <v>83</v>
      </c>
      <c r="F52" s="133" t="s">
        <v>14</v>
      </c>
      <c r="G52" s="133">
        <v>30</v>
      </c>
      <c r="H52" s="132">
        <v>21890</v>
      </c>
      <c r="I52" s="132">
        <v>18200</v>
      </c>
      <c r="J52" s="132">
        <v>20360</v>
      </c>
      <c r="K52" s="131">
        <f t="shared" si="9"/>
        <v>20150</v>
      </c>
      <c r="L52" s="131">
        <f t="shared" si="10"/>
        <v>604500</v>
      </c>
      <c r="M52" s="121">
        <f t="shared" si="11"/>
        <v>18200</v>
      </c>
      <c r="N52" s="121">
        <f t="shared" si="12"/>
        <v>21890</v>
      </c>
      <c r="O52" s="130">
        <f t="shared" si="13"/>
        <v>-9.6774193548387094E-2</v>
      </c>
      <c r="P52" s="130">
        <f t="shared" si="14"/>
        <v>8.6352357320099257E-2</v>
      </c>
      <c r="R52" s="129">
        <f t="shared" si="15"/>
        <v>-0.16857012334399268</v>
      </c>
      <c r="S52" s="129">
        <f t="shared" si="16"/>
        <v>-6.9894929191411603E-2</v>
      </c>
      <c r="T52" s="129">
        <f t="shared" si="17"/>
        <v>0.11868131868131868</v>
      </c>
    </row>
    <row r="53" spans="1:20" s="128" customFormat="1" ht="30" customHeight="1" x14ac:dyDescent="0.25">
      <c r="A53" s="134" t="s">
        <v>2</v>
      </c>
      <c r="B53" s="134" t="s">
        <v>6</v>
      </c>
      <c r="C53" s="134" t="s">
        <v>15</v>
      </c>
      <c r="D53" s="135">
        <v>19</v>
      </c>
      <c r="E53" s="134" t="s">
        <v>55</v>
      </c>
      <c r="F53" s="133" t="s">
        <v>14</v>
      </c>
      <c r="G53" s="133">
        <v>30</v>
      </c>
      <c r="H53" s="132">
        <v>18120</v>
      </c>
      <c r="I53" s="132">
        <v>14800</v>
      </c>
      <c r="J53" s="132">
        <v>18080</v>
      </c>
      <c r="K53" s="131">
        <f t="shared" si="9"/>
        <v>17000</v>
      </c>
      <c r="L53" s="131">
        <f t="shared" si="10"/>
        <v>510000</v>
      </c>
      <c r="M53" s="121">
        <f t="shared" si="11"/>
        <v>14800</v>
      </c>
      <c r="N53" s="121">
        <f t="shared" si="12"/>
        <v>18120</v>
      </c>
      <c r="O53" s="130">
        <f t="shared" si="13"/>
        <v>-0.12941176470588237</v>
      </c>
      <c r="P53" s="130">
        <f t="shared" si="14"/>
        <v>6.5882352941176475E-2</v>
      </c>
      <c r="R53" s="129">
        <f t="shared" si="15"/>
        <v>-0.18322295805739514</v>
      </c>
      <c r="S53" s="129">
        <f t="shared" si="16"/>
        <v>-2.2075055187637969E-3</v>
      </c>
      <c r="T53" s="129">
        <f t="shared" si="17"/>
        <v>0.22162162162162163</v>
      </c>
    </row>
    <row r="54" spans="1:20" s="128" customFormat="1" ht="71.25" x14ac:dyDescent="0.25">
      <c r="A54" s="134" t="s">
        <v>2</v>
      </c>
      <c r="B54" s="134" t="s">
        <v>6</v>
      </c>
      <c r="C54" s="134" t="s">
        <v>15</v>
      </c>
      <c r="D54" s="135">
        <v>20</v>
      </c>
      <c r="E54" s="136" t="s">
        <v>53</v>
      </c>
      <c r="F54" s="133" t="s">
        <v>16</v>
      </c>
      <c r="G54" s="133">
        <v>10</v>
      </c>
      <c r="H54" s="132">
        <v>39000</v>
      </c>
      <c r="I54" s="132">
        <v>39700</v>
      </c>
      <c r="J54" s="132">
        <v>43400</v>
      </c>
      <c r="K54" s="131">
        <f t="shared" si="9"/>
        <v>40700</v>
      </c>
      <c r="L54" s="131">
        <f t="shared" si="10"/>
        <v>407000</v>
      </c>
      <c r="M54" s="121">
        <f t="shared" si="11"/>
        <v>39000</v>
      </c>
      <c r="N54" s="121">
        <f t="shared" si="12"/>
        <v>43400</v>
      </c>
      <c r="O54" s="130">
        <f t="shared" si="13"/>
        <v>-4.1769041769041768E-2</v>
      </c>
      <c r="P54" s="130">
        <f t="shared" si="14"/>
        <v>6.6339066339066333E-2</v>
      </c>
      <c r="R54" s="129">
        <f t="shared" si="15"/>
        <v>1.7948717948717947E-2</v>
      </c>
      <c r="S54" s="129">
        <f t="shared" si="16"/>
        <v>0.11282051282051282</v>
      </c>
      <c r="T54" s="129">
        <f t="shared" si="17"/>
        <v>9.3198992443324941E-2</v>
      </c>
    </row>
    <row r="55" spans="1:20" s="128" customFormat="1" ht="42.75" x14ac:dyDescent="0.25">
      <c r="A55" s="134" t="s">
        <v>24</v>
      </c>
      <c r="B55" s="134">
        <v>0</v>
      </c>
      <c r="C55" s="134" t="s">
        <v>15</v>
      </c>
      <c r="D55" s="135">
        <v>21</v>
      </c>
      <c r="E55" s="134" t="s">
        <v>54</v>
      </c>
      <c r="F55" s="133" t="s">
        <v>14</v>
      </c>
      <c r="G55" s="133">
        <v>675</v>
      </c>
      <c r="H55" s="132">
        <v>20780</v>
      </c>
      <c r="I55" s="132">
        <v>16500</v>
      </c>
      <c r="J55" s="132">
        <v>21520</v>
      </c>
      <c r="K55" s="131">
        <f t="shared" si="9"/>
        <v>19600</v>
      </c>
      <c r="L55" s="131">
        <f t="shared" si="10"/>
        <v>13230000</v>
      </c>
      <c r="M55" s="121">
        <f t="shared" si="11"/>
        <v>16500</v>
      </c>
      <c r="N55" s="121">
        <f t="shared" si="12"/>
        <v>21520</v>
      </c>
      <c r="O55" s="130">
        <f t="shared" si="13"/>
        <v>-0.15816326530612246</v>
      </c>
      <c r="P55" s="130">
        <f t="shared" si="14"/>
        <v>9.7959183673469383E-2</v>
      </c>
      <c r="R55" s="129">
        <f t="shared" si="15"/>
        <v>-0.20596727622714148</v>
      </c>
      <c r="S55" s="129">
        <f t="shared" si="16"/>
        <v>3.5611164581328202E-2</v>
      </c>
      <c r="T55" s="129">
        <f t="shared" si="17"/>
        <v>0.30424242424242426</v>
      </c>
    </row>
    <row r="56" spans="1:20" ht="15" x14ac:dyDescent="0.2">
      <c r="D56" s="205" t="s">
        <v>18</v>
      </c>
      <c r="E56" s="205"/>
      <c r="F56" s="205"/>
      <c r="G56" s="205"/>
      <c r="H56" s="127">
        <f>+SUM(H35:H55)</f>
        <v>2210570</v>
      </c>
      <c r="I56" s="127">
        <f>+SUM(I35:I55)</f>
        <v>2162585</v>
      </c>
      <c r="J56" s="127">
        <f>+SUM(J35:J55)</f>
        <v>2217851</v>
      </c>
      <c r="K56" s="127">
        <f>+SUM(K35:K55)</f>
        <v>2197002</v>
      </c>
      <c r="L56" s="127">
        <f>+SUM(L35:L55)</f>
        <v>135221220</v>
      </c>
    </row>
    <row r="60" spans="1:20" ht="27.75" x14ac:dyDescent="0.2">
      <c r="D60" s="126" t="s">
        <v>90</v>
      </c>
      <c r="E60" s="125"/>
      <c r="F60" s="125"/>
    </row>
    <row r="61" spans="1:20" ht="45" customHeight="1" x14ac:dyDescent="0.2">
      <c r="D61" s="124" t="s">
        <v>89</v>
      </c>
      <c r="E61" s="124" t="s">
        <v>88</v>
      </c>
      <c r="F61" s="124" t="s">
        <v>87</v>
      </c>
    </row>
    <row r="62" spans="1:20" x14ac:dyDescent="0.2">
      <c r="D62" s="123">
        <v>1</v>
      </c>
      <c r="E62" s="123" t="str">
        <f>+D1</f>
        <v>LOTE N°1: EQUIPOS Y HERRAMIENTAS</v>
      </c>
      <c r="F62" s="122">
        <f>+L30</f>
        <v>184359915</v>
      </c>
    </row>
    <row r="63" spans="1:20" x14ac:dyDescent="0.2">
      <c r="D63" s="123">
        <v>2</v>
      </c>
      <c r="E63" s="123" t="str">
        <f>+D32</f>
        <v>LOTE N°2: INSUMOS</v>
      </c>
      <c r="F63" s="122">
        <f>+L56</f>
        <v>135221220</v>
      </c>
    </row>
    <row r="64" spans="1:20" ht="15" x14ac:dyDescent="0.2">
      <c r="D64" s="206" t="s">
        <v>18</v>
      </c>
      <c r="E64" s="206"/>
      <c r="F64" s="127">
        <f>+F62+F63</f>
        <v>319581135</v>
      </c>
    </row>
  </sheetData>
  <mergeCells count="30">
    <mergeCell ref="D1:L1"/>
    <mergeCell ref="K2:K3"/>
    <mergeCell ref="L2:L3"/>
    <mergeCell ref="M2:M3"/>
    <mergeCell ref="N2:N3"/>
    <mergeCell ref="D64:E64"/>
    <mergeCell ref="P33:P34"/>
    <mergeCell ref="D32:L32"/>
    <mergeCell ref="R33:T33"/>
    <mergeCell ref="D30:G30"/>
    <mergeCell ref="K33:K34"/>
    <mergeCell ref="L33:L34"/>
    <mergeCell ref="M33:M34"/>
    <mergeCell ref="N33:N34"/>
    <mergeCell ref="O33:O34"/>
    <mergeCell ref="D33:D34"/>
    <mergeCell ref="E33:E34"/>
    <mergeCell ref="F33:F34"/>
    <mergeCell ref="G33:G34"/>
    <mergeCell ref="D56:G56"/>
    <mergeCell ref="R2:T2"/>
    <mergeCell ref="F2:F3"/>
    <mergeCell ref="A2:A3"/>
    <mergeCell ref="B2:B3"/>
    <mergeCell ref="C2:C3"/>
    <mergeCell ref="D2:D3"/>
    <mergeCell ref="E2:E3"/>
    <mergeCell ref="O2:O3"/>
    <mergeCell ref="P2:P3"/>
    <mergeCell ref="G2:G3"/>
  </mergeCells>
  <conditionalFormatting sqref="O35:O55">
    <cfRule type="cellIs" dxfId="3" priority="4" operator="lessThan">
      <formula>-0.2</formula>
    </cfRule>
  </conditionalFormatting>
  <conditionalFormatting sqref="P35:P55">
    <cfRule type="cellIs" dxfId="2" priority="3" operator="greaterThan">
      <formula>0.2</formula>
    </cfRule>
  </conditionalFormatting>
  <conditionalFormatting sqref="O4:O29">
    <cfRule type="cellIs" dxfId="1" priority="2" operator="lessThan">
      <formula>-0.2</formula>
    </cfRule>
  </conditionalFormatting>
  <conditionalFormatting sqref="P4:P29">
    <cfRule type="cellIs" dxfId="0" priority="1" operator="greaterThan">
      <formula>0.2</formula>
    </cfRule>
  </conditionalFormatting>
  <pageMargins left="0.7" right="0.7" top="0.75" bottom="0.75" header="0.3" footer="0.3"/>
  <pageSetup orientation="portrait" horizontalDpi="4294967292"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45:I464"/>
  <sheetViews>
    <sheetView showGridLines="0" workbookViewId="0">
      <selection activeCell="H5" sqref="H5"/>
    </sheetView>
  </sheetViews>
  <sheetFormatPr baseColWidth="10" defaultRowHeight="15" x14ac:dyDescent="0.25"/>
  <sheetData>
    <row r="45" spans="9:9" x14ac:dyDescent="0.25">
      <c r="I45" t="s">
        <v>176</v>
      </c>
    </row>
    <row r="57" spans="9:9" x14ac:dyDescent="0.25">
      <c r="I57" t="s">
        <v>177</v>
      </c>
    </row>
    <row r="71" spans="9:9" x14ac:dyDescent="0.25">
      <c r="I71" t="s">
        <v>178</v>
      </c>
    </row>
    <row r="86" spans="8:8" x14ac:dyDescent="0.25">
      <c r="H86" t="s">
        <v>179</v>
      </c>
    </row>
    <row r="102" spans="8:8" x14ac:dyDescent="0.25">
      <c r="H102" t="s">
        <v>180</v>
      </c>
    </row>
    <row r="114" spans="9:9" x14ac:dyDescent="0.25">
      <c r="I114" t="s">
        <v>181</v>
      </c>
    </row>
    <row r="129" spans="9:9" x14ac:dyDescent="0.25">
      <c r="I129" t="s">
        <v>182</v>
      </c>
    </row>
    <row r="139" spans="9:9" x14ac:dyDescent="0.25">
      <c r="I139" t="s">
        <v>183</v>
      </c>
    </row>
    <row r="140" spans="9:9" x14ac:dyDescent="0.25">
      <c r="I140" t="s">
        <v>184</v>
      </c>
    </row>
    <row r="150" spans="8:8" x14ac:dyDescent="0.25">
      <c r="H150" t="s">
        <v>185</v>
      </c>
    </row>
    <row r="160" spans="8:8" x14ac:dyDescent="0.25">
      <c r="H160" t="s">
        <v>186</v>
      </c>
    </row>
    <row r="172" spans="9:9" x14ac:dyDescent="0.25">
      <c r="I172" t="s">
        <v>187</v>
      </c>
    </row>
    <row r="184" spans="9:9" x14ac:dyDescent="0.25">
      <c r="I184" t="s">
        <v>188</v>
      </c>
    </row>
    <row r="200" spans="6:6" x14ac:dyDescent="0.25">
      <c r="F200" t="s">
        <v>189</v>
      </c>
    </row>
    <row r="211" spans="8:8" x14ac:dyDescent="0.25">
      <c r="H211" t="s">
        <v>190</v>
      </c>
    </row>
    <row r="238" spans="1:8" x14ac:dyDescent="0.25">
      <c r="H238" t="s">
        <v>191</v>
      </c>
    </row>
    <row r="239" spans="1:8" x14ac:dyDescent="0.25">
      <c r="A239" t="s">
        <v>192</v>
      </c>
    </row>
    <row r="242" spans="7:8" x14ac:dyDescent="0.25">
      <c r="H242" t="s">
        <v>193</v>
      </c>
    </row>
    <row r="254" spans="7:8" x14ac:dyDescent="0.25">
      <c r="G254" t="s">
        <v>194</v>
      </c>
    </row>
    <row r="263" spans="8:8" x14ac:dyDescent="0.25">
      <c r="H263" t="s">
        <v>195</v>
      </c>
    </row>
    <row r="277" spans="9:9" x14ac:dyDescent="0.25">
      <c r="I277" t="s">
        <v>196</v>
      </c>
    </row>
    <row r="287" spans="9:9" x14ac:dyDescent="0.25">
      <c r="I287" t="s">
        <v>197</v>
      </c>
    </row>
    <row r="299" spans="7:7" x14ac:dyDescent="0.25">
      <c r="G299" t="s">
        <v>198</v>
      </c>
    </row>
    <row r="312" spans="7:7" x14ac:dyDescent="0.25">
      <c r="G312" t="s">
        <v>199</v>
      </c>
    </row>
    <row r="324" spans="8:9" x14ac:dyDescent="0.25">
      <c r="H324" t="s">
        <v>200</v>
      </c>
    </row>
    <row r="336" spans="8:9" x14ac:dyDescent="0.25">
      <c r="I336" t="s">
        <v>201</v>
      </c>
    </row>
    <row r="347" spans="8:8" x14ac:dyDescent="0.25">
      <c r="H347" t="s">
        <v>202</v>
      </c>
    </row>
    <row r="363" spans="8:8" x14ac:dyDescent="0.25">
      <c r="H363" t="s">
        <v>203</v>
      </c>
    </row>
    <row r="379" spans="8:8" x14ac:dyDescent="0.25">
      <c r="H379" t="s">
        <v>204</v>
      </c>
    </row>
    <row r="392" spans="9:9" x14ac:dyDescent="0.25">
      <c r="I392" t="s">
        <v>205</v>
      </c>
    </row>
    <row r="406" spans="9:9" x14ac:dyDescent="0.25">
      <c r="I406" t="s">
        <v>206</v>
      </c>
    </row>
    <row r="421" spans="9:9" x14ac:dyDescent="0.25">
      <c r="I421" t="s">
        <v>207</v>
      </c>
    </row>
    <row r="435" spans="9:9" x14ac:dyDescent="0.25">
      <c r="I435" t="s">
        <v>208</v>
      </c>
    </row>
    <row r="451" spans="9:9" x14ac:dyDescent="0.25">
      <c r="I451" t="s">
        <v>209</v>
      </c>
    </row>
    <row r="464" spans="9:9" x14ac:dyDescent="0.25">
      <c r="I464" t="s">
        <v>210</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N55"/>
  <sheetViews>
    <sheetView showGridLines="0" topLeftCell="B4" zoomScale="85" zoomScaleNormal="85" workbookViewId="0">
      <selection activeCell="H11" sqref="H11"/>
    </sheetView>
  </sheetViews>
  <sheetFormatPr baseColWidth="10" defaultRowHeight="15" x14ac:dyDescent="0.25"/>
  <cols>
    <col min="2" max="2" width="20.7109375" style="7" customWidth="1"/>
    <col min="3" max="3" width="69.7109375" style="6" customWidth="1"/>
    <col min="4" max="4" width="25.42578125" style="1" customWidth="1"/>
    <col min="5" max="5" width="10.42578125" style="2" customWidth="1"/>
    <col min="6" max="6" width="13.5703125" style="2" bestFit="1" customWidth="1"/>
    <col min="7" max="7" width="16.140625" style="2" customWidth="1"/>
    <col min="8" max="8" width="26.140625" customWidth="1"/>
    <col min="12" max="12" width="15.85546875" customWidth="1"/>
    <col min="13" max="13" width="65.140625" customWidth="1"/>
    <col min="14" max="14" width="13.42578125" customWidth="1"/>
  </cols>
  <sheetData>
    <row r="2" spans="1:14" x14ac:dyDescent="0.25">
      <c r="B2" s="212" t="s">
        <v>8</v>
      </c>
      <c r="C2" s="48" t="str">
        <f>('INFO GENERAL'!B4)</f>
        <v>El Charco</v>
      </c>
    </row>
    <row r="3" spans="1:14" x14ac:dyDescent="0.25">
      <c r="B3" s="212"/>
      <c r="C3" s="48" t="str">
        <f>'INFO GENERAL'!B7</f>
        <v>Santa Barbara de iscuandé</v>
      </c>
    </row>
    <row r="4" spans="1:14" ht="30" x14ac:dyDescent="0.25">
      <c r="B4" s="27" t="str">
        <f>('INFO GENERAL'!E2)</f>
        <v>Número de beneficiarios</v>
      </c>
      <c r="C4" s="49">
        <f>('INFO GENERAL'!E7)</f>
        <v>15</v>
      </c>
    </row>
    <row r="5" spans="1:14" x14ac:dyDescent="0.25">
      <c r="B5" s="47" t="s">
        <v>17</v>
      </c>
      <c r="C5" s="50">
        <f>('INFO GENERAL'!D7)</f>
        <v>36916227</v>
      </c>
    </row>
    <row r="6" spans="1:14" x14ac:dyDescent="0.25">
      <c r="B6" s="47" t="s">
        <v>19</v>
      </c>
      <c r="C6" s="51">
        <f>(C5-G19)</f>
        <v>15000</v>
      </c>
    </row>
    <row r="8" spans="1:14" ht="34.5" customHeight="1" x14ac:dyDescent="0.25">
      <c r="B8" s="74" t="s">
        <v>12</v>
      </c>
      <c r="C8" s="75" t="s">
        <v>13</v>
      </c>
      <c r="D8" s="75" t="s">
        <v>86</v>
      </c>
      <c r="E8" s="75" t="s">
        <v>21</v>
      </c>
      <c r="F8" s="75" t="s">
        <v>22</v>
      </c>
      <c r="G8" s="75" t="s">
        <v>23</v>
      </c>
    </row>
    <row r="9" spans="1:14" ht="60" x14ac:dyDescent="0.25">
      <c r="A9" s="73" t="str">
        <f t="shared" ref="A9:A18" si="0">($C$2)</f>
        <v>El Charco</v>
      </c>
      <c r="B9" s="16" t="s">
        <v>15</v>
      </c>
      <c r="C9" s="56" t="s">
        <v>46</v>
      </c>
      <c r="D9" s="76" t="str">
        <f>+'VERIFICACIÓN CANTIDADES'!E28</f>
        <v xml:space="preserve">Bulto </v>
      </c>
      <c r="E9" s="16">
        <v>30</v>
      </c>
      <c r="F9" s="17">
        <f>+'ANALISIS COTIZACIONES'!K35</f>
        <v>80000</v>
      </c>
      <c r="G9" s="17">
        <f>+F9*E9</f>
        <v>2400000</v>
      </c>
      <c r="L9" s="21"/>
      <c r="M9" s="56" t="s">
        <v>46</v>
      </c>
      <c r="N9" s="168">
        <v>114000</v>
      </c>
    </row>
    <row r="10" spans="1:14" ht="66" customHeight="1" x14ac:dyDescent="0.25">
      <c r="A10" s="73" t="str">
        <f t="shared" si="0"/>
        <v>El Charco</v>
      </c>
      <c r="B10" s="16" t="s">
        <v>15</v>
      </c>
      <c r="C10" s="56" t="str">
        <f>+'VERIFICACIÓN CANTIDADES'!D40</f>
        <v>Herbicida foliar no selectivo con ingrediente activo paraquat al 20%, herbicida post-emergente de contacto no selectivo, ideal para controlar rápidamente malezas de hoja ancha y gramíneas, resistente a la lluvia y se inactiva al contacto con el suelo. Densidad 1.070-1.084 g/ml, pH 4-7, contenido paraquat 188-212 g/l, Categoría II. Presentación Caneca x 5 galones.</v>
      </c>
      <c r="D10" s="76" t="str">
        <f>+'VERIFICACIÓN CANTIDADES'!E40</f>
        <v xml:space="preserve">Caneca </v>
      </c>
      <c r="E10" s="16">
        <v>15</v>
      </c>
      <c r="F10" s="17">
        <f>+'ANALISIS COTIZACIONES'!K47</f>
        <v>255000</v>
      </c>
      <c r="G10" s="17">
        <f>+F10*E10</f>
        <v>3825000</v>
      </c>
      <c r="L10" s="21"/>
      <c r="M10" s="136" t="s">
        <v>68</v>
      </c>
      <c r="N10" s="168">
        <v>225000</v>
      </c>
    </row>
    <row r="11" spans="1:14" ht="51" customHeight="1" x14ac:dyDescent="0.25">
      <c r="A11" s="73" t="str">
        <f t="shared" si="0"/>
        <v>El Charco</v>
      </c>
      <c r="B11" s="16" t="s">
        <v>15</v>
      </c>
      <c r="C11" s="56" t="str">
        <f>+'VERIFICACIÓN CANTIDADES'!D42</f>
        <v xml:space="preserve">Cal dolomita proveniente de la pulverización de la roca dolomita. Calcio total (CaO) 35% - Magnesio total (MgO) 16%, pH 9.7. Bulto x 40 kilogramos </v>
      </c>
      <c r="D11" s="76" t="str">
        <f>+'VERIFICACIÓN CANTIDADES'!E42</f>
        <v xml:space="preserve">Bulto </v>
      </c>
      <c r="E11" s="16">
        <v>30</v>
      </c>
      <c r="F11" s="17">
        <f>+'ANALISIS COTIZACIONES'!K49</f>
        <v>79500</v>
      </c>
      <c r="G11" s="17">
        <f t="shared" ref="G11:G18" si="1">+F11*E11</f>
        <v>2385000</v>
      </c>
      <c r="L11" s="21"/>
      <c r="M11" s="136" t="s">
        <v>73</v>
      </c>
      <c r="N11" s="168">
        <v>605450</v>
      </c>
    </row>
    <row r="12" spans="1:14" ht="61.5" customHeight="1" x14ac:dyDescent="0.25">
      <c r="A12" s="73" t="str">
        <f t="shared" si="0"/>
        <v>El Charco</v>
      </c>
      <c r="B12" s="16" t="s">
        <v>15</v>
      </c>
      <c r="C12" s="56" t="str">
        <f>+'VERIFICACIÓN CANTIDADES'!D37</f>
        <v>Fertilizante complejo, sólido granulado soluble, de color beige pálido. Nitrógeno total (% N) 15%, Fósforo total 15%, Potasio Total 15%, azufre total 10% pH: 6,0 – 7,2. Solubilidad en agua: 90 g/100 ml. Presentación bulto x 50 Kg.</v>
      </c>
      <c r="D12" s="76" t="str">
        <f>+'VERIFICACIÓN CANTIDADES'!E37</f>
        <v>Bulto</v>
      </c>
      <c r="E12" s="16">
        <v>15</v>
      </c>
      <c r="F12" s="200">
        <f>+'ANALISIS COTIZACIONES'!K44</f>
        <v>305000</v>
      </c>
      <c r="G12" s="17">
        <f t="shared" si="1"/>
        <v>4575000</v>
      </c>
      <c r="L12" s="21"/>
      <c r="M12" s="134" t="s">
        <v>74</v>
      </c>
      <c r="N12" s="168">
        <v>9772000</v>
      </c>
    </row>
    <row r="13" spans="1:14" ht="78.75" customHeight="1" x14ac:dyDescent="0.25">
      <c r="A13" s="73" t="str">
        <f t="shared" si="0"/>
        <v>El Charco</v>
      </c>
      <c r="B13" s="16" t="s">
        <v>28</v>
      </c>
      <c r="C13" s="56" t="str">
        <f>+'VERIFICACIÓN CANTIDADES'!D12</f>
        <v>Fumigadora manual de espalda con una capacidad del Recipiente de 20 Litros en polietileno de alta densidad, capacidad de la cámara de 1 Litro, presión Máxima de Trabajo: 40 PSI (+/- 10%), lanza en acero Inoxidable, con pistón en Latón con posiciones de la Llave: Continua, Intermitente y de bloqueo total. Incluye una boquillas metálica de Cono Hueco (1000 cc), portaboquilla de uso agrícola Universal.</v>
      </c>
      <c r="D13" s="76" t="str">
        <f>+'VERIFICACIÓN CANTIDADES'!E12</f>
        <v>Unidad</v>
      </c>
      <c r="E13" s="16">
        <v>15</v>
      </c>
      <c r="F13" s="17">
        <f>+'ANALISIS COTIZACIONES'!K14</f>
        <v>575000</v>
      </c>
      <c r="G13" s="17">
        <f t="shared" si="1"/>
        <v>8625000</v>
      </c>
      <c r="L13" s="21"/>
      <c r="M13" s="134" t="s">
        <v>34</v>
      </c>
      <c r="N13" s="168">
        <v>420000</v>
      </c>
    </row>
    <row r="14" spans="1:14" ht="51.75" customHeight="1" x14ac:dyDescent="0.25">
      <c r="A14" s="73" t="str">
        <f t="shared" si="0"/>
        <v>El Charco</v>
      </c>
      <c r="B14" s="16" t="s">
        <v>28</v>
      </c>
      <c r="C14" s="56" t="str">
        <f>+'VERIFICACIÓN CANTIDADES'!D2</f>
        <v>Azada fabricada de una única pieza templada, en acero carbono de alta calidad, recubierta con pintura electrostática a polvo, lámina de tamaño 2.5 pulgadas, ojo de 38 mm de diámetro, mango de 145 cm en madera barnizada.</v>
      </c>
      <c r="D14" s="76" t="str">
        <f>+'VERIFICACIÓN CANTIDADES'!E2</f>
        <v>Unidad</v>
      </c>
      <c r="E14" s="16">
        <v>15</v>
      </c>
      <c r="F14" s="17">
        <f>+'ANALISIS COTIZACIONES'!K4</f>
        <v>114000</v>
      </c>
      <c r="G14" s="17">
        <f t="shared" si="1"/>
        <v>1710000</v>
      </c>
      <c r="L14" s="21"/>
      <c r="M14" s="134" t="s">
        <v>35</v>
      </c>
      <c r="N14" s="168">
        <v>1130000</v>
      </c>
    </row>
    <row r="15" spans="1:14" ht="99.75" x14ac:dyDescent="0.25">
      <c r="A15" s="73" t="str">
        <f t="shared" si="0"/>
        <v>El Charco</v>
      </c>
      <c r="B15" s="16" t="s">
        <v>28</v>
      </c>
      <c r="C15" s="56" t="str">
        <f>+'VERIFICACIÓN CANTIDADES'!D27</f>
        <v>Tanque de plástico (polietileno) con capacidad de 500 litros para almacenamiento de agua potable diámetro aprox 105 cm, ancho aprox 105 cm, alto aprox 103 cm, con capa interior virgen, avalados por NTC 5022 y NTC 4384, con recubrimiento que evite la producción de algas y bacterias, con aditivo U.V para el bloqueo de rayos ultravioletas.</v>
      </c>
      <c r="D15" s="76" t="str">
        <f>+'VERIFICACIÓN CANTIDADES'!E27</f>
        <v>Unidad</v>
      </c>
      <c r="E15" s="16">
        <v>15</v>
      </c>
      <c r="F15" s="17">
        <f>+'ANALISIS COTIZACIONES'!K29</f>
        <v>305000</v>
      </c>
      <c r="G15" s="17">
        <f t="shared" si="1"/>
        <v>4575000</v>
      </c>
      <c r="L15" s="21"/>
      <c r="M15" s="136" t="s">
        <v>65</v>
      </c>
      <c r="N15" s="168">
        <v>3650000</v>
      </c>
    </row>
    <row r="16" spans="1:14" ht="68.25" customHeight="1" x14ac:dyDescent="0.25">
      <c r="A16" s="73" t="str">
        <f t="shared" si="0"/>
        <v>El Charco</v>
      </c>
      <c r="B16" s="16" t="s">
        <v>28</v>
      </c>
      <c r="C16" s="56" t="str">
        <f>+'VERIFICACIÓN CANTIDADES'!D17</f>
        <v>Motocultor con motor Diesel de 4T y 296cc con sistema de arranque manual y abarca en promedio unos 400m²/hora con su trabajo de labranza de entre 180 y 300 mm de profundidad y de entre 1050 y 1350 mm de ancho de transmisión por engranajes, clutch de plato húmedo, palanca de cambios con reversa – marcha 2 – neutro – 1, peso de 160 kilogramos, ruedas de 8 pulgadas.</v>
      </c>
      <c r="D16" s="76" t="str">
        <f>+'VERIFICACIÓN CANTIDADES'!E17</f>
        <v>Unidad</v>
      </c>
      <c r="E16" s="16">
        <v>1</v>
      </c>
      <c r="F16" s="17">
        <f>+'ANALISIS COTIZACIONES'!K19</f>
        <v>4930327</v>
      </c>
      <c r="G16" s="17">
        <f t="shared" si="1"/>
        <v>4930327</v>
      </c>
      <c r="H16" s="13"/>
      <c r="L16" s="21"/>
      <c r="M16" s="136" t="s">
        <v>66</v>
      </c>
      <c r="N16" s="168">
        <v>320000</v>
      </c>
    </row>
    <row r="17" spans="1:14" ht="57" x14ac:dyDescent="0.25">
      <c r="A17" s="73" t="str">
        <f t="shared" si="0"/>
        <v>El Charco</v>
      </c>
      <c r="B17" s="16" t="s">
        <v>28</v>
      </c>
      <c r="C17" s="56" t="str">
        <f>+'VERIFICACIÓN CANTIDADES'!D11</f>
        <v>Fumigadora Estacionaria con motor de 5.5 Hp a Gasolina, con bomba automática para un caudal entre 20 - 40 Litros por minuto, presión entre 145 – 580 PSI</v>
      </c>
      <c r="D17" s="76" t="str">
        <f>+'VERIFICACIÓN CANTIDADES'!E11</f>
        <v>Unidad</v>
      </c>
      <c r="E17" s="16">
        <v>1</v>
      </c>
      <c r="F17" s="17">
        <f>+'ANALISIS COTIZACIONES'!K13</f>
        <v>1637900</v>
      </c>
      <c r="G17" s="17">
        <f t="shared" si="1"/>
        <v>1637900</v>
      </c>
      <c r="L17" s="21"/>
      <c r="M17" s="134" t="s">
        <v>67</v>
      </c>
      <c r="N17" s="168">
        <v>453989</v>
      </c>
    </row>
    <row r="18" spans="1:14" ht="72" x14ac:dyDescent="0.25">
      <c r="A18" s="73" t="str">
        <f t="shared" si="0"/>
        <v>El Charco</v>
      </c>
      <c r="B18" s="16" t="s">
        <v>28</v>
      </c>
      <c r="C18" s="56" t="str">
        <f>+'VERIFICACIÓN CANTIDADES'!D14</f>
        <v>Guadaña con motor de dos tiempos con un rango de  40 CC a 45 CC, potencia de 1,6 - 2.2 KW, peso entre 6 - 6.3 kilogramos, presión acústica 90 - 96 dB, vibraciones izquierda/derecha 6,4/3,4 m/s2, cuchilla matorrales, capacidad de depósito 0,64 litros, eje de transmisión rígido, sistema anti vibración de un punto, longitud total (sin herramienta de corte) 190 centímetros, ancho de corte mínimo de 41 a 42 cm con cabezal de nylon. Incluye puñadura ergonómica multifuncional.</v>
      </c>
      <c r="D18" s="76" t="str">
        <f>+'VERIFICACIÓN CANTIDADES'!E14</f>
        <v>Unidad</v>
      </c>
      <c r="E18" s="16">
        <v>1</v>
      </c>
      <c r="F18" s="17">
        <f>+'ANALISIS COTIZACIONES'!K16</f>
        <v>2238000</v>
      </c>
      <c r="G18" s="17">
        <f t="shared" si="1"/>
        <v>2238000</v>
      </c>
      <c r="L18" s="21"/>
      <c r="M18" s="134" t="s">
        <v>36</v>
      </c>
      <c r="N18" s="168">
        <v>1637900</v>
      </c>
    </row>
    <row r="19" spans="1:14" ht="20.25" customHeight="1" x14ac:dyDescent="0.25">
      <c r="B19" s="213" t="s">
        <v>18</v>
      </c>
      <c r="C19" s="214"/>
      <c r="D19" s="214"/>
      <c r="E19" s="215"/>
      <c r="F19" s="169">
        <f>+SUM(F9:F18)</f>
        <v>10519727</v>
      </c>
      <c r="G19" s="169">
        <f>+SUM(G9:G18)</f>
        <v>36901227</v>
      </c>
      <c r="L19" s="18"/>
      <c r="M19" s="134" t="s">
        <v>62</v>
      </c>
      <c r="N19" s="168">
        <v>575000</v>
      </c>
    </row>
    <row r="20" spans="1:14" ht="85.5" x14ac:dyDescent="0.25">
      <c r="M20" s="134" t="s">
        <v>75</v>
      </c>
      <c r="N20" s="168">
        <v>250000</v>
      </c>
    </row>
    <row r="21" spans="1:14" ht="114" x14ac:dyDescent="0.25">
      <c r="M21" s="134" t="s">
        <v>63</v>
      </c>
      <c r="N21" s="168">
        <v>2238000</v>
      </c>
    </row>
    <row r="22" spans="1:14" ht="128.25" x14ac:dyDescent="0.25">
      <c r="M22" s="134" t="s">
        <v>37</v>
      </c>
      <c r="N22" s="168">
        <v>211000</v>
      </c>
    </row>
    <row r="23" spans="1:14" ht="327.75" x14ac:dyDescent="0.25">
      <c r="M23" s="136" t="s">
        <v>76</v>
      </c>
      <c r="N23" s="168">
        <v>420000</v>
      </c>
    </row>
    <row r="24" spans="1:14" ht="85.5" x14ac:dyDescent="0.25">
      <c r="M24" s="134" t="s">
        <v>38</v>
      </c>
      <c r="N24" s="168">
        <v>4930327</v>
      </c>
    </row>
    <row r="25" spans="1:14" ht="28.5" x14ac:dyDescent="0.25">
      <c r="M25" s="134" t="s">
        <v>39</v>
      </c>
      <c r="N25" s="168">
        <v>83000</v>
      </c>
    </row>
    <row r="26" spans="1:14" ht="42.75" x14ac:dyDescent="0.25">
      <c r="M26" s="134" t="s">
        <v>29</v>
      </c>
      <c r="N26" s="168">
        <v>200000</v>
      </c>
    </row>
    <row r="27" spans="1:14" ht="171" x14ac:dyDescent="0.25">
      <c r="M27" s="136" t="s">
        <v>40</v>
      </c>
      <c r="N27" s="168">
        <v>6880000</v>
      </c>
    </row>
    <row r="28" spans="1:14" ht="85.5" x14ac:dyDescent="0.25">
      <c r="M28" s="134" t="s">
        <v>41</v>
      </c>
      <c r="N28" s="168">
        <v>2065900</v>
      </c>
    </row>
    <row r="29" spans="1:14" ht="71.25" x14ac:dyDescent="0.25">
      <c r="M29" s="136" t="s">
        <v>42</v>
      </c>
      <c r="N29" s="168">
        <v>248088</v>
      </c>
    </row>
    <row r="30" spans="1:14" ht="114" x14ac:dyDescent="0.25">
      <c r="M30" s="136" t="s">
        <v>43</v>
      </c>
      <c r="N30" s="168">
        <v>374182</v>
      </c>
    </row>
    <row r="31" spans="1:14" ht="42.75" x14ac:dyDescent="0.25">
      <c r="M31" s="134" t="s">
        <v>44</v>
      </c>
      <c r="N31" s="168">
        <v>60000</v>
      </c>
    </row>
    <row r="32" spans="1:14" ht="128.25" x14ac:dyDescent="0.25">
      <c r="M32" s="136" t="s">
        <v>45</v>
      </c>
      <c r="N32" s="168">
        <v>11800000</v>
      </c>
    </row>
    <row r="33" spans="13:14" ht="85.5" x14ac:dyDescent="0.25">
      <c r="M33" s="134" t="s">
        <v>107</v>
      </c>
      <c r="N33" s="168">
        <v>600000</v>
      </c>
    </row>
    <row r="34" spans="13:14" ht="85.5" x14ac:dyDescent="0.25">
      <c r="M34" s="134" t="s">
        <v>106</v>
      </c>
      <c r="N34" s="168">
        <v>305000</v>
      </c>
    </row>
    <row r="35" spans="13:14" ht="85.5" x14ac:dyDescent="0.25">
      <c r="M35" s="134" t="s">
        <v>46</v>
      </c>
      <c r="N35" s="168">
        <v>80000</v>
      </c>
    </row>
    <row r="36" spans="13:14" ht="42.75" x14ac:dyDescent="0.25">
      <c r="M36" s="139" t="s">
        <v>47</v>
      </c>
      <c r="N36" s="168">
        <v>370</v>
      </c>
    </row>
    <row r="37" spans="13:14" ht="42.75" x14ac:dyDescent="0.25">
      <c r="M37" s="134" t="s">
        <v>48</v>
      </c>
      <c r="N37" s="168">
        <v>45000</v>
      </c>
    </row>
    <row r="38" spans="13:14" ht="57" x14ac:dyDescent="0.25">
      <c r="M38" s="134" t="s">
        <v>49</v>
      </c>
      <c r="N38" s="168">
        <v>155000</v>
      </c>
    </row>
    <row r="39" spans="13:14" ht="42.75" x14ac:dyDescent="0.25">
      <c r="M39" s="137" t="s">
        <v>50</v>
      </c>
      <c r="N39" s="168">
        <v>135420</v>
      </c>
    </row>
    <row r="40" spans="13:14" ht="42.75" x14ac:dyDescent="0.25">
      <c r="M40" s="137" t="s">
        <v>79</v>
      </c>
      <c r="N40" s="168">
        <v>153720</v>
      </c>
    </row>
    <row r="41" spans="13:14" ht="42.75" x14ac:dyDescent="0.25">
      <c r="M41" s="137" t="s">
        <v>51</v>
      </c>
      <c r="N41" s="168">
        <v>179340</v>
      </c>
    </row>
    <row r="42" spans="13:14" ht="42.75" x14ac:dyDescent="0.25">
      <c r="M42" s="137" t="s">
        <v>52</v>
      </c>
      <c r="N42" s="168">
        <v>228140</v>
      </c>
    </row>
    <row r="43" spans="13:14" ht="71.25" x14ac:dyDescent="0.25">
      <c r="M43" s="134" t="s">
        <v>57</v>
      </c>
      <c r="N43" s="168">
        <v>20127</v>
      </c>
    </row>
    <row r="44" spans="13:14" ht="57" x14ac:dyDescent="0.25">
      <c r="M44" s="134" t="s">
        <v>58</v>
      </c>
      <c r="N44" s="168">
        <v>305000</v>
      </c>
    </row>
    <row r="45" spans="13:14" ht="42.75" x14ac:dyDescent="0.25">
      <c r="M45" s="134" t="s">
        <v>80</v>
      </c>
      <c r="N45" s="168">
        <v>245000</v>
      </c>
    </row>
    <row r="46" spans="13:14" ht="57" x14ac:dyDescent="0.25">
      <c r="M46" s="134" t="s">
        <v>59</v>
      </c>
      <c r="N46" s="168">
        <v>131035</v>
      </c>
    </row>
    <row r="47" spans="13:14" ht="85.5" x14ac:dyDescent="0.25">
      <c r="M47" s="134" t="s">
        <v>61</v>
      </c>
      <c r="N47" s="168">
        <v>255000</v>
      </c>
    </row>
    <row r="48" spans="13:14" ht="42.75" x14ac:dyDescent="0.25">
      <c r="M48" s="134" t="s">
        <v>56</v>
      </c>
      <c r="N48" s="168">
        <v>48200</v>
      </c>
    </row>
    <row r="49" spans="13:14" ht="42.75" x14ac:dyDescent="0.25">
      <c r="M49" s="134" t="s">
        <v>81</v>
      </c>
      <c r="N49" s="168">
        <v>79500</v>
      </c>
    </row>
    <row r="50" spans="13:14" ht="71.25" x14ac:dyDescent="0.25">
      <c r="M50" s="134" t="s">
        <v>82</v>
      </c>
      <c r="N50" s="168">
        <v>38400</v>
      </c>
    </row>
    <row r="51" spans="13:14" ht="28.5" x14ac:dyDescent="0.25">
      <c r="M51" s="134" t="s">
        <v>60</v>
      </c>
      <c r="N51" s="168">
        <v>300</v>
      </c>
    </row>
    <row r="52" spans="13:14" ht="57" x14ac:dyDescent="0.25">
      <c r="M52" s="134" t="s">
        <v>83</v>
      </c>
      <c r="N52" s="168">
        <v>20150</v>
      </c>
    </row>
    <row r="53" spans="13:14" x14ac:dyDescent="0.25">
      <c r="M53" s="134" t="s">
        <v>55</v>
      </c>
      <c r="N53" s="168">
        <v>17000</v>
      </c>
    </row>
    <row r="54" spans="13:14" ht="85.5" x14ac:dyDescent="0.25">
      <c r="M54" s="136" t="s">
        <v>53</v>
      </c>
      <c r="N54" s="168">
        <v>40700</v>
      </c>
    </row>
    <row r="55" spans="13:14" ht="42.75" x14ac:dyDescent="0.25">
      <c r="M55" s="134" t="s">
        <v>54</v>
      </c>
      <c r="N55" s="168">
        <v>19600</v>
      </c>
    </row>
  </sheetData>
  <mergeCells count="2">
    <mergeCell ref="B2:B3"/>
    <mergeCell ref="B19:E19"/>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H19"/>
  <sheetViews>
    <sheetView showGridLines="0" topLeftCell="A7" zoomScale="85" zoomScaleNormal="85" workbookViewId="0">
      <selection activeCell="H13" sqref="H13"/>
    </sheetView>
  </sheetViews>
  <sheetFormatPr baseColWidth="10" defaultRowHeight="15" x14ac:dyDescent="0.25"/>
  <cols>
    <col min="1" max="1" width="13.42578125" customWidth="1"/>
    <col min="2" max="2" width="20.7109375" style="29" customWidth="1"/>
    <col min="3" max="3" width="69.140625" style="11" customWidth="1"/>
    <col min="4" max="4" width="19.42578125" style="2" customWidth="1"/>
    <col min="5" max="5" width="11" style="2" customWidth="1"/>
    <col min="6" max="6" width="13.5703125" style="2" bestFit="1" customWidth="1"/>
    <col min="7" max="7" width="16.140625" style="2" customWidth="1"/>
    <col min="8" max="8" width="26.140625" customWidth="1"/>
  </cols>
  <sheetData>
    <row r="2" spans="1:8" x14ac:dyDescent="0.25">
      <c r="B2" s="216" t="s">
        <v>8</v>
      </c>
      <c r="C2" s="28" t="str">
        <f>('INFO GENERAL'!B4)</f>
        <v>El Charco</v>
      </c>
    </row>
    <row r="3" spans="1:8" x14ac:dyDescent="0.25">
      <c r="B3" s="217"/>
      <c r="C3" s="28" t="str">
        <f>'INFO GENERAL'!B7</f>
        <v>Santa Barbara de iscuandé</v>
      </c>
    </row>
    <row r="4" spans="1:8" ht="30" x14ac:dyDescent="0.25">
      <c r="B4" s="28" t="str">
        <f>('INFO GENERAL'!E2)</f>
        <v>Número de beneficiarios</v>
      </c>
      <c r="C4" s="78">
        <f>('INFO GENERAL'!E7)</f>
        <v>15</v>
      </c>
    </row>
    <row r="5" spans="1:8" x14ac:dyDescent="0.25">
      <c r="B5" s="4" t="s">
        <v>17</v>
      </c>
      <c r="C5" s="79">
        <f>('INFO GENERAL'!D7)</f>
        <v>36916227</v>
      </c>
    </row>
    <row r="6" spans="1:8" x14ac:dyDescent="0.25">
      <c r="B6" s="4" t="s">
        <v>19</v>
      </c>
      <c r="C6" s="80">
        <f>(C5-G19)</f>
        <v>15000</v>
      </c>
    </row>
    <row r="8" spans="1:8" ht="27" customHeight="1" x14ac:dyDescent="0.25">
      <c r="B8" s="75" t="s">
        <v>12</v>
      </c>
      <c r="C8" s="75" t="s">
        <v>13</v>
      </c>
      <c r="D8" s="75" t="s">
        <v>86</v>
      </c>
      <c r="E8" s="75" t="s">
        <v>21</v>
      </c>
      <c r="F8" s="75" t="s">
        <v>22</v>
      </c>
      <c r="G8" s="75" t="s">
        <v>23</v>
      </c>
    </row>
    <row r="9" spans="1:8" ht="60" x14ac:dyDescent="0.25">
      <c r="A9" s="18" t="str">
        <f t="shared" ref="A9:A18" si="0">($C$3)</f>
        <v>Santa Barbara de iscuandé</v>
      </c>
      <c r="B9" s="16" t="s">
        <v>15</v>
      </c>
      <c r="C9" s="52" t="str">
        <f>+'VERIFICACIÓN CANTIDADES'!D28</f>
        <v>Abono orgánico mezclado con materiales de origen orgánico animal y vegetal que han sido sometidos a un proceso de compostaje y maduración, con una composición mínima de nitrógeno al 1,5%, Fosforo asimilable al 4% y Potasio soluble al 3,5%, Calcio (CaO) 10%, Magnesio total (MgO) 1.3%, Carbono orgánico oxidable 19% . Bulto x 40 kg.</v>
      </c>
      <c r="D9" s="53" t="str">
        <f>+'VERIFICACIÓN CANTIDADES'!E28</f>
        <v xml:space="preserve">Bulto </v>
      </c>
      <c r="E9" s="16">
        <v>30</v>
      </c>
      <c r="F9" s="17">
        <f>+'ANALISIS COTIZACIONES'!K35</f>
        <v>80000</v>
      </c>
      <c r="G9" s="17">
        <f>+F9*E9</f>
        <v>2400000</v>
      </c>
    </row>
    <row r="10" spans="1:8" ht="65.25" customHeight="1" x14ac:dyDescent="0.25">
      <c r="A10" s="18" t="str">
        <f t="shared" si="0"/>
        <v>Santa Barbara de iscuandé</v>
      </c>
      <c r="B10" s="16" t="s">
        <v>15</v>
      </c>
      <c r="C10" s="55" t="str">
        <f>+'VERIFICACIÓN CANTIDADES'!D40</f>
        <v>Herbicida foliar no selectivo con ingrediente activo paraquat al 20%, herbicida post-emergente de contacto no selectivo, ideal para controlar rápidamente malezas de hoja ancha y gramíneas, resistente a la lluvia y se inactiva al contacto con el suelo. Densidad 1.070-1.084 g/ml, pH 4-7, contenido paraquat 188-212 g/l, Categoría II. Presentación Caneca x 5 galones.</v>
      </c>
      <c r="D10" s="53" t="str">
        <f>+'VERIFICACIÓN CANTIDADES'!E40</f>
        <v xml:space="preserve">Caneca </v>
      </c>
      <c r="E10" s="16">
        <v>15</v>
      </c>
      <c r="F10" s="17">
        <f>+'ANALISIS COTIZACIONES'!K47</f>
        <v>255000</v>
      </c>
      <c r="G10" s="17">
        <f t="shared" ref="G10:G18" si="1">+F10*E10</f>
        <v>3825000</v>
      </c>
    </row>
    <row r="11" spans="1:8" ht="29.25" customHeight="1" x14ac:dyDescent="0.25">
      <c r="A11" s="18" t="str">
        <f t="shared" si="0"/>
        <v>Santa Barbara de iscuandé</v>
      </c>
      <c r="B11" s="16" t="s">
        <v>15</v>
      </c>
      <c r="C11" s="55" t="str">
        <f>+'VERIFICACIÓN CANTIDADES'!D42</f>
        <v xml:space="preserve">Cal dolomita proveniente de la pulverización de la roca dolomita. Calcio total (CaO) 35% - Magnesio total (MgO) 16%, pH 9.7. Bulto x 40 kilogramos </v>
      </c>
      <c r="D11" s="53" t="str">
        <f>+'VERIFICACIÓN CANTIDADES'!E42</f>
        <v xml:space="preserve">Bulto </v>
      </c>
      <c r="E11" s="16">
        <v>30</v>
      </c>
      <c r="F11" s="17">
        <f>+'ANALISIS COTIZACIONES'!K49</f>
        <v>79500</v>
      </c>
      <c r="G11" s="17">
        <f t="shared" si="1"/>
        <v>2385000</v>
      </c>
    </row>
    <row r="12" spans="1:8" ht="39.75" customHeight="1" x14ac:dyDescent="0.25">
      <c r="A12" s="18" t="str">
        <f t="shared" si="0"/>
        <v>Santa Barbara de iscuandé</v>
      </c>
      <c r="B12" s="16" t="s">
        <v>15</v>
      </c>
      <c r="C12" s="55" t="str">
        <f>+'VERIFICACIÓN CANTIDADES'!D37</f>
        <v>Fertilizante complejo, sólido granulado soluble, de color beige pálido. Nitrógeno total (% N) 15%, Fósforo total 15%, Potasio Total 15%, azufre total 10% pH: 6,0 – 7,2. Solubilidad en agua: 90 g/100 ml. Presentación bulto x 50 Kg.</v>
      </c>
      <c r="D12" s="53" t="str">
        <f>+'VERIFICACIÓN CANTIDADES'!E37</f>
        <v>Bulto</v>
      </c>
      <c r="E12" s="16">
        <v>15</v>
      </c>
      <c r="F12" s="200">
        <f>+'ANALISIS COTIZACIONES'!K44</f>
        <v>305000</v>
      </c>
      <c r="G12" s="17">
        <f t="shared" si="1"/>
        <v>4575000</v>
      </c>
    </row>
    <row r="13" spans="1:8" ht="36" x14ac:dyDescent="0.25">
      <c r="A13" s="18" t="str">
        <f t="shared" si="0"/>
        <v>Santa Barbara de iscuandé</v>
      </c>
      <c r="B13" s="16" t="s">
        <v>28</v>
      </c>
      <c r="C13" s="55" t="str">
        <f>+'VERIFICACIÓN CANTIDADES'!D2</f>
        <v>Azada fabricada de una única pieza templada, en acero carbono de alta calidad, recubierta con pintura electrostática a polvo, lámina de tamaño 2.5 pulgadas, ojo de 38 mm de diámetro, mango de 145 cm en madera barnizada.</v>
      </c>
      <c r="D13" s="53" t="str">
        <f>+'VERIFICACIÓN CANTIDADES'!E2</f>
        <v>Unidad</v>
      </c>
      <c r="E13" s="16">
        <v>15</v>
      </c>
      <c r="F13" s="17">
        <f>+'ANALISIS COTIZACIONES'!K4</f>
        <v>114000</v>
      </c>
      <c r="G13" s="17">
        <f t="shared" si="1"/>
        <v>1710000</v>
      </c>
    </row>
    <row r="14" spans="1:8" ht="60" x14ac:dyDescent="0.25">
      <c r="A14" s="18" t="str">
        <f t="shared" si="0"/>
        <v>Santa Barbara de iscuandé</v>
      </c>
      <c r="B14" s="16" t="s">
        <v>28</v>
      </c>
      <c r="C14" s="56" t="str">
        <f>+'VERIFICACIÓN CANTIDADES'!D27</f>
        <v>Tanque de plástico (polietileno) con capacidad de 500 litros para almacenamiento de agua potable diámetro aprox 105 cm, ancho aprox 105 cm, alto aprox 103 cm, con capa interior virgen, avalados por NTC 5022 y NTC 4384, con recubrimiento que evite la producción de algas y bacterias, con aditivo U.V para el bloqueo de rayos ultravioletas.</v>
      </c>
      <c r="D14" s="76" t="str">
        <f>+'VERIFICACIÓN CANTIDADES'!E27</f>
        <v>Unidad</v>
      </c>
      <c r="E14" s="16">
        <v>15</v>
      </c>
      <c r="F14" s="17">
        <f>+'ANALISIS COTIZACIONES'!K29</f>
        <v>305000</v>
      </c>
      <c r="G14" s="17">
        <f t="shared" si="1"/>
        <v>4575000</v>
      </c>
    </row>
    <row r="15" spans="1:8" ht="72" x14ac:dyDescent="0.25">
      <c r="A15" s="18" t="str">
        <f t="shared" si="0"/>
        <v>Santa Barbara de iscuandé</v>
      </c>
      <c r="B15" s="16" t="s">
        <v>28</v>
      </c>
      <c r="C15" s="52" t="str">
        <f>+'VERIFICACIÓN CANTIDADES'!D12</f>
        <v>Fumigadora manual de espalda con una capacidad del Recipiente de 20 Litros en polietileno de alta densidad, capacidad de la cámara de 1 Litro, presión Máxima de Trabajo: 40 PSI (+/- 10%), lanza en acero Inoxidable, con pistón en Latón con posiciones de la Llave: Continua, Intermitente y de bloqueo total. Incluye una boquillas metálica de Cono Hueco (1000 cc), portaboquilla de uso agrícola Universal.</v>
      </c>
      <c r="D15" s="53" t="str">
        <f>+'VERIFICACIÓN CANTIDADES'!E12</f>
        <v>Unidad</v>
      </c>
      <c r="E15" s="16">
        <v>15</v>
      </c>
      <c r="F15" s="170">
        <f>+'ANALISIS COTIZACIONES'!K14</f>
        <v>575000</v>
      </c>
      <c r="G15" s="17">
        <f t="shared" si="1"/>
        <v>8625000</v>
      </c>
    </row>
    <row r="16" spans="1:8" ht="64.5" customHeight="1" x14ac:dyDescent="0.25">
      <c r="A16" s="18" t="str">
        <f t="shared" si="0"/>
        <v>Santa Barbara de iscuandé</v>
      </c>
      <c r="B16" s="16" t="s">
        <v>28</v>
      </c>
      <c r="C16" s="52" t="str">
        <f>+'VERIFICACIÓN CANTIDADES'!D17</f>
        <v>Motocultor con motor Diesel de 4T y 296cc con sistema de arranque manual y abarca en promedio unos 400m²/hora con su trabajo de labranza de entre 180 y 300 mm de profundidad y de entre 1050 y 1350 mm de ancho de transmisión por engranajes, clutch de plato húmedo, palanca de cambios con reversa – marcha 2 – neutro – 1, peso de 160 kilogramos, ruedas de 8 pulgadas.</v>
      </c>
      <c r="D16" s="53" t="str">
        <f>+'VERIFICACIÓN CANTIDADES'!E17</f>
        <v>Unidad</v>
      </c>
      <c r="E16" s="16">
        <v>1</v>
      </c>
      <c r="F16" s="17">
        <f>+'ANALISIS COTIZACIONES'!K19</f>
        <v>4930327</v>
      </c>
      <c r="G16" s="17">
        <f t="shared" si="1"/>
        <v>4930327</v>
      </c>
      <c r="H16" s="13"/>
    </row>
    <row r="17" spans="1:7" ht="30" x14ac:dyDescent="0.25">
      <c r="A17" s="18" t="str">
        <f t="shared" si="0"/>
        <v>Santa Barbara de iscuandé</v>
      </c>
      <c r="B17" s="16" t="s">
        <v>28</v>
      </c>
      <c r="C17" s="52" t="str">
        <f>+'VERIFICACIÓN CANTIDADES'!D11</f>
        <v>Fumigadora Estacionaria con motor de 5.5 Hp a Gasolina, con bomba automática para un caudal entre 20 - 40 Litros por minuto, presión entre 145 – 580 PSI</v>
      </c>
      <c r="D17" s="53" t="str">
        <f>+'VERIFICACIÓN CANTIDADES'!E11</f>
        <v>Unidad</v>
      </c>
      <c r="E17" s="16">
        <v>1</v>
      </c>
      <c r="F17" s="17">
        <f>+'ANALISIS COTIZACIONES'!K13</f>
        <v>1637900</v>
      </c>
      <c r="G17" s="17">
        <f t="shared" si="1"/>
        <v>1637900</v>
      </c>
    </row>
    <row r="18" spans="1:7" ht="78" customHeight="1" x14ac:dyDescent="0.25">
      <c r="A18" s="18" t="str">
        <f t="shared" si="0"/>
        <v>Santa Barbara de iscuandé</v>
      </c>
      <c r="B18" s="16" t="s">
        <v>28</v>
      </c>
      <c r="C18" s="52" t="str">
        <f>+'VERIFICACIÓN CANTIDADES'!D14</f>
        <v>Guadaña con motor de dos tiempos con un rango de  40 CC a 45 CC, potencia de 1,6 - 2.2 KW, peso entre 6 - 6.3 kilogramos, presión acústica 90 - 96 dB, vibraciones izquierda/derecha 6,4/3,4 m/s2, cuchilla matorrales, capacidad de depósito 0,64 litros, eje de transmisión rígido, sistema anti vibración de un punto, longitud total (sin herramienta de corte) 190 centímetros, ancho de corte mínimo de 41 a 42 cm con cabezal de nylon. Incluye puñadura ergonómica multifuncional.</v>
      </c>
      <c r="D18" s="53" t="str">
        <f>+'VERIFICACIÓN CANTIDADES'!E14</f>
        <v>Unidad</v>
      </c>
      <c r="E18" s="16">
        <v>1</v>
      </c>
      <c r="F18" s="17">
        <f>+'ANALISIS COTIZACIONES'!K16</f>
        <v>2238000</v>
      </c>
      <c r="G18" s="17">
        <f t="shared" si="1"/>
        <v>2238000</v>
      </c>
    </row>
    <row r="19" spans="1:7" x14ac:dyDescent="0.25">
      <c r="B19" s="213" t="s">
        <v>18</v>
      </c>
      <c r="C19" s="214"/>
      <c r="D19" s="214"/>
      <c r="E19" s="215"/>
      <c r="F19" s="169">
        <f>+SUM(F9:F18)</f>
        <v>10519727</v>
      </c>
      <c r="G19" s="169">
        <f>+SUM(G9:G18)</f>
        <v>36901227</v>
      </c>
    </row>
  </sheetData>
  <mergeCells count="2">
    <mergeCell ref="B2:B3"/>
    <mergeCell ref="B19:E19"/>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K20"/>
  <sheetViews>
    <sheetView showGridLines="0" zoomScale="85" zoomScaleNormal="85" workbookViewId="0">
      <selection activeCell="F19" sqref="F19"/>
    </sheetView>
  </sheetViews>
  <sheetFormatPr baseColWidth="10" defaultRowHeight="12" x14ac:dyDescent="0.2"/>
  <cols>
    <col min="1" max="1" width="11.42578125" style="57"/>
    <col min="2" max="2" width="18.140625" style="91" customWidth="1"/>
    <col min="3" max="3" width="65.7109375" style="96" customWidth="1"/>
    <col min="4" max="4" width="14.28515625" style="82" customWidth="1"/>
    <col min="5" max="5" width="11.42578125" style="82"/>
    <col min="6" max="6" width="16.140625" style="57" customWidth="1"/>
    <col min="7" max="7" width="14.140625" style="57" bestFit="1" customWidth="1"/>
    <col min="8" max="8" width="25.140625" style="57" customWidth="1"/>
    <col min="9" max="10" width="0" style="57" hidden="1" customWidth="1"/>
    <col min="11" max="16384" width="11.42578125" style="57"/>
  </cols>
  <sheetData>
    <row r="2" spans="1:11" x14ac:dyDescent="0.2">
      <c r="B2" s="62" t="s">
        <v>8</v>
      </c>
      <c r="C2" s="92" t="str">
        <f>('INFO GENERAL'!B5)</f>
        <v>Mosquera</v>
      </c>
    </row>
    <row r="3" spans="1:11" ht="24" x14ac:dyDescent="0.2">
      <c r="B3" s="83" t="str">
        <f>('INFO GENERAL'!E2)</f>
        <v>Número de beneficiarios</v>
      </c>
      <c r="C3" s="93">
        <f>('INFO GENERAL'!E7)</f>
        <v>15</v>
      </c>
    </row>
    <row r="4" spans="1:11" x14ac:dyDescent="0.2">
      <c r="B4" s="62" t="s">
        <v>17</v>
      </c>
      <c r="C4" s="94">
        <f>('INFO GENERAL'!D5)</f>
        <v>36916227</v>
      </c>
    </row>
    <row r="5" spans="1:11" x14ac:dyDescent="0.2">
      <c r="B5" s="62" t="s">
        <v>19</v>
      </c>
      <c r="C5" s="95">
        <f>(C4-G20)</f>
        <v>17</v>
      </c>
    </row>
    <row r="8" spans="1:11" ht="24" x14ac:dyDescent="0.2">
      <c r="B8" s="84" t="s">
        <v>12</v>
      </c>
      <c r="C8" s="85" t="s">
        <v>13</v>
      </c>
      <c r="D8" s="85" t="s">
        <v>86</v>
      </c>
      <c r="E8" s="85" t="s">
        <v>21</v>
      </c>
      <c r="F8" s="85" t="s">
        <v>22</v>
      </c>
      <c r="G8" s="85" t="s">
        <v>23</v>
      </c>
    </row>
    <row r="9" spans="1:11" ht="48" x14ac:dyDescent="0.2">
      <c r="A9" s="86" t="str">
        <f>($C$2)</f>
        <v>Mosquera</v>
      </c>
      <c r="B9" s="76" t="s">
        <v>15</v>
      </c>
      <c r="C9" s="52" t="str">
        <f>+'VERIFICACIÓN CANTIDADES'!D36</f>
        <v>Feromonas de Segregación Rhynchophorol C. Feromona sintética imitante de la señal química del compuesto orgánico secretado por los machos de la especie mencionada para atraer individuos de ambos sexos y de esta forma capturarlos en el trampeo masivo. Sobre x 0,5 ml.</v>
      </c>
      <c r="D9" s="52" t="str">
        <f>+'VERIFICACIÓN CANTIDADES'!E36</f>
        <v>Unidad</v>
      </c>
      <c r="E9" s="87">
        <v>30</v>
      </c>
      <c r="F9" s="88">
        <f>+'ANALISIS COTIZACIONES'!K43</f>
        <v>20127</v>
      </c>
      <c r="G9" s="89">
        <f>+F9*E9</f>
        <v>603810</v>
      </c>
      <c r="K9" s="90"/>
    </row>
    <row r="10" spans="1:11" ht="48" x14ac:dyDescent="0.2">
      <c r="A10" s="86" t="str">
        <f t="shared" ref="A10:A19" si="0">($C$2)</f>
        <v>Mosquera</v>
      </c>
      <c r="B10" s="76" t="s">
        <v>15</v>
      </c>
      <c r="C10" s="54" t="str">
        <f>+'VERIFICACIÓN CANTIDADES'!D43</f>
        <v>Melaza de Caña Liquida como producto derivado de la caña de azúcar, con aspecto de color marrón oscuro, líquido denso y viscoso, de sabor dulce y ligeramente amargo. Composición: Azucares Totales mínimo 48%, cenizas sulfatadas máximo 16%, grados °brix 85. Presentación Bulto x 30 kg.</v>
      </c>
      <c r="D10" s="54" t="str">
        <f>+'VERIFICACIÓN CANTIDADES'!E43</f>
        <v>Bulto</v>
      </c>
      <c r="E10" s="87">
        <v>15</v>
      </c>
      <c r="F10" s="88">
        <f>+'ANALISIS COTIZACIONES'!K50</f>
        <v>38400</v>
      </c>
      <c r="G10" s="89">
        <f t="shared" ref="G10:G19" si="1">+F10*E10</f>
        <v>576000</v>
      </c>
      <c r="K10" s="90"/>
    </row>
    <row r="11" spans="1:11" ht="24" x14ac:dyDescent="0.2">
      <c r="A11" s="86" t="str">
        <f t="shared" si="0"/>
        <v>Mosquera</v>
      </c>
      <c r="B11" s="76" t="s">
        <v>15</v>
      </c>
      <c r="C11" s="54" t="str">
        <f>+'VERIFICACIÓN CANTIDADES'!D41</f>
        <v>Insecticida piretroide, con principio activo Lambdacialotrina al 2,5% CE, Densidad: 0,800 +/- 0,010 g/mL pH: 6,0 – 8,0. Presentación en litro.</v>
      </c>
      <c r="D11" s="54" t="str">
        <f>+'VERIFICACIÓN CANTIDADES'!E41</f>
        <v>litro</v>
      </c>
      <c r="E11" s="87">
        <v>15</v>
      </c>
      <c r="F11" s="88">
        <f>+'ANALISIS COTIZACIONES'!K48</f>
        <v>48200</v>
      </c>
      <c r="G11" s="89">
        <f t="shared" si="1"/>
        <v>723000</v>
      </c>
      <c r="K11" s="90"/>
    </row>
    <row r="12" spans="1:11" ht="48" x14ac:dyDescent="0.2">
      <c r="A12" s="86" t="str">
        <f t="shared" si="0"/>
        <v>Mosquera</v>
      </c>
      <c r="B12" s="76" t="s">
        <v>15</v>
      </c>
      <c r="C12" s="54" t="str">
        <f>+'VERIFICACIÓN CANTIDADES'!D45</f>
        <v>Recipiente bidón plástico con capacidad de 20 litros, para el transporte de líquidos, compatibles con productos químicos, fitosanitarios, agroquímicos. Fabricados con polietileno de alta densidad, grosor constante en todas las áreas del envase.</v>
      </c>
      <c r="D12" s="54" t="str">
        <f>+'VERIFICACIÓN CANTIDADES'!E45</f>
        <v>Unidad</v>
      </c>
      <c r="E12" s="87">
        <v>30</v>
      </c>
      <c r="F12" s="88">
        <f>+'ANALISIS COTIZACIONES'!K52</f>
        <v>20150</v>
      </c>
      <c r="G12" s="89">
        <f t="shared" si="1"/>
        <v>604500</v>
      </c>
      <c r="K12" s="90"/>
    </row>
    <row r="13" spans="1:11" x14ac:dyDescent="0.2">
      <c r="A13" s="86" t="str">
        <f t="shared" si="0"/>
        <v>Mosquera</v>
      </c>
      <c r="B13" s="76" t="s">
        <v>15</v>
      </c>
      <c r="C13" s="81" t="str">
        <f>+'VERIFICACIÓN CANTIDADES'!D46</f>
        <v>Saco Fique Granel de 70cm X 95cm - tejido 20/20.</v>
      </c>
      <c r="D13" s="81" t="str">
        <f>+'VERIFICACIÓN CANTIDADES'!E46</f>
        <v>Unidad</v>
      </c>
      <c r="E13" s="87">
        <v>30</v>
      </c>
      <c r="F13" s="89">
        <f>+'ANALISIS COTIZACIONES'!K53</f>
        <v>17000</v>
      </c>
      <c r="G13" s="89">
        <f t="shared" si="1"/>
        <v>510000</v>
      </c>
      <c r="K13" s="90"/>
    </row>
    <row r="14" spans="1:11" ht="24" x14ac:dyDescent="0.2">
      <c r="A14" s="86" t="str">
        <f t="shared" si="0"/>
        <v>Mosquera</v>
      </c>
      <c r="B14" s="76" t="s">
        <v>15</v>
      </c>
      <c r="C14" s="52" t="str">
        <f>+'VERIFICACIÓN CANTIDADES'!D48</f>
        <v>Semillas para palmas de coco con desarrollo de raíz germinativo y tallo mínimo con 4 hojas. Las semillas deben provenir de viveros certificados por el ICA.</v>
      </c>
      <c r="D14" s="52" t="str">
        <f>+'VERIFICACIÓN CANTIDADES'!E48</f>
        <v>Unidad</v>
      </c>
      <c r="E14" s="87">
        <v>675</v>
      </c>
      <c r="F14" s="89">
        <f>+'ANALISIS COTIZACIONES'!K55</f>
        <v>19600</v>
      </c>
      <c r="G14" s="89">
        <f t="shared" si="1"/>
        <v>13230000</v>
      </c>
      <c r="K14" s="90"/>
    </row>
    <row r="15" spans="1:11" ht="60" x14ac:dyDescent="0.2">
      <c r="A15" s="86" t="str">
        <f t="shared" si="0"/>
        <v>Mosquera</v>
      </c>
      <c r="B15" s="76" t="s">
        <v>28</v>
      </c>
      <c r="C15" s="54" t="str">
        <f>+'VERIFICACIÓN CANTIDADES'!D27</f>
        <v>Tanque de plástico (polietileno) con capacidad de 500 litros para almacenamiento de agua potable diámetro aprox 105 cm, ancho aprox 105 cm, alto aprox 103 cm, con capa interior virgen, avalados por NTC 5022 y NTC 4384, con recubrimiento que evite la producción de algas y bacterias, con aditivo U.V para el bloqueo de rayos ultravioletas.</v>
      </c>
      <c r="D15" s="54" t="str">
        <f>+'VERIFICACIÓN CANTIDADES'!E27</f>
        <v>Unidad</v>
      </c>
      <c r="E15" s="87">
        <v>15</v>
      </c>
      <c r="F15" s="89">
        <f>+'ANALISIS COTIZACIONES'!K29</f>
        <v>305000</v>
      </c>
      <c r="G15" s="89">
        <f t="shared" si="1"/>
        <v>4575000</v>
      </c>
    </row>
    <row r="16" spans="1:11" ht="96" x14ac:dyDescent="0.2">
      <c r="A16" s="86" t="str">
        <f t="shared" si="0"/>
        <v>Mosquera</v>
      </c>
      <c r="B16" s="76" t="s">
        <v>28</v>
      </c>
      <c r="C16" s="54" t="str">
        <f>+'VERIFICACIÓN CANTIDADES'!D15</f>
        <v>Kit de protección para fumigación, avalado por la NTC 5040 aplicable a cada componente, contiene escafandra laborada en tela anti-fluidos 90% poliéster, 10% acrilatopara repeler líquidos, mascarilla desechable con protección respiratoria de 3 capas de fieltro con filtro de carbón activado, gafas ajustables con protección UV y antiempañantes, guantes fabricados en nitrilo, camisa elaborada en tela anti-fluidos 90% poliéster ,10% acrilato y pantalón en tela antifluidos 90% poliéster, 10% acrílico. Disponibilidad de tallas variadas. Disponibilidad de tallas variadas.</v>
      </c>
      <c r="D16" s="54" t="str">
        <f>+'VERIFICACIÓN CANTIDADES'!E15</f>
        <v>Unidad</v>
      </c>
      <c r="E16" s="87">
        <v>15</v>
      </c>
      <c r="F16" s="89">
        <f>+'ANALISIS COTIZACIONES'!K17</f>
        <v>211000</v>
      </c>
      <c r="G16" s="89">
        <f t="shared" si="1"/>
        <v>3165000</v>
      </c>
    </row>
    <row r="17" spans="1:7" ht="72" x14ac:dyDescent="0.2">
      <c r="A17" s="86" t="str">
        <f t="shared" si="0"/>
        <v>Mosquera</v>
      </c>
      <c r="B17" s="76" t="s">
        <v>28</v>
      </c>
      <c r="C17" s="52" t="str">
        <f>+'VERIFICACIÓN CANTIDADES'!D12</f>
        <v>Fumigadora manual de espalda con una capacidad del Recipiente de 20 Litros en polietileno de alta densidad, capacidad de la cámara de 1 Litro, presión Máxima de Trabajo: 40 PSI (+/- 10%), lanza en acero Inoxidable, con pistón en Latón con posiciones de la Llave: Continua, Intermitente y de bloqueo total. Incluye una boquillas metálica de Cono Hueco (1000 cc), portaboquilla de uso agrícola Universal.</v>
      </c>
      <c r="D17" s="52" t="str">
        <f>+'VERIFICACIÓN CANTIDADES'!E12</f>
        <v>Unidad</v>
      </c>
      <c r="E17" s="87">
        <v>15</v>
      </c>
      <c r="F17" s="89">
        <f>+'ANALISIS COTIZACIONES'!K14</f>
        <v>575000</v>
      </c>
      <c r="G17" s="89">
        <f t="shared" si="1"/>
        <v>8625000</v>
      </c>
    </row>
    <row r="18" spans="1:7" ht="66.75" customHeight="1" x14ac:dyDescent="0.2">
      <c r="A18" s="86" t="str">
        <f t="shared" si="0"/>
        <v>Mosquera</v>
      </c>
      <c r="B18" s="76" t="s">
        <v>28</v>
      </c>
      <c r="C18" s="52" t="str">
        <f>+'VERIFICACIÓN CANTIDADES'!D21</f>
        <v>Motosierra a gasolina de cilindrada 72.2 centímetros cúbicos y potencia de 5.23 hp, logro 3,9 kW, peso de la unidad sin combustible de 6,2 kg con una relación peso/potencia de 1,6 kg/kW, para una longitud de la espada 37-75 cm 3, longitud con tope de garra 450 mm, nivel de presión sonora 106 dB, potencia acústica 117 dB.</v>
      </c>
      <c r="D18" s="52" t="str">
        <f>+'VERIFICACIÓN CANTIDADES'!E21</f>
        <v>Unidad</v>
      </c>
      <c r="E18" s="87">
        <v>1</v>
      </c>
      <c r="F18" s="88">
        <f>+'ANALISIS COTIZACIONES'!K23</f>
        <v>2065900</v>
      </c>
      <c r="G18" s="89">
        <f t="shared" si="1"/>
        <v>2065900</v>
      </c>
    </row>
    <row r="19" spans="1:7" ht="84" x14ac:dyDescent="0.2">
      <c r="A19" s="86" t="str">
        <f t="shared" si="0"/>
        <v>Mosquera</v>
      </c>
      <c r="B19" s="76" t="s">
        <v>28</v>
      </c>
      <c r="C19" s="52" t="str">
        <f>+'VERIFICACIÓN CANTIDADES'!D14</f>
        <v>Guadaña con motor de dos tiempos con un rango de  40 CC a 45 CC, potencia de 1,6 - 2.2 KW, peso entre 6 - 6.3 kilogramos, presión acústica 90 - 96 dB, vibraciones izquierda/derecha 6,4/3,4 m/s2, cuchilla matorrales, capacidad de depósito 0,64 litros, eje de transmisión rígido, sistema anti vibración de un punto, longitud total (sin herramienta de corte) 190 centímetros, ancho de corte mínimo de 41 a 42 cm con cabezal de nylon. Incluye puñadura ergonómica multifuncional.</v>
      </c>
      <c r="D19" s="52" t="str">
        <f>+'VERIFICACIÓN CANTIDADES'!E14</f>
        <v>Unidad</v>
      </c>
      <c r="E19" s="87">
        <v>1</v>
      </c>
      <c r="F19" s="89">
        <f>+'ANALISIS COTIZACIONES'!K16</f>
        <v>2238000</v>
      </c>
      <c r="G19" s="89">
        <f t="shared" si="1"/>
        <v>2238000</v>
      </c>
    </row>
    <row r="20" spans="1:7" x14ac:dyDescent="0.2">
      <c r="B20" s="218" t="s">
        <v>18</v>
      </c>
      <c r="C20" s="219"/>
      <c r="D20" s="219"/>
      <c r="E20" s="220"/>
      <c r="F20" s="171">
        <f>+SUM(F9:F19)</f>
        <v>5558377</v>
      </c>
      <c r="G20" s="171">
        <f>+SUM(G9:G19)</f>
        <v>36916210</v>
      </c>
    </row>
  </sheetData>
  <mergeCells count="1">
    <mergeCell ref="B20:E20"/>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H18"/>
  <sheetViews>
    <sheetView showGridLines="0" zoomScale="85" zoomScaleNormal="85" workbookViewId="0">
      <selection activeCell="A2" sqref="A2:XFD5"/>
    </sheetView>
  </sheetViews>
  <sheetFormatPr baseColWidth="10" defaultRowHeight="15" x14ac:dyDescent="0.25"/>
  <cols>
    <col min="1" max="1" width="19.140625" customWidth="1"/>
    <col min="2" max="2" width="22" style="29" bestFit="1" customWidth="1"/>
    <col min="3" max="3" width="72.85546875" style="102" customWidth="1"/>
    <col min="4" max="4" width="14.85546875" style="2" customWidth="1"/>
    <col min="5" max="5" width="11.42578125" style="2"/>
    <col min="6" max="6" width="13.140625" style="2" bestFit="1" customWidth="1"/>
    <col min="7" max="7" width="20.140625" style="2" customWidth="1"/>
  </cols>
  <sheetData>
    <row r="2" spans="1:8" x14ac:dyDescent="0.25">
      <c r="A2" s="5" t="s">
        <v>8</v>
      </c>
      <c r="B2" s="97" t="str">
        <f>('INFO GENERAL'!B6)</f>
        <v>Olaya Herrera</v>
      </c>
    </row>
    <row r="3" spans="1:8" x14ac:dyDescent="0.25">
      <c r="A3" s="5" t="s">
        <v>11</v>
      </c>
      <c r="B3" s="98">
        <f>('INFO GENERAL'!E6)</f>
        <v>15</v>
      </c>
    </row>
    <row r="4" spans="1:8" x14ac:dyDescent="0.25">
      <c r="A4" s="5" t="s">
        <v>17</v>
      </c>
      <c r="B4" s="99">
        <f>('INFO GENERAL'!D6)</f>
        <v>36916227</v>
      </c>
      <c r="C4" s="173" t="s">
        <v>211</v>
      </c>
    </row>
    <row r="5" spans="1:8" x14ac:dyDescent="0.25">
      <c r="A5" s="5" t="s">
        <v>19</v>
      </c>
      <c r="B5" s="100">
        <f>(B4-G18)</f>
        <v>-89998</v>
      </c>
    </row>
    <row r="7" spans="1:8" ht="27" customHeight="1" x14ac:dyDescent="0.25">
      <c r="B7" s="85" t="s">
        <v>12</v>
      </c>
      <c r="C7" s="85" t="s">
        <v>13</v>
      </c>
      <c r="D7" s="85" t="s">
        <v>86</v>
      </c>
      <c r="E7" s="85" t="s">
        <v>21</v>
      </c>
      <c r="F7" s="85" t="s">
        <v>22</v>
      </c>
      <c r="G7" s="85" t="s">
        <v>23</v>
      </c>
      <c r="H7" s="12"/>
    </row>
    <row r="8" spans="1:8" ht="24.75" x14ac:dyDescent="0.25">
      <c r="A8" s="18" t="s">
        <v>0</v>
      </c>
      <c r="B8" s="16" t="s">
        <v>15</v>
      </c>
      <c r="C8" s="77" t="str">
        <f>+'VERIFICACIÓN CANTIDADES'!D42</f>
        <v xml:space="preserve">Cal dolomita proveniente de la pulverización de la roca dolomita. Calcio total (CaO) 35% - Magnesio total (MgO) 16%, pH 9.7. Bulto x 40 kilogramos </v>
      </c>
      <c r="D8" s="53" t="str">
        <f>+'VERIFICACIÓN CANTIDADES'!E42</f>
        <v xml:space="preserve">Bulto </v>
      </c>
      <c r="E8" s="8">
        <v>30</v>
      </c>
      <c r="F8" s="14">
        <f>+'ANALISIS COTIZACIONES'!K49</f>
        <v>79500</v>
      </c>
      <c r="G8" s="14">
        <f>+F8*E8</f>
        <v>2385000</v>
      </c>
      <c r="H8" s="12"/>
    </row>
    <row r="9" spans="1:8" ht="28.5" customHeight="1" x14ac:dyDescent="0.25">
      <c r="A9" s="18" t="s">
        <v>0</v>
      </c>
      <c r="B9" s="16" t="s">
        <v>15</v>
      </c>
      <c r="C9" s="101" t="str">
        <f>+'VERIFICACIÓN CANTIDADES'!D38</f>
        <v xml:space="preserve">Fertilizante completo formulado 17-6-18-2, con una composición Nitrógeno Total (N) 17%, Fósforo 6%, Potasio 18%, Magnesio total 2%. Presentación bulto x 50 Kg. </v>
      </c>
      <c r="D9" s="76" t="str">
        <f>+'VERIFICACIÓN CANTIDADES'!E38</f>
        <v>Bulto</v>
      </c>
      <c r="E9" s="8">
        <v>15</v>
      </c>
      <c r="F9" s="14">
        <f>+'ANALISIS COTIZACIONES'!K45</f>
        <v>245000</v>
      </c>
      <c r="G9" s="14">
        <f t="shared" ref="G9:G17" si="0">+F9*E9</f>
        <v>3675000</v>
      </c>
      <c r="H9" s="12"/>
    </row>
    <row r="10" spans="1:8" ht="60.75" x14ac:dyDescent="0.25">
      <c r="A10" s="18" t="s">
        <v>0</v>
      </c>
      <c r="B10" s="16" t="s">
        <v>15</v>
      </c>
      <c r="C10" s="77" t="str">
        <f>+'VERIFICACIÓN CANTIDADES'!D40</f>
        <v>Herbicida foliar no selectivo con ingrediente activo paraquat al 20%, herbicida post-emergente de contacto no selectivo, ideal para controlar rápidamente malezas de hoja ancha y gramíneas, resistente a la lluvia y se inactiva al contacto con el suelo. Densidad 1.070-1.084 g/ml, pH 4-7, contenido paraquat 188-212 g/l, Categoría II. Presentación Caneca x 5 galones.</v>
      </c>
      <c r="D10" s="53" t="str">
        <f>+'VERIFICACIÓN CANTIDADES'!E40</f>
        <v xml:space="preserve">Caneca </v>
      </c>
      <c r="E10" s="8">
        <v>15</v>
      </c>
      <c r="F10" s="14">
        <f>+'ANALISIS COTIZACIONES'!K47</f>
        <v>255000</v>
      </c>
      <c r="G10" s="14">
        <f t="shared" si="0"/>
        <v>3825000</v>
      </c>
      <c r="H10" s="12"/>
    </row>
    <row r="11" spans="1:8" ht="36.75" x14ac:dyDescent="0.25">
      <c r="A11" s="18" t="s">
        <v>0</v>
      </c>
      <c r="B11" s="16" t="s">
        <v>15</v>
      </c>
      <c r="C11" s="77" t="str">
        <f>+'VERIFICACIÓN CANTIDADES'!D39</f>
        <v>Fungicida sistémico de aplicación foliar para el control de la sigatoka negra y botrytis su ingrediente activo es Pyrimethanil que inhibe la secreción de encimas. Presentación envase plástico x litro.</v>
      </c>
      <c r="D11" s="53" t="str">
        <f>+'VERIFICACIÓN CANTIDADES'!E39</f>
        <v>Litro</v>
      </c>
      <c r="E11" s="8">
        <v>15</v>
      </c>
      <c r="F11" s="14">
        <f>+'ANALISIS COTIZACIONES'!K46</f>
        <v>131035</v>
      </c>
      <c r="G11" s="14">
        <f t="shared" si="0"/>
        <v>1965525</v>
      </c>
      <c r="H11" s="12"/>
    </row>
    <row r="12" spans="1:8" ht="36.75" x14ac:dyDescent="0.25">
      <c r="A12" s="18" t="s">
        <v>0</v>
      </c>
      <c r="B12" s="16" t="s">
        <v>28</v>
      </c>
      <c r="C12" s="77" t="str">
        <f>+'VERIFICACIÓN CANTIDADES'!D2</f>
        <v>Azada fabricada de una única pieza templada, en acero carbono de alta calidad, recubierta con pintura electrostática a polvo, lámina de tamaño 2.5 pulgadas, ojo de 38 mm de diámetro, mango de 145 cm en madera barnizada.</v>
      </c>
      <c r="D12" s="53" t="str">
        <f>+'VERIFICACIÓN CANTIDADES'!E2</f>
        <v>Unidad</v>
      </c>
      <c r="E12" s="10">
        <v>15</v>
      </c>
      <c r="F12" s="14">
        <f>+'ANALISIS COTIZACIONES'!K4</f>
        <v>114000</v>
      </c>
      <c r="G12" s="14">
        <f t="shared" si="0"/>
        <v>1710000</v>
      </c>
      <c r="H12" s="12"/>
    </row>
    <row r="13" spans="1:8" ht="60.75" x14ac:dyDescent="0.25">
      <c r="A13" s="18" t="s">
        <v>0</v>
      </c>
      <c r="B13" s="16" t="s">
        <v>28</v>
      </c>
      <c r="C13" s="77" t="str">
        <f>+'VERIFICACIÓN CANTIDADES'!D12</f>
        <v>Fumigadora manual de espalda con una capacidad del Recipiente de 20 Litros en polietileno de alta densidad, capacidad de la cámara de 1 Litro, presión Máxima de Trabajo: 40 PSI (+/- 10%), lanza en acero Inoxidable, con pistón en Latón con posiciones de la Llave: Continua, Intermitente y de bloqueo total. Incluye una boquillas metálica de Cono Hueco (1000 cc), portaboquilla de uso agrícola Universal.</v>
      </c>
      <c r="D13" s="53" t="str">
        <f>+'VERIFICACIÓN CANTIDADES'!E12</f>
        <v>Unidad</v>
      </c>
      <c r="E13" s="10">
        <v>15</v>
      </c>
      <c r="F13" s="14">
        <f>+'ANALISIS COTIZACIONES'!K14</f>
        <v>575000</v>
      </c>
      <c r="G13" s="14">
        <f t="shared" si="0"/>
        <v>8625000</v>
      </c>
      <c r="H13" s="12"/>
    </row>
    <row r="14" spans="1:8" ht="48.75" x14ac:dyDescent="0.25">
      <c r="A14" s="18" t="s">
        <v>0</v>
      </c>
      <c r="B14" s="16" t="s">
        <v>28</v>
      </c>
      <c r="C14" s="101" t="str">
        <f>+'VERIFICACIÓN CANTIDADES'!D27</f>
        <v>Tanque de plástico (polietileno) con capacidad de 500 litros para almacenamiento de agua potable diámetro aprox 105 cm, ancho aprox 105 cm, alto aprox 103 cm, con capa interior virgen, avalados por NTC 5022 y NTC 4384, con recubrimiento que evite la producción de algas y bacterias, con aditivo U.V para el bloqueo de rayos ultravioletas.</v>
      </c>
      <c r="D14" s="76" t="str">
        <f>+'VERIFICACIÓN CANTIDADES'!E27</f>
        <v>Unidad</v>
      </c>
      <c r="E14" s="10">
        <v>15</v>
      </c>
      <c r="F14" s="14">
        <f>+'ANALISIS COTIZACIONES'!K29</f>
        <v>305000</v>
      </c>
      <c r="G14" s="14">
        <f t="shared" si="0"/>
        <v>4575000</v>
      </c>
      <c r="H14" s="12"/>
    </row>
    <row r="15" spans="1:8" ht="24.75" x14ac:dyDescent="0.25">
      <c r="A15" s="18" t="s">
        <v>0</v>
      </c>
      <c r="B15" s="16" t="s">
        <v>28</v>
      </c>
      <c r="C15" s="77" t="str">
        <f>+'VERIFICACIÓN CANTIDADES'!D11</f>
        <v>Fumigadora Estacionaria con motor de 5.5 Hp a Gasolina, con bomba automática para un caudal entre 20 - 40 Litros por minuto, presión entre 145 – 580 PSI</v>
      </c>
      <c r="D15" s="53" t="str">
        <f>+'VERIFICACIÓN CANTIDADES'!E11</f>
        <v>Unidad</v>
      </c>
      <c r="E15" s="8">
        <v>1</v>
      </c>
      <c r="F15" s="14">
        <f>+'ANALISIS COTIZACIONES'!K13</f>
        <v>1637900</v>
      </c>
      <c r="G15" s="14">
        <f t="shared" si="0"/>
        <v>1637900</v>
      </c>
      <c r="H15" s="12"/>
    </row>
    <row r="16" spans="1:8" ht="48.75" x14ac:dyDescent="0.25">
      <c r="A16" s="18" t="s">
        <v>0</v>
      </c>
      <c r="B16" s="16" t="s">
        <v>28</v>
      </c>
      <c r="C16" s="77" t="str">
        <f>+'VERIFICACIÓN CANTIDADES'!D21</f>
        <v>Motosierra a gasolina de cilindrada 72.2 centímetros cúbicos y potencia de 5.23 hp, logro 3,9 kW, peso de la unidad sin combustible de 6,2 kg con una relación peso/potencia de 1,6 kg/kW, para una longitud de la espada 37-75 cm 3, longitud con tope de garra 450 mm, nivel de presión sonora 106 dB, potencia acústica 117 dB.</v>
      </c>
      <c r="D16" s="53" t="str">
        <f>+'VERIFICACIÓN CANTIDADES'!E21</f>
        <v>Unidad</v>
      </c>
      <c r="E16" s="10">
        <v>2</v>
      </c>
      <c r="F16" s="15">
        <f>+'ANALISIS COTIZACIONES'!K23</f>
        <v>2065900</v>
      </c>
      <c r="G16" s="14">
        <f t="shared" si="0"/>
        <v>4131800</v>
      </c>
      <c r="H16" s="12"/>
    </row>
    <row r="17" spans="1:8" ht="78.75" customHeight="1" x14ac:dyDescent="0.25">
      <c r="A17" s="18" t="s">
        <v>0</v>
      </c>
      <c r="B17" s="16" t="s">
        <v>28</v>
      </c>
      <c r="C17" s="77" t="str">
        <f>+'VERIFICACIÓN CANTIDADES'!D14</f>
        <v>Guadaña con motor de dos tiempos con un rango de  40 CC a 45 CC, potencia de 1,6 - 2.2 KW, peso entre 6 - 6.3 kilogramos, presión acústica 90 - 96 dB, vibraciones izquierda/derecha 6,4/3,4 m/s2, cuchilla matorrales, capacidad de depósito 0,64 litros, eje de transmisión rígido, sistema anti vibración de un punto, longitud total (sin herramienta de corte) 190 centímetros, ancho de corte mínimo de 41 a 42 cm con cabezal de nylon. Incluye puñadura ergonómica multifuncional.</v>
      </c>
      <c r="D17" s="53" t="str">
        <f>+'VERIFICACIÓN CANTIDADES'!E14</f>
        <v>Unidad</v>
      </c>
      <c r="E17" s="10">
        <v>2</v>
      </c>
      <c r="F17" s="14">
        <f>+'ANALISIS COTIZACIONES'!K16</f>
        <v>2238000</v>
      </c>
      <c r="G17" s="14">
        <f t="shared" si="0"/>
        <v>4476000</v>
      </c>
      <c r="H17" s="12"/>
    </row>
    <row r="18" spans="1:8" x14ac:dyDescent="0.25">
      <c r="B18" s="213" t="s">
        <v>18</v>
      </c>
      <c r="C18" s="214"/>
      <c r="D18" s="214"/>
      <c r="E18" s="215"/>
      <c r="F18" s="172">
        <f>+SUM(F8:F17)</f>
        <v>7646335</v>
      </c>
      <c r="G18" s="172">
        <f>+SUM(G8:G17)</f>
        <v>37006225</v>
      </c>
      <c r="H18" s="12"/>
    </row>
  </sheetData>
  <mergeCells count="1">
    <mergeCell ref="B18:E18"/>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H18"/>
  <sheetViews>
    <sheetView showGridLines="0" topLeftCell="A16" zoomScale="85" zoomScaleNormal="85" workbookViewId="0">
      <selection activeCell="C4" sqref="C4"/>
    </sheetView>
  </sheetViews>
  <sheetFormatPr baseColWidth="10" defaultRowHeight="15" x14ac:dyDescent="0.25"/>
  <cols>
    <col min="1" max="1" width="18.7109375" customWidth="1"/>
    <col min="2" max="2" width="21.42578125" style="29" customWidth="1"/>
    <col min="3" max="3" width="72.85546875" customWidth="1"/>
    <col min="4" max="4" width="14.5703125" style="2" customWidth="1"/>
    <col min="5" max="5" width="11.42578125" style="2"/>
    <col min="6" max="6" width="13.140625" style="2" bestFit="1" customWidth="1"/>
    <col min="7" max="7" width="20.140625" style="2" customWidth="1"/>
  </cols>
  <sheetData>
    <row r="2" spans="1:8" x14ac:dyDescent="0.25">
      <c r="A2" s="4" t="s">
        <v>8</v>
      </c>
      <c r="B2" s="28" t="str">
        <f>('INFO GENERAL'!B6)</f>
        <v>Olaya Herrera</v>
      </c>
    </row>
    <row r="3" spans="1:8" ht="30" x14ac:dyDescent="0.25">
      <c r="A3" s="4" t="s">
        <v>11</v>
      </c>
      <c r="B3" s="4">
        <f>('INFO GENERAL'!E6)</f>
        <v>15</v>
      </c>
    </row>
    <row r="4" spans="1:8" x14ac:dyDescent="0.25">
      <c r="A4" s="4" t="s">
        <v>17</v>
      </c>
      <c r="B4" s="79">
        <f>('INFO GENERAL'!D6)</f>
        <v>36916227</v>
      </c>
      <c r="C4" s="173" t="s">
        <v>211</v>
      </c>
    </row>
    <row r="5" spans="1:8" x14ac:dyDescent="0.25">
      <c r="A5" s="4" t="s">
        <v>19</v>
      </c>
      <c r="B5" s="103">
        <f>(B4-G18)</f>
        <v>-89998</v>
      </c>
    </row>
    <row r="7" spans="1:8" ht="24" x14ac:dyDescent="0.25">
      <c r="B7" s="85" t="s">
        <v>12</v>
      </c>
      <c r="C7" s="85" t="s">
        <v>13</v>
      </c>
      <c r="D7" s="85" t="s">
        <v>86</v>
      </c>
      <c r="E7" s="85" t="s">
        <v>21</v>
      </c>
      <c r="F7" s="85" t="s">
        <v>22</v>
      </c>
      <c r="G7" s="85" t="s">
        <v>23</v>
      </c>
      <c r="H7" s="12"/>
    </row>
    <row r="8" spans="1:8" ht="29.25" customHeight="1" x14ac:dyDescent="0.25">
      <c r="A8" s="18" t="str">
        <f t="shared" ref="A8:A17" si="0">($B$2)</f>
        <v>Olaya Herrera</v>
      </c>
      <c r="B8" s="16" t="s">
        <v>15</v>
      </c>
      <c r="C8" s="52" t="str">
        <f>+'VERIFICACIÓN CANTIDADES'!D42</f>
        <v xml:space="preserve">Cal dolomita proveniente de la pulverización de la roca dolomita. Calcio total (CaO) 35% - Magnesio total (MgO) 16%, pH 9.7. Bulto x 40 kilogramos </v>
      </c>
      <c r="D8" s="53" t="str">
        <f>+'VERIFICACIÓN CANTIDADES'!E42</f>
        <v xml:space="preserve">Bulto </v>
      </c>
      <c r="E8" s="8">
        <v>30</v>
      </c>
      <c r="F8" s="14">
        <f>+'ANALISIS COTIZACIONES'!K49</f>
        <v>79500</v>
      </c>
      <c r="G8" s="14">
        <f>+F8*E8</f>
        <v>2385000</v>
      </c>
      <c r="H8" s="12"/>
    </row>
    <row r="9" spans="1:8" ht="28.5" customHeight="1" x14ac:dyDescent="0.25">
      <c r="A9" s="18" t="str">
        <f t="shared" si="0"/>
        <v>Olaya Herrera</v>
      </c>
      <c r="B9" s="16" t="s">
        <v>15</v>
      </c>
      <c r="C9" s="54" t="str">
        <f>+'VERIFICACIÓN CANTIDADES'!D38</f>
        <v xml:space="preserve">Fertilizante completo formulado 17-6-18-2, con una composición Nitrógeno Total (N) 17%, Fósforo 6%, Potasio 18%, Magnesio total 2%. Presentación bulto x 50 Kg. </v>
      </c>
      <c r="D9" s="76" t="str">
        <f>+'VERIFICACIÓN CANTIDADES'!E38</f>
        <v>Bulto</v>
      </c>
      <c r="E9" s="8">
        <v>15</v>
      </c>
      <c r="F9" s="14">
        <f>+'ANALISIS COTIZACIONES'!K45</f>
        <v>245000</v>
      </c>
      <c r="G9" s="14">
        <f t="shared" ref="G9:G17" si="1">+F9*E9</f>
        <v>3675000</v>
      </c>
      <c r="H9" s="12"/>
    </row>
    <row r="10" spans="1:8" ht="60" x14ac:dyDescent="0.25">
      <c r="A10" s="18" t="str">
        <f t="shared" si="0"/>
        <v>Olaya Herrera</v>
      </c>
      <c r="B10" s="16" t="s">
        <v>15</v>
      </c>
      <c r="C10" s="52" t="str">
        <f>+'VERIFICACIÓN CANTIDADES'!D40</f>
        <v>Herbicida foliar no selectivo con ingrediente activo paraquat al 20%, herbicida post-emergente de contacto no selectivo, ideal para controlar rápidamente malezas de hoja ancha y gramíneas, resistente a la lluvia y se inactiva al contacto con el suelo. Densidad 1.070-1.084 g/ml, pH 4-7, contenido paraquat 188-212 g/l, Categoría II. Presentación Caneca x 5 galones.</v>
      </c>
      <c r="D10" s="53" t="str">
        <f>+'VERIFICACIÓN CANTIDADES'!E40</f>
        <v xml:space="preserve">Caneca </v>
      </c>
      <c r="E10" s="8">
        <v>15</v>
      </c>
      <c r="F10" s="14">
        <f>+'ANALISIS COTIZACIONES'!K47</f>
        <v>255000</v>
      </c>
      <c r="G10" s="14">
        <f t="shared" si="1"/>
        <v>3825000</v>
      </c>
      <c r="H10" s="12"/>
    </row>
    <row r="11" spans="1:8" ht="36" x14ac:dyDescent="0.25">
      <c r="A11" s="18" t="str">
        <f t="shared" si="0"/>
        <v>Olaya Herrera</v>
      </c>
      <c r="B11" s="16" t="s">
        <v>15</v>
      </c>
      <c r="C11" s="52" t="str">
        <f>+'VERIFICACIÓN CANTIDADES'!D39</f>
        <v>Fungicida sistémico de aplicación foliar para el control de la sigatoka negra y botrytis su ingrediente activo es Pyrimethanil que inhibe la secreción de encimas. Presentación envase plástico x litro.</v>
      </c>
      <c r="D11" s="53" t="str">
        <f>+'VERIFICACIÓN CANTIDADES'!E39</f>
        <v>Litro</v>
      </c>
      <c r="E11" s="8">
        <v>15</v>
      </c>
      <c r="F11" s="14">
        <f>+'ANALISIS COTIZACIONES'!K46</f>
        <v>131035</v>
      </c>
      <c r="G11" s="14">
        <f t="shared" si="1"/>
        <v>1965525</v>
      </c>
      <c r="H11" s="12"/>
    </row>
    <row r="12" spans="1:8" ht="36" x14ac:dyDescent="0.25">
      <c r="A12" s="18" t="str">
        <f t="shared" si="0"/>
        <v>Olaya Herrera</v>
      </c>
      <c r="B12" s="16" t="s">
        <v>28</v>
      </c>
      <c r="C12" s="52" t="str">
        <f>+'VERIFICACIÓN CANTIDADES'!D2</f>
        <v>Azada fabricada de una única pieza templada, en acero carbono de alta calidad, recubierta con pintura electrostática a polvo, lámina de tamaño 2.5 pulgadas, ojo de 38 mm de diámetro, mango de 145 cm en madera barnizada.</v>
      </c>
      <c r="D12" s="53" t="str">
        <f>+'VERIFICACIÓN CANTIDADES'!E2</f>
        <v>Unidad</v>
      </c>
      <c r="E12" s="10">
        <v>15</v>
      </c>
      <c r="F12" s="14">
        <f>+'ANALISIS COTIZACIONES'!K4</f>
        <v>114000</v>
      </c>
      <c r="G12" s="14">
        <f t="shared" si="1"/>
        <v>1710000</v>
      </c>
      <c r="H12" s="12"/>
    </row>
    <row r="13" spans="1:8" ht="60" x14ac:dyDescent="0.25">
      <c r="A13" s="18" t="str">
        <f t="shared" si="0"/>
        <v>Olaya Herrera</v>
      </c>
      <c r="B13" s="16" t="s">
        <v>28</v>
      </c>
      <c r="C13" s="52" t="str">
        <f>+'VERIFICACIÓN CANTIDADES'!D12</f>
        <v>Fumigadora manual de espalda con una capacidad del Recipiente de 20 Litros en polietileno de alta densidad, capacidad de la cámara de 1 Litro, presión Máxima de Trabajo: 40 PSI (+/- 10%), lanza en acero Inoxidable, con pistón en Latón con posiciones de la Llave: Continua, Intermitente y de bloqueo total. Incluye una boquillas metálica de Cono Hueco (1000 cc), portaboquilla de uso agrícola Universal.</v>
      </c>
      <c r="D13" s="53" t="str">
        <f>+'VERIFICACIÓN CANTIDADES'!E12</f>
        <v>Unidad</v>
      </c>
      <c r="E13" s="10">
        <v>15</v>
      </c>
      <c r="F13" s="14">
        <f>+'ANALISIS COTIZACIONES'!K14</f>
        <v>575000</v>
      </c>
      <c r="G13" s="14">
        <f t="shared" si="1"/>
        <v>8625000</v>
      </c>
      <c r="H13" s="12"/>
    </row>
    <row r="14" spans="1:8" ht="48" x14ac:dyDescent="0.25">
      <c r="A14" s="18" t="str">
        <f t="shared" si="0"/>
        <v>Olaya Herrera</v>
      </c>
      <c r="B14" s="16" t="s">
        <v>28</v>
      </c>
      <c r="C14" s="54" t="str">
        <f>+'VERIFICACIÓN CANTIDADES'!D27</f>
        <v>Tanque de plástico (polietileno) con capacidad de 500 litros para almacenamiento de agua potable diámetro aprox 105 cm, ancho aprox 105 cm, alto aprox 103 cm, con capa interior virgen, avalados por NTC 5022 y NTC 4384, con recubrimiento que evite la producción de algas y bacterias, con aditivo U.V para el bloqueo de rayos ultravioletas.</v>
      </c>
      <c r="D14" s="76" t="str">
        <f>+'VERIFICACIÓN CANTIDADES'!E27</f>
        <v>Unidad</v>
      </c>
      <c r="E14" s="10">
        <v>15</v>
      </c>
      <c r="F14" s="14">
        <f>+'ANALISIS COTIZACIONES'!K29</f>
        <v>305000</v>
      </c>
      <c r="G14" s="14">
        <f t="shared" si="1"/>
        <v>4575000</v>
      </c>
      <c r="H14" s="12"/>
    </row>
    <row r="15" spans="1:8" ht="30" x14ac:dyDescent="0.25">
      <c r="A15" s="18" t="str">
        <f t="shared" si="0"/>
        <v>Olaya Herrera</v>
      </c>
      <c r="B15" s="16" t="s">
        <v>28</v>
      </c>
      <c r="C15" s="52" t="str">
        <f>+'VERIFICACIÓN CANTIDADES'!D11</f>
        <v>Fumigadora Estacionaria con motor de 5.5 Hp a Gasolina, con bomba automática para un caudal entre 20 - 40 Litros por minuto, presión entre 145 – 580 PSI</v>
      </c>
      <c r="D15" s="53" t="str">
        <f>+'VERIFICACIÓN CANTIDADES'!E11</f>
        <v>Unidad</v>
      </c>
      <c r="E15" s="8">
        <v>1</v>
      </c>
      <c r="F15" s="14">
        <f>+'ANALISIS COTIZACIONES'!K13</f>
        <v>1637900</v>
      </c>
      <c r="G15" s="14">
        <f t="shared" si="1"/>
        <v>1637900</v>
      </c>
      <c r="H15" s="12"/>
    </row>
    <row r="16" spans="1:8" ht="48" x14ac:dyDescent="0.25">
      <c r="A16" s="18" t="str">
        <f t="shared" si="0"/>
        <v>Olaya Herrera</v>
      </c>
      <c r="B16" s="16" t="s">
        <v>28</v>
      </c>
      <c r="C16" s="52" t="str">
        <f>+'VERIFICACIÓN CANTIDADES'!D21</f>
        <v>Motosierra a gasolina de cilindrada 72.2 centímetros cúbicos y potencia de 5.23 hp, logro 3,9 kW, peso de la unidad sin combustible de 6,2 kg con una relación peso/potencia de 1,6 kg/kW, para una longitud de la espada 37-75 cm 3, longitud con tope de garra 450 mm, nivel de presión sonora 106 dB, potencia acústica 117 dB.</v>
      </c>
      <c r="D16" s="53" t="str">
        <f>+'VERIFICACIÓN CANTIDADES'!E21</f>
        <v>Unidad</v>
      </c>
      <c r="E16" s="10">
        <v>2</v>
      </c>
      <c r="F16" s="14">
        <f>+'ANALISIS COTIZACIONES'!K23</f>
        <v>2065900</v>
      </c>
      <c r="G16" s="14">
        <f t="shared" si="1"/>
        <v>4131800</v>
      </c>
      <c r="H16" s="12"/>
    </row>
    <row r="17" spans="1:8" ht="72" x14ac:dyDescent="0.25">
      <c r="A17" s="18" t="str">
        <f t="shared" si="0"/>
        <v>Olaya Herrera</v>
      </c>
      <c r="B17" s="16" t="s">
        <v>28</v>
      </c>
      <c r="C17" s="52" t="str">
        <f>+'VERIFICACIÓN CANTIDADES'!D14</f>
        <v>Guadaña con motor de dos tiempos con un rango de  40 CC a 45 CC, potencia de 1,6 - 2.2 KW, peso entre 6 - 6.3 kilogramos, presión acústica 90 - 96 dB, vibraciones izquierda/derecha 6,4/3,4 m/s2, cuchilla matorrales, capacidad de depósito 0,64 litros, eje de transmisión rígido, sistema anti vibración de un punto, longitud total (sin herramienta de corte) 190 centímetros, ancho de corte mínimo de 41 a 42 cm con cabezal de nylon. Incluye puñadura ergonómica multifuncional.</v>
      </c>
      <c r="D17" s="53" t="str">
        <f>+'VERIFICACIÓN CANTIDADES'!E14</f>
        <v>Unidad</v>
      </c>
      <c r="E17" s="10">
        <v>2</v>
      </c>
      <c r="F17" s="14">
        <f>+'ANALISIS COTIZACIONES'!K16</f>
        <v>2238000</v>
      </c>
      <c r="G17" s="14">
        <f t="shared" si="1"/>
        <v>4476000</v>
      </c>
      <c r="H17" s="12"/>
    </row>
    <row r="18" spans="1:8" x14ac:dyDescent="0.25">
      <c r="B18" s="221" t="s">
        <v>18</v>
      </c>
      <c r="C18" s="222"/>
      <c r="D18" s="222"/>
      <c r="E18" s="223"/>
      <c r="F18" s="172">
        <f>+SUM(F8:F17)</f>
        <v>7646335</v>
      </c>
      <c r="G18" s="172">
        <f>+SUM(G8:G17)</f>
        <v>37006225</v>
      </c>
      <c r="H18" s="12"/>
    </row>
  </sheetData>
  <mergeCells count="1">
    <mergeCell ref="B18:E18"/>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2:I23"/>
  <sheetViews>
    <sheetView showGridLines="0" topLeftCell="A22" zoomScale="85" zoomScaleNormal="85" workbookViewId="0">
      <selection activeCell="D5" sqref="D5"/>
    </sheetView>
  </sheetViews>
  <sheetFormatPr baseColWidth="10" defaultRowHeight="12" x14ac:dyDescent="0.2"/>
  <cols>
    <col min="1" max="1" width="11.42578125" style="57"/>
    <col min="2" max="2" width="22.5703125" style="57" customWidth="1"/>
    <col min="3" max="3" width="72.140625" style="96" customWidth="1"/>
    <col min="4" max="4" width="16.28515625" style="91" bestFit="1" customWidth="1"/>
    <col min="5" max="5" width="12.85546875" style="104" bestFit="1" customWidth="1"/>
    <col min="6" max="6" width="19.5703125" style="104" bestFit="1" customWidth="1"/>
    <col min="7" max="7" width="16.28515625" style="104" bestFit="1" customWidth="1"/>
    <col min="8" max="8" width="87" style="57" customWidth="1"/>
    <col min="9" max="9" width="55.7109375" style="57" customWidth="1"/>
    <col min="10" max="10" width="11.42578125" style="57"/>
    <col min="11" max="11" width="16.140625" style="57" customWidth="1"/>
    <col min="12" max="16384" width="11.42578125" style="57"/>
  </cols>
  <sheetData>
    <row r="2" spans="1:9" x14ac:dyDescent="0.2">
      <c r="C2" s="111" t="s">
        <v>8</v>
      </c>
      <c r="D2" s="83" t="str">
        <f>('INFO GENERAL'!B8)</f>
        <v>Tumaco</v>
      </c>
    </row>
    <row r="3" spans="1:9" x14ac:dyDescent="0.2">
      <c r="C3" s="112" t="str">
        <f>('INFO GENERAL'!E2)</f>
        <v>Número de beneficiarios</v>
      </c>
      <c r="D3" s="178">
        <f>('INFO GENERAL'!E8)</f>
        <v>35</v>
      </c>
    </row>
    <row r="4" spans="1:9" x14ac:dyDescent="0.2">
      <c r="C4" s="111" t="s">
        <v>17</v>
      </c>
      <c r="D4" s="179">
        <f>('INFO GENERAL'!D8)</f>
        <v>35000000</v>
      </c>
    </row>
    <row r="5" spans="1:9" x14ac:dyDescent="0.2">
      <c r="C5" s="111" t="s">
        <v>19</v>
      </c>
      <c r="D5" s="180">
        <f>(D4-G23)</f>
        <v>1491211</v>
      </c>
    </row>
    <row r="8" spans="1:9" ht="15" x14ac:dyDescent="0.2">
      <c r="B8" s="224" t="s">
        <v>20</v>
      </c>
      <c r="C8" s="224"/>
      <c r="D8" s="224"/>
      <c r="E8" s="224"/>
      <c r="F8" s="224"/>
      <c r="G8" s="225"/>
    </row>
    <row r="9" spans="1:9" ht="24" x14ac:dyDescent="0.2">
      <c r="B9" s="85" t="s">
        <v>12</v>
      </c>
      <c r="C9" s="85" t="s">
        <v>13</v>
      </c>
      <c r="D9" s="85" t="s">
        <v>86</v>
      </c>
      <c r="E9" s="85" t="s">
        <v>21</v>
      </c>
      <c r="F9" s="85" t="s">
        <v>22</v>
      </c>
      <c r="G9" s="85" t="s">
        <v>23</v>
      </c>
    </row>
    <row r="10" spans="1:9" ht="42.75" customHeight="1" x14ac:dyDescent="0.2">
      <c r="A10" s="86" t="str">
        <f>($D$2)</f>
        <v>Tumaco</v>
      </c>
      <c r="B10" s="106" t="s">
        <v>15</v>
      </c>
      <c r="C10" s="54" t="str">
        <f>+'VERIFICACIÓN CANTIDADES'!D31</f>
        <v>Concentrado para camarón, durante las etapas de levante y finalización,. Proteína (MIN) 35.0%, Grasa (MIN) 5.0%, fibra (MIN) 5.0%, ceniza (MÁX) 12%, humedad (MÁX) 13.0%, presentación bulto x 40 kg</v>
      </c>
      <c r="D10" s="76" t="str">
        <f>+'VERIFICACIÓN CANTIDADES'!E31</f>
        <v>Bulto</v>
      </c>
      <c r="E10" s="62">
        <v>70</v>
      </c>
      <c r="F10" s="107">
        <f>+'ANALISIS COTIZACIONES'!K38</f>
        <v>155000</v>
      </c>
      <c r="G10" s="107">
        <f>+F10*E10</f>
        <v>10850000</v>
      </c>
    </row>
    <row r="11" spans="1:9" ht="28.5" customHeight="1" x14ac:dyDescent="0.2">
      <c r="A11" s="86" t="str">
        <f t="shared" ref="A11:A22" si="0">($D$2)</f>
        <v>Tumaco</v>
      </c>
      <c r="B11" s="106" t="s">
        <v>15</v>
      </c>
      <c r="C11" s="81" t="str">
        <f>+'VERIFICACIÓN CANTIDADES'!D30</f>
        <v>Cal agrícola: polvo blanco, finamente divido e inoloro, material . Carbonato de Calcio CaCO3 90%-100%. solubilidad 0.017 g/l, punto de fusión 825ºC. Bulto x 50 kg</v>
      </c>
      <c r="D11" s="53" t="str">
        <f>+'VERIFICACIÓN CANTIDADES'!E30</f>
        <v xml:space="preserve">Bulto </v>
      </c>
      <c r="E11" s="62">
        <v>4</v>
      </c>
      <c r="F11" s="107">
        <f>+'ANALISIS COTIZACIONES'!K37</f>
        <v>45000</v>
      </c>
      <c r="G11" s="107">
        <f t="shared" ref="G11:G22" si="1">+F11*E11</f>
        <v>180000</v>
      </c>
    </row>
    <row r="12" spans="1:9" ht="273.75" customHeight="1" x14ac:dyDescent="0.2">
      <c r="A12" s="86" t="str">
        <f t="shared" si="0"/>
        <v>Tumaco</v>
      </c>
      <c r="B12" s="106" t="s">
        <v>28</v>
      </c>
      <c r="C12" s="110" t="str">
        <f>+'VERIFICACIÓN CANTIDADES'!D5</f>
        <v>Blower Aireador Solar de 1 HP
Kit blower o soplador industrial para aireación de estanques con funcionamiento mediante energía solar, Potencia: 750 watts (1 HP), Función Doble Propósito: inyección de aire oxigenado y extracción de gases nocivos, Voltaje: DC 48 voltios, Caudal: mínimo 25 m³/hora, Cobertura: mínimo 666 m², Material carcasa: plástico ABS, Dimensiones: 16 cm de ancho x 46 cm de alto (+/- 3%), Peso: 14 kg (+/- 3%)
Kit Sistema fotovoltaico autónomo compuesto por:
2 paneles solares monocristalinos de 590W.
1 batería ciclo profundo agm 100 amperios y 12 voltios.
1 inversos MPPT 80 amperios con potencia nominal mínima de 3000 watts y tensión nominal de trabajo mínima 12 voltios.
6 conectores mc4 par.
2 breakers AC de 30 amperios.
2 mini breakers DC para el riel DIN 32 amperios 800 voltios.
40 metros de cable polarizado apto para sistemas fotovoltaicos.
1 caja de protección para breakers.
3 cables calibre 2 AWG cada uno de 3 metros de longitud.
4 cables calibre 8AWG cada uno de 3 metros de longitud.
1 Dispositivo de Protección contra Sobretensiones (DPS).</v>
      </c>
      <c r="D12" s="62" t="str">
        <f>+'VERIFICACIÓN CANTIDADES'!E5</f>
        <v>Unidad</v>
      </c>
      <c r="E12" s="62">
        <v>1</v>
      </c>
      <c r="F12" s="107">
        <f>+'ANALISIS COTIZACIONES'!K7</f>
        <v>9772000</v>
      </c>
      <c r="G12" s="107">
        <f t="shared" si="1"/>
        <v>9772000</v>
      </c>
      <c r="H12" s="108"/>
    </row>
    <row r="13" spans="1:9" ht="60" x14ac:dyDescent="0.2">
      <c r="A13" s="86" t="str">
        <f t="shared" si="0"/>
        <v>Tumaco</v>
      </c>
      <c r="B13" s="106" t="s">
        <v>28</v>
      </c>
      <c r="C13" s="54" t="str">
        <f>+'VERIFICACIÓN CANTIDADES'!D13</f>
        <v>Geomembrana para revestimiento de estanques o pozos destinados al cultivo de camarón, fabricada en material sintético impermeable tipo HDPE, LLDPE o equivalente, con protección UV y exposiciones ambientales, resistente al rasgado. Dimensiones: área a cubrir 30 m2, medidas sujetas al requerimiento de la supervisión durante ejecución, espesor mínimo 1.0 mm.</v>
      </c>
      <c r="D13" s="76" t="str">
        <f>+'VERIFICACIÓN CANTIDADES'!E13</f>
        <v>Unidad</v>
      </c>
      <c r="E13" s="62">
        <v>30</v>
      </c>
      <c r="F13" s="107">
        <f>+'ANALISIS COTIZACIONES'!K15</f>
        <v>250000</v>
      </c>
      <c r="G13" s="107">
        <f t="shared" si="1"/>
        <v>7500000</v>
      </c>
      <c r="H13" s="109"/>
    </row>
    <row r="14" spans="1:9" ht="36" x14ac:dyDescent="0.2">
      <c r="A14" s="86" t="str">
        <f t="shared" si="0"/>
        <v>Tumaco</v>
      </c>
      <c r="B14" s="106" t="s">
        <v>28</v>
      </c>
      <c r="C14" s="52" t="str">
        <f>+'VERIFICACIÓN CANTIDADES'!D10</f>
        <v>Electrobomba con Potencia de 1 HP, diámetro de entrada tubería 2.54 cm, Flujo máximo de 55 l/min, altura máxima de succión de 50 m para acceso a agua en pozos profundos. Dimensiones compactas de 26 cm x 15 cm x 12 cm.</v>
      </c>
      <c r="D14" s="53" t="str">
        <f>+'VERIFICACIÓN CANTIDADES'!E10</f>
        <v>Unidad</v>
      </c>
      <c r="E14" s="62">
        <v>1</v>
      </c>
      <c r="F14" s="107">
        <f>+'ANALISIS COTIZACIONES'!K12</f>
        <v>453989</v>
      </c>
      <c r="G14" s="107">
        <f t="shared" si="1"/>
        <v>453989</v>
      </c>
    </row>
    <row r="15" spans="1:9" ht="24" x14ac:dyDescent="0.2">
      <c r="A15" s="86" t="str">
        <f t="shared" si="0"/>
        <v>Tumaco</v>
      </c>
      <c r="B15" s="106" t="s">
        <v>28</v>
      </c>
      <c r="C15" s="52" t="str">
        <f>+'VERIFICACIÓN CANTIDADES'!D19</f>
        <v>Manguera 1/2 polietileno con una longitud de 100 M para soportar una presión de 120 Psi, fabricada con un 70% de material recuperado y un 30% de material virgen</v>
      </c>
      <c r="D15" s="53" t="str">
        <f>+'VERIFICACIÓN CANTIDADES'!E19</f>
        <v>Rollo</v>
      </c>
      <c r="E15" s="62">
        <v>1</v>
      </c>
      <c r="F15" s="107">
        <f>+'ANALISIS COTIZACIONES'!K21</f>
        <v>200000</v>
      </c>
      <c r="G15" s="107">
        <f t="shared" si="1"/>
        <v>200000</v>
      </c>
      <c r="I15" s="108"/>
    </row>
    <row r="16" spans="1:9" ht="48" x14ac:dyDescent="0.2">
      <c r="A16" s="86" t="str">
        <f t="shared" si="0"/>
        <v>Tumaco</v>
      </c>
      <c r="B16" s="106" t="s">
        <v>28</v>
      </c>
      <c r="C16" s="54" t="str">
        <f>+'VERIFICACIÓN CANTIDADES'!D26</f>
        <v>Tanque de plástico (polietileno) con capacidad de 1000 litros para almacenamiento de agua potable, diámetro aprox 126 cm, ancho aprox 126 cm y alto aprox 145 cm, con capa interior virgen, avalados por NTC 5022 y NTC 4384, con recubrimiento que evite la producción de algas y bacterias, con aditivo U.V para el bloqueo de rayos ultravioletas.</v>
      </c>
      <c r="D16" s="76" t="str">
        <f>+'VERIFICACIÓN CANTIDADES'!E26</f>
        <v>Unidad</v>
      </c>
      <c r="E16" s="62">
        <v>3</v>
      </c>
      <c r="F16" s="107">
        <f>+'ANALISIS COTIZACIONES'!K28</f>
        <v>600000</v>
      </c>
      <c r="G16" s="107">
        <f t="shared" si="1"/>
        <v>1800000</v>
      </c>
    </row>
    <row r="17" spans="1:7" ht="24" customHeight="1" x14ac:dyDescent="0.2">
      <c r="A17" s="86" t="str">
        <f t="shared" si="0"/>
        <v>Tumaco</v>
      </c>
      <c r="B17" s="106" t="s">
        <v>15</v>
      </c>
      <c r="C17" s="110" t="str">
        <f>+'VERIFICACIÓN CANTIDADES'!D44</f>
        <v>Semilla certificada de Nauplios (larvas) de camarón Machrobraquin tenellum.</v>
      </c>
      <c r="D17" s="62" t="str">
        <f>+'VERIFICACIÓN CANTIDADES'!E44</f>
        <v>Unidad</v>
      </c>
      <c r="E17" s="62">
        <v>3000</v>
      </c>
      <c r="F17" s="107">
        <f>+'ANALISIS COTIZACIONES'!K51</f>
        <v>300</v>
      </c>
      <c r="G17" s="107">
        <f t="shared" si="1"/>
        <v>900000</v>
      </c>
    </row>
    <row r="18" spans="1:7" ht="48" x14ac:dyDescent="0.2">
      <c r="A18" s="86" t="str">
        <f t="shared" si="0"/>
        <v>Tumaco</v>
      </c>
      <c r="B18" s="106" t="s">
        <v>15</v>
      </c>
      <c r="C18" s="110" t="str">
        <f>+'VERIFICACIÓN CANTIDADES'!D43</f>
        <v>Melaza de Caña Liquida como producto derivado de la caña de azúcar, con aspecto de color marrón oscuro, líquido denso y viscoso, de sabor dulce y ligeramente amargo. Composición: Azucares Totales mínimo 48%, cenizas sulfatadas máximo 16%, grados °brix 85. Presentación Bulto x 30 kg.</v>
      </c>
      <c r="D18" s="62" t="str">
        <f>+'VERIFICACIÓN CANTIDADES'!E43</f>
        <v>Bulto</v>
      </c>
      <c r="E18" s="62">
        <v>2</v>
      </c>
      <c r="F18" s="107">
        <f>+'ANALISIS COTIZACIONES'!K50</f>
        <v>38400</v>
      </c>
      <c r="G18" s="107">
        <f t="shared" si="1"/>
        <v>76800</v>
      </c>
    </row>
    <row r="19" spans="1:7" ht="36" x14ac:dyDescent="0.2">
      <c r="A19" s="86" t="str">
        <f t="shared" si="0"/>
        <v>Tumaco</v>
      </c>
      <c r="B19" s="106" t="s">
        <v>28</v>
      </c>
      <c r="C19" s="54" t="str">
        <f>+'VERIFICACIÓN CANTIDADES'!D24</f>
        <v>Pala redonda en acero forjado de alta durabilidad Ancho aprox 26 cm, alto aprox 145 cm, espesor aprox 0.16 cm, con cabo de madera y manija plástica con un peso aproximado de 1 kilogramos.</v>
      </c>
      <c r="D19" s="76" t="str">
        <f>+'VERIFICACIÓN CANTIDADES'!E24</f>
        <v>Unidad</v>
      </c>
      <c r="E19" s="62">
        <v>1</v>
      </c>
      <c r="F19" s="107">
        <f>+'ANALISIS COTIZACIONES'!K26</f>
        <v>60000</v>
      </c>
      <c r="G19" s="107">
        <f t="shared" si="1"/>
        <v>60000</v>
      </c>
    </row>
    <row r="20" spans="1:7" ht="60" x14ac:dyDescent="0.2">
      <c r="A20" s="86" t="str">
        <f t="shared" si="0"/>
        <v>Tumaco</v>
      </c>
      <c r="B20" s="106" t="s">
        <v>28</v>
      </c>
      <c r="C20" s="81" t="str">
        <f>+'VERIFICACIÓN CANTIDADES'!D7</f>
        <v>Chile (Atarraya de ojo pequeño) para captura de peces tipo carnadas. Material de fabricación: Nylon multifilamento, Radio: 1.7 m, Diámetro: 3.4 m, Grosor del nylon: 0.30 cm apróx, con 5 libras de plomo para su hundimiento, Ojo de malla: 1 pulgada, Circunferencia aproximada: 10 m, Red circular de caída en forma de sombrilla y utilizada al voleo, tipo de cierre: bolsa argolla, con protección contra los rayos del sol - UV</v>
      </c>
      <c r="D20" s="53" t="str">
        <f>+'VERIFICACIÓN CANTIDADES'!E7</f>
        <v>Unidad</v>
      </c>
      <c r="E20" s="62">
        <v>1</v>
      </c>
      <c r="F20" s="107">
        <f>+'ANALISIS COTIZACIONES'!K9</f>
        <v>1130000</v>
      </c>
      <c r="G20" s="107">
        <f t="shared" si="1"/>
        <v>1130000</v>
      </c>
    </row>
    <row r="21" spans="1:7" ht="30" customHeight="1" x14ac:dyDescent="0.2">
      <c r="A21" s="86" t="str">
        <f t="shared" si="0"/>
        <v>Tumaco</v>
      </c>
      <c r="B21" s="106" t="s">
        <v>28</v>
      </c>
      <c r="C21" s="52" t="str">
        <f>+'VERIFICACIÓN CANTIDADES'!D18</f>
        <v>Malla pajarera de 1.80 m de ancho por 50 m de largo, fabricada en polipropileno de alta densidad.</v>
      </c>
      <c r="D21" s="53" t="str">
        <f>+'VERIFICACIÓN CANTIDADES'!E18</f>
        <v>Rollo</v>
      </c>
      <c r="E21" s="62">
        <v>2</v>
      </c>
      <c r="F21" s="107">
        <f>+'ANALISIS COTIZACIONES'!K20</f>
        <v>83000</v>
      </c>
      <c r="G21" s="107">
        <f t="shared" si="1"/>
        <v>166000</v>
      </c>
    </row>
    <row r="22" spans="1:7" ht="36" x14ac:dyDescent="0.2">
      <c r="A22" s="86" t="str">
        <f t="shared" si="0"/>
        <v>Tumaco</v>
      </c>
      <c r="B22" s="106" t="s">
        <v>28</v>
      </c>
      <c r="C22" s="52" t="str">
        <f>+'VERIFICACIÓN CANTIDADES'!D6</f>
        <v xml:space="preserve">Carrete Cable Acero Plastificado 1/8”, rollo x 200m, configuración de núcleo en acero galvanizado recubierta por una capa que garantiza protección anticorrosiva, peso aprox 9.7 kg, </v>
      </c>
      <c r="D22" s="53" t="str">
        <f>+'VERIFICACIÓN CANTIDADES'!E6</f>
        <v>Rollo</v>
      </c>
      <c r="E22" s="62">
        <v>1</v>
      </c>
      <c r="F22" s="107">
        <f>+'ANALISIS COTIZACIONES'!K8</f>
        <v>420000</v>
      </c>
      <c r="G22" s="107">
        <f t="shared" si="1"/>
        <v>420000</v>
      </c>
    </row>
    <row r="23" spans="1:7" ht="15" x14ac:dyDescent="0.2">
      <c r="B23" s="221" t="s">
        <v>18</v>
      </c>
      <c r="C23" s="222"/>
      <c r="D23" s="222"/>
      <c r="E23" s="223"/>
      <c r="F23" s="181">
        <f>+SUM(F10:F22)</f>
        <v>13207689</v>
      </c>
      <c r="G23" s="181">
        <f>+SUM(G10:G22)</f>
        <v>33508789</v>
      </c>
    </row>
  </sheetData>
  <mergeCells count="2">
    <mergeCell ref="B23:E23"/>
    <mergeCell ref="B8:G8"/>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2:J29"/>
  <sheetViews>
    <sheetView showGridLines="0" zoomScale="85" zoomScaleNormal="85" workbookViewId="0">
      <selection activeCell="G10" sqref="G10"/>
    </sheetView>
  </sheetViews>
  <sheetFormatPr baseColWidth="10" defaultRowHeight="12" x14ac:dyDescent="0.2"/>
  <cols>
    <col min="1" max="2" width="11.42578125" style="57"/>
    <col min="3" max="3" width="23.42578125" style="91" customWidth="1"/>
    <col min="4" max="4" width="72.85546875" style="96" customWidth="1"/>
    <col min="5" max="5" width="15" style="91" bestFit="1" customWidth="1"/>
    <col min="6" max="6" width="12.7109375" style="82" bestFit="1" customWidth="1"/>
    <col min="7" max="7" width="16" style="82" customWidth="1"/>
    <col min="8" max="8" width="20" style="82" customWidth="1"/>
    <col min="9" max="16384" width="11.42578125" style="57"/>
  </cols>
  <sheetData>
    <row r="2" spans="1:8" x14ac:dyDescent="0.2">
      <c r="C2" s="62" t="s">
        <v>8</v>
      </c>
      <c r="D2" s="174" t="str">
        <f>('INFO GENERAL'!B8)</f>
        <v>Tumaco</v>
      </c>
    </row>
    <row r="3" spans="1:8" x14ac:dyDescent="0.2">
      <c r="C3" s="83" t="s">
        <v>11</v>
      </c>
      <c r="D3" s="175">
        <f>('INFO GENERAL'!E9)</f>
        <v>30</v>
      </c>
    </row>
    <row r="4" spans="1:8" x14ac:dyDescent="0.2">
      <c r="C4" s="62" t="s">
        <v>17</v>
      </c>
      <c r="D4" s="176">
        <f>('INFO GENERAL'!D9)</f>
        <v>100000000</v>
      </c>
    </row>
    <row r="5" spans="1:8" ht="15" x14ac:dyDescent="0.2">
      <c r="C5" s="62" t="s">
        <v>19</v>
      </c>
      <c r="D5" s="177">
        <f>(D4-H29)</f>
        <v>-1341232</v>
      </c>
      <c r="E5" s="173" t="s">
        <v>211</v>
      </c>
    </row>
    <row r="8" spans="1:8" ht="28.5" customHeight="1" x14ac:dyDescent="0.2">
      <c r="C8" s="85" t="s">
        <v>12</v>
      </c>
      <c r="D8" s="85" t="s">
        <v>13</v>
      </c>
      <c r="E8" s="85" t="s">
        <v>86</v>
      </c>
      <c r="F8" s="85" t="s">
        <v>21</v>
      </c>
      <c r="G8" s="85" t="s">
        <v>22</v>
      </c>
      <c r="H8" s="85" t="s">
        <v>23</v>
      </c>
    </row>
    <row r="9" spans="1:8" ht="36" x14ac:dyDescent="0.2">
      <c r="A9" s="86" t="s">
        <v>24</v>
      </c>
      <c r="B9" s="86" t="s">
        <v>26</v>
      </c>
      <c r="C9" s="76" t="s">
        <v>15</v>
      </c>
      <c r="D9" s="54" t="str">
        <f>+'VERIFICACIÓN CANTIDADES'!D29</f>
        <v>Semilla certificada de Alevinos de tilapia roja Oreochromis sp de 1 gramos o de peso aproximado con tamaño entre 2,5 - 3 cm, homogéneos, porcentaje de reversión sexual mínimo del 90%</v>
      </c>
      <c r="E9" s="76" t="str">
        <f>+'VERIFICACIÓN CANTIDADES'!E29</f>
        <v>Unidad</v>
      </c>
      <c r="F9" s="105">
        <v>24250</v>
      </c>
      <c r="G9" s="186">
        <f>+'ANALISIS COTIZACIONES'!K36</f>
        <v>370</v>
      </c>
      <c r="H9" s="188">
        <f>+G9*F9</f>
        <v>8972500</v>
      </c>
    </row>
    <row r="10" spans="1:8" ht="36" x14ac:dyDescent="0.2">
      <c r="A10" s="86" t="s">
        <v>24</v>
      </c>
      <c r="B10" s="86" t="s">
        <v>26</v>
      </c>
      <c r="C10" s="76" t="s">
        <v>15</v>
      </c>
      <c r="D10" s="113" t="str">
        <f>+'VERIFICACIÓN CANTIDADES'!D35</f>
        <v>Concentrado para tilapia harina 45% de proteína min, Grasa min 4%, Fibra máx 6.0%, Cenizas máx 10%, Humedad máx 12%. Fecha de vigencia y/o elaboración. Presentación bulto x 40 Kg.</v>
      </c>
      <c r="E10" s="182" t="str">
        <f>+'VERIFICACIÓN CANTIDADES'!E35</f>
        <v>Bulto</v>
      </c>
      <c r="F10" s="116">
        <v>14</v>
      </c>
      <c r="G10" s="186">
        <f>+'ANALISIS COTIZACIONES'!K42</f>
        <v>228140</v>
      </c>
      <c r="H10" s="188">
        <f t="shared" ref="H10:H28" si="0">+G10*F10</f>
        <v>3193960</v>
      </c>
    </row>
    <row r="11" spans="1:8" ht="36" x14ac:dyDescent="0.2">
      <c r="A11" s="86" t="s">
        <v>24</v>
      </c>
      <c r="B11" s="86" t="s">
        <v>26</v>
      </c>
      <c r="C11" s="76" t="s">
        <v>15</v>
      </c>
      <c r="D11" s="113" t="str">
        <f>+'VERIFICACIÓN CANTIDADES'!D34</f>
        <v>Concentrado para tilapia extruder 38% de proteína min, Grasa min 4%, Fibra máx 6.0%, Cenizas máx 10%, Humedad máx 12%. Fecha de vigencia y/o elaboración. Presentación Bulto x 40 kg.</v>
      </c>
      <c r="E11" s="182" t="str">
        <f>+'VERIFICACIÓN CANTIDADES'!E34</f>
        <v>Bulto</v>
      </c>
      <c r="F11" s="116">
        <v>48</v>
      </c>
      <c r="G11" s="186">
        <f>+'ANALISIS COTIZACIONES'!K41</f>
        <v>179340</v>
      </c>
      <c r="H11" s="188">
        <f t="shared" si="0"/>
        <v>8608320</v>
      </c>
    </row>
    <row r="12" spans="1:8" ht="36" x14ac:dyDescent="0.2">
      <c r="A12" s="86" t="s">
        <v>24</v>
      </c>
      <c r="B12" s="86" t="s">
        <v>26</v>
      </c>
      <c r="C12" s="76" t="s">
        <v>15</v>
      </c>
      <c r="D12" s="113" t="str">
        <f>+'VERIFICACIÓN CANTIDADES'!D33</f>
        <v>Concentrado para tilapia extruder 30% de proteína min, Grasa min 6%, Fibra máx 6.0%, Cenizas máx 12%, Humedad máx 12%. Fecha de vigencia y/o elaboración. Presentación bulto x 40 kg.</v>
      </c>
      <c r="E12" s="182" t="str">
        <f>+'VERIFICACIÓN CANTIDADES'!E33</f>
        <v>Bulto</v>
      </c>
      <c r="F12" s="116">
        <v>146</v>
      </c>
      <c r="G12" s="186">
        <f>+'ANALISIS COTIZACIONES'!K40</f>
        <v>153720</v>
      </c>
      <c r="H12" s="188">
        <f t="shared" si="0"/>
        <v>22443120</v>
      </c>
    </row>
    <row r="13" spans="1:8" ht="36" x14ac:dyDescent="0.2">
      <c r="A13" s="86" t="s">
        <v>24</v>
      </c>
      <c r="B13" s="86" t="s">
        <v>26</v>
      </c>
      <c r="C13" s="76" t="s">
        <v>15</v>
      </c>
      <c r="D13" s="113" t="str">
        <f>+'VERIFICACIÓN CANTIDADES'!D32</f>
        <v>Concentrado para tilapia extruder 24% de proteína min, Grasa min 4%, Fibra máx 8.0%, Cenizas máx 10%, Humedad máx 12 %. Fecha de vigencia y/o elaboración. Presentación Bulto x 40 kg</v>
      </c>
      <c r="E13" s="182" t="str">
        <f>+'VERIFICACIÓN CANTIDADES'!E32</f>
        <v>Bulto</v>
      </c>
      <c r="F13" s="116">
        <v>98</v>
      </c>
      <c r="G13" s="186">
        <f>+'ANALISIS COTIZACIONES'!K39</f>
        <v>135420</v>
      </c>
      <c r="H13" s="188">
        <f t="shared" si="0"/>
        <v>13271160</v>
      </c>
    </row>
    <row r="14" spans="1:8" ht="48" x14ac:dyDescent="0.2">
      <c r="A14" s="86" t="s">
        <v>24</v>
      </c>
      <c r="B14" s="86"/>
      <c r="C14" s="76" t="s">
        <v>15</v>
      </c>
      <c r="D14" s="114" t="str">
        <f>+'VERIFICACIÓN CANTIDADES'!D47</f>
        <v>Sal Marina para Piscicultura, Compuesta por Cloruro sódico (NaCl), Humedad ≤ 0.5%, Cloruro sódico en materia seca ≥ 97%, Residuo insoluble en agua ≤5 gr/kg, Nitrógeno Total ≤20 mg/kg. NO CONTIENE ADITIVOS. Producto Color blanco, granulado, cristalino, inodoro, limpio, suelto y soluble en agua. Presentación bulto x 34 kg.</v>
      </c>
      <c r="E14" s="183" t="str">
        <f>+'VERIFICACIÓN CANTIDADES'!E47</f>
        <v>Bulto</v>
      </c>
      <c r="F14" s="105">
        <v>10</v>
      </c>
      <c r="G14" s="186">
        <f>+'ANALISIS COTIZACIONES'!K54</f>
        <v>40700</v>
      </c>
      <c r="H14" s="188">
        <f t="shared" si="0"/>
        <v>407000</v>
      </c>
    </row>
    <row r="15" spans="1:8" ht="24" x14ac:dyDescent="0.2">
      <c r="A15" s="86" t="s">
        <v>24</v>
      </c>
      <c r="B15" s="86" t="s">
        <v>26</v>
      </c>
      <c r="C15" s="76" t="s">
        <v>28</v>
      </c>
      <c r="D15" s="52" t="str">
        <f>+'VERIFICACIÓN CANTIDADES'!D18</f>
        <v>Malla pajarera de 1.80 m de ancho por 50 m de largo, fabricada en polipropileno de alta densidad.</v>
      </c>
      <c r="E15" s="53" t="str">
        <f>+'VERIFICACIÓN CANTIDADES'!E18</f>
        <v>Rollo</v>
      </c>
      <c r="F15" s="105">
        <v>2</v>
      </c>
      <c r="G15" s="186">
        <f>+'ANALISIS COTIZACIONES'!K20</f>
        <v>83000</v>
      </c>
      <c r="H15" s="188">
        <f t="shared" si="0"/>
        <v>166000</v>
      </c>
    </row>
    <row r="16" spans="1:8" ht="36" x14ac:dyDescent="0.2">
      <c r="A16" s="86" t="s">
        <v>24</v>
      </c>
      <c r="B16" s="86" t="s">
        <v>26</v>
      </c>
      <c r="C16" s="76" t="s">
        <v>28</v>
      </c>
      <c r="D16" s="110" t="str">
        <f>+'VERIFICACIÓN CANTIDADES'!D6</f>
        <v xml:space="preserve">Carrete Cable Acero Plastificado 1/8”, rollo x 200m, configuración de núcleo en acero galvanizado recubierta por una capa que garantiza protección anticorrosiva, peso aprox 9.7 kg, </v>
      </c>
      <c r="E16" s="62" t="str">
        <f>+'VERIFICACIÓN CANTIDADES'!E6</f>
        <v>Rollo</v>
      </c>
      <c r="F16" s="105">
        <v>1</v>
      </c>
      <c r="G16" s="186">
        <f>+'ANALISIS COTIZACIONES'!K8</f>
        <v>420000</v>
      </c>
      <c r="H16" s="188">
        <f t="shared" si="0"/>
        <v>420000</v>
      </c>
    </row>
    <row r="17" spans="1:10" ht="115.5" customHeight="1" x14ac:dyDescent="0.2">
      <c r="A17" s="86" t="s">
        <v>24</v>
      </c>
      <c r="B17" s="86" t="s">
        <v>26</v>
      </c>
      <c r="C17" s="76" t="s">
        <v>28</v>
      </c>
      <c r="D17" s="114" t="str">
        <f>+'VERIFICACIÓN CANTIDADES'!D25</f>
        <v xml:space="preserve">Tanque Circular de Geomembrana, en material polietileno de alta densidad HDPE, calibre 40 mils resistente a rayos ultravioleta, Diámetro del tanque 3m, altura 1.2 metros cúbicos, capacidad de 9.000 litros. Estructura elaborada en platinas de hierro 2” x 1/8” (0.31 cm), con pintura anticorrosiva, conexión al desagüe entre 2-4” Uso: almacenamiento de agua, para piscicultura y almacenamiento en general de líquidos libres de hidrocarburos; producto nuevo y en perfecto estado. Deberá cumplir con la normatividad vigente y aplicable. </v>
      </c>
      <c r="E17" s="183" t="str">
        <f>+'VERIFICACIÓN CANTIDADES'!E25</f>
        <v>Unidad</v>
      </c>
      <c r="F17" s="105">
        <v>1</v>
      </c>
      <c r="G17" s="186">
        <f>+'ANALISIS COTIZACIONES'!K27</f>
        <v>11800000</v>
      </c>
      <c r="H17" s="188">
        <f t="shared" si="0"/>
        <v>11800000</v>
      </c>
    </row>
    <row r="18" spans="1:10" ht="60" x14ac:dyDescent="0.2">
      <c r="A18" s="86" t="s">
        <v>24</v>
      </c>
      <c r="B18" s="86" t="s">
        <v>26</v>
      </c>
      <c r="C18" s="76" t="s">
        <v>28</v>
      </c>
      <c r="D18" s="115" t="str">
        <f>+'VERIFICACIÓN CANTIDADES'!D8</f>
        <v>Chinchorro para Piscicultura 25 x 2,5 m, calibre mínimo 210/12 o equivalente: Aparejo de pesca especial para la captura de peces, Material de fabricación: nylon multifilamento, Ojo de malla de 1 pulgada sin nudo; Flotación con boyas plásticas estándar de color naranja o azul y lastre de plomo que garantice la correcta operación y extensión de red, Con protección contra los rayos del sol – UV.</v>
      </c>
      <c r="E18" s="184" t="str">
        <f>+'VERIFICACIÓN CANTIDADES'!E8</f>
        <v>Unidad</v>
      </c>
      <c r="F18" s="105">
        <v>2</v>
      </c>
      <c r="G18" s="186">
        <f>+'ANALISIS COTIZACIONES'!K10</f>
        <v>3650000</v>
      </c>
      <c r="H18" s="188">
        <f t="shared" si="0"/>
        <v>7300000</v>
      </c>
    </row>
    <row r="19" spans="1:10" ht="60" x14ac:dyDescent="0.2">
      <c r="A19" s="86" t="s">
        <v>24</v>
      </c>
      <c r="B19" s="86" t="s">
        <v>26</v>
      </c>
      <c r="C19" s="76" t="s">
        <v>28</v>
      </c>
      <c r="D19" s="52" t="str">
        <f>+'VERIFICACIÓN CANTIDADES'!D7</f>
        <v>Chile (Atarraya de ojo pequeño) para captura de peces tipo carnadas. Material de fabricación: Nylon multifilamento, Radio: 1.7 m, Diámetro: 3.4 m, Grosor del nylon: 0.30 cm apróx, con 5 libras de plomo para su hundimiento, Ojo de malla: 1 pulgada, Circunferencia aproximada: 10 m, Red circular de caída en forma de sombrilla y utilizada al voleo, tipo de cierre: bolsa argolla, con protección contra los rayos del sol - UV</v>
      </c>
      <c r="E19" s="53" t="str">
        <f>+'VERIFICACIÓN CANTIDADES'!E7</f>
        <v>Unidad</v>
      </c>
      <c r="F19" s="105">
        <v>2</v>
      </c>
      <c r="G19" s="186">
        <f>+'ANALISIS COTIZACIONES'!K9</f>
        <v>1130000</v>
      </c>
      <c r="H19" s="188">
        <f t="shared" si="0"/>
        <v>2260000</v>
      </c>
    </row>
    <row r="20" spans="1:10" ht="48" x14ac:dyDescent="0.2">
      <c r="A20" s="86" t="s">
        <v>24</v>
      </c>
      <c r="B20" s="86" t="s">
        <v>26</v>
      </c>
      <c r="C20" s="76" t="s">
        <v>28</v>
      </c>
      <c r="D20" s="115" t="str">
        <f>+'VERIFICACIÓN CANTIDADES'!D9</f>
        <v>Discos Secchi para monitoreo de calidad de agua en sistemas piscícolas: Diámetro: 25 centímetros, Material del Cuerpo: Acrílico o polietileno reforzado con perno de acero inoxidable, Dos cuadrantes blancos y dos negros, Cinta o cuerda de 3 metros graduada en milímetros, centímetros y/o metros, Pieza de plomo de 250 gramos para contrapeso,</v>
      </c>
      <c r="E20" s="184" t="str">
        <f>+'VERIFICACIÓN CANTIDADES'!E9</f>
        <v>Unidad</v>
      </c>
      <c r="F20" s="105">
        <v>1</v>
      </c>
      <c r="G20" s="186">
        <f>+'ANALISIS COTIZACIONES'!K11</f>
        <v>320000</v>
      </c>
      <c r="H20" s="188">
        <f t="shared" si="0"/>
        <v>320000</v>
      </c>
    </row>
    <row r="21" spans="1:10" ht="108" x14ac:dyDescent="0.2">
      <c r="A21" s="86" t="s">
        <v>24</v>
      </c>
      <c r="B21" s="86" t="s">
        <v>26</v>
      </c>
      <c r="C21" s="76" t="s">
        <v>28</v>
      </c>
      <c r="D21" s="115" t="str">
        <f>+'VERIFICACIÓN CANTIDADES'!D20</f>
        <v>Medidor Portátil de Oxígeno disuelto y temperatura de agua con sonda óptica (4-5mt de longitud), cubierta hermética, Pantalla digital, Fuente de corriente pila de 9 voltios, Estuche del medidor: con IP 67 a prueba de agua, Función de apagado automático después de 30 minutos de inactividad, 50-60 conjunto de datos revisable de memoria, Indicador de batería baja con duración de batería de mínimo 500 horas, Dimensiones (ancho x profundo x alto) 18,7-19,0 cm x 7,6-7,8 cm x 3,8-4,0 cm; Debe incluir: dos pilas, manual de instrucciones en idioma español (impreso y en CD o en formato digital), Set de calibración, 6 membranas de reemplazo, estuche de transporte rígido con espacio para medidor y sonda; con garantía mínimo un (1) año.</v>
      </c>
      <c r="E21" s="184" t="str">
        <f>+'VERIFICACIÓN CANTIDADES'!E20</f>
        <v>Unidad</v>
      </c>
      <c r="F21" s="105">
        <v>1</v>
      </c>
      <c r="G21" s="186">
        <f>+'ANALISIS COTIZACIONES'!K22</f>
        <v>6880000</v>
      </c>
      <c r="H21" s="188">
        <f t="shared" si="0"/>
        <v>6880000</v>
      </c>
    </row>
    <row r="22" spans="1:10" ht="72" x14ac:dyDescent="0.2">
      <c r="A22" s="86" t="s">
        <v>24</v>
      </c>
      <c r="B22" s="86" t="s">
        <v>26</v>
      </c>
      <c r="C22" s="76" t="s">
        <v>28</v>
      </c>
      <c r="D22" s="114" t="str">
        <f>+'VERIFICACIÓN CANTIDADES'!D23</f>
        <v>Overol impermeable con botas incorporadas para labores de pesca y piscicultura, fabricado en material impermeable de alta resistencia, con recubrimiento en PVC o material equivalente, doble costura y selladas. Selló de todas las costuras y doble TAPED los puntos débiles que tiene más fricción en el uso para mantenerte seco al hacer trabajos de pesca. Las botas deberán ser impermeables y contar con suela antideslizante. Disponibilidad variada de tallas en ambos componentes.</v>
      </c>
      <c r="E22" s="183" t="str">
        <f>+'VERIFICACIÓN CANTIDADES'!E23</f>
        <v>Unidad</v>
      </c>
      <c r="F22" s="105">
        <v>3</v>
      </c>
      <c r="G22" s="186">
        <f>+'ANALISIS COTIZACIONES'!K25</f>
        <v>374182</v>
      </c>
      <c r="H22" s="188">
        <f t="shared" si="0"/>
        <v>1122546</v>
      </c>
    </row>
    <row r="23" spans="1:10" ht="204" x14ac:dyDescent="0.2">
      <c r="A23" s="86" t="s">
        <v>24</v>
      </c>
      <c r="B23" s="86" t="s">
        <v>26</v>
      </c>
      <c r="C23" s="76" t="s">
        <v>28</v>
      </c>
      <c r="D23" s="117" t="str">
        <f>+'VERIFICACIÓN CANTIDADES'!D3</f>
        <v>Balanza Mecánica de Reloj para 20 Kilos con Platón, balanza de colgar, Material de fabricación:
Aro Central elaborado en lámina de acero cold rolled Calibre 26 y pintado en esmalte horneable color blanco o azul.
Bisel en aluminio repujado o brillado
Contra bisel hecho en aluminio
Carátula o dial: elaborada en artes y posteriormente se hace la parte de litografía en hojalata, pintada con esmalte horneable y posteriormente se cubre con barniz transparente.
Remache fabricado en hierro 3/8” para el automático.
Resortes compensados a temperatura: elaborados en alambres acerados.
Piñón enterizo en acero.
Visor en vidrio: elaborado en vidrio transparente de 2mm.
Colgante con oreja.
Reloj con aro pintado, División: 1 onza, Diámetro del reloj: 21 cm, Sistema Mecánico con lectura por ambos lados, lectura por una cara en kilos y por la otra en libras.</v>
      </c>
      <c r="E23" s="185" t="str">
        <f>+'VERIFICACIÓN CANTIDADES'!E3</f>
        <v>Unidad</v>
      </c>
      <c r="F23" s="105">
        <v>1</v>
      </c>
      <c r="G23" s="186">
        <f>+'ANALISIS COTIZACIONES'!K5</f>
        <v>225000</v>
      </c>
      <c r="H23" s="188">
        <f t="shared" si="0"/>
        <v>225000</v>
      </c>
    </row>
    <row r="24" spans="1:10" ht="93" customHeight="1" x14ac:dyDescent="0.2">
      <c r="A24" s="86" t="s">
        <v>24</v>
      </c>
      <c r="B24" s="86" t="s">
        <v>26</v>
      </c>
      <c r="C24" s="76" t="s">
        <v>28</v>
      </c>
      <c r="D24" s="117" t="str">
        <f>+'VERIFICACIÓN CANTIDADES'!D4</f>
        <v>Bascula Portátil Electrónica
Báscula portátil electrónica, plataforma plegable 100%, Capacidad de pesaje máximo: 500 kg, Protección de sobrepeso, Bandeja reforzado en acero inoxidable, LCD con luz de fondo, Teclado resistente al agua y al aceite, Unidades de pesaje kilogramos, Dimensiones de la bandeja: 45 cm de ancho x 60 cm de largo aproximadamente; Total función de ahorro de energía, Batería recargable, con mínimo 12 meses de garantía.</v>
      </c>
      <c r="E24" s="185" t="str">
        <f>+'VERIFICACIÓN CANTIDADES'!E4</f>
        <v>Unidad</v>
      </c>
      <c r="F24" s="105">
        <v>1</v>
      </c>
      <c r="G24" s="186">
        <f>+'ANALISIS COTIZACIONES'!K6</f>
        <v>605450</v>
      </c>
      <c r="H24" s="188">
        <f t="shared" si="0"/>
        <v>605450</v>
      </c>
      <c r="J24" s="118"/>
    </row>
    <row r="25" spans="1:10" ht="240" x14ac:dyDescent="0.2">
      <c r="A25" s="86" t="s">
        <v>24</v>
      </c>
      <c r="B25" s="86" t="s">
        <v>26</v>
      </c>
      <c r="C25" s="76" t="s">
        <v>28</v>
      </c>
      <c r="D25" s="117" t="str">
        <f>+'VERIFICACIÓN CANTIDADES'!D16</f>
        <v>Kit multiparamétrico para análisis de calidad de agua dulce en sistemas piscícolas, capaz de medir como mínimo pH, pH de alto rango, amoníaco, nitrito, nitrato, oxígeno y dureza. El kit deberá permitir la realización de mínimo 900 pruebas en total, mediante método colorimétrico o equivalente, e incluir todos los reactivos, recipientes, comparadores e insumos necesarios para su operación.
Contenido mínimo de las pruebas:
Amoniaco: Mínimo 130 pruebas
Nitrato: Mínimo 90 pruebas.
Nitrito: Mínimo 90 pruebas.
Dureza: Mínimo 130 pruebas.
pH: Mínimo 250 pruebas.
pH de alto rango: Mínimo 160 pruebas.
Oxigeno: Mínimo 50 pruebas.
Nota: Los reactivos deberán contar con fecha de vencimiento vigente y remanente mínima del 70% al momento de la entrega. El producto deberá suministrarse con manual o instructivo y en perfectas condiciones. Deberá contar con los accesorios de ensayo correspondientes.</v>
      </c>
      <c r="E25" s="185" t="str">
        <f>+'VERIFICACIÓN CANTIDADES'!E16</f>
        <v>Unidad</v>
      </c>
      <c r="F25" s="105">
        <v>2</v>
      </c>
      <c r="G25" s="186">
        <f>+'ANALISIS COTIZACIONES'!K18</f>
        <v>420000</v>
      </c>
      <c r="H25" s="188">
        <f t="shared" si="0"/>
        <v>840000</v>
      </c>
    </row>
    <row r="26" spans="1:10" ht="78.75" customHeight="1" x14ac:dyDescent="0.2">
      <c r="A26" s="86" t="s">
        <v>24</v>
      </c>
      <c r="B26" s="86" t="s">
        <v>26</v>
      </c>
      <c r="C26" s="76" t="s">
        <v>28</v>
      </c>
      <c r="D26" s="110" t="str">
        <f>+'VERIFICACIÓN CANTIDADES'!D14</f>
        <v>Guadaña con motor de dos tiempos con un rango de  40 CC a 45 CC, potencia de 1,6 - 2.2 KW, peso entre 6 - 6.3 kilogramos, presión acústica 90 - 96 dB, vibraciones izquierda/derecha 6,4/3,4 m/s2, cuchilla matorrales, capacidad de depósito 0,64 litros, eje de transmisión rígido, sistema anti vibración de un punto, longitud total (sin herramienta de corte) 190 centímetros, ancho de corte mínimo de 41 a 42 cm con cabezal de nylon. Incluye puñadura ergonómica multifuncional.</v>
      </c>
      <c r="E26" s="62" t="str">
        <f>+'VERIFICACIÓN CANTIDADES'!E14</f>
        <v>Unidad</v>
      </c>
      <c r="F26" s="105">
        <v>1</v>
      </c>
      <c r="G26" s="186">
        <f>+'ANALISIS COTIZACIONES'!K16</f>
        <v>2238000</v>
      </c>
      <c r="H26" s="188">
        <f t="shared" si="0"/>
        <v>2238000</v>
      </c>
    </row>
    <row r="27" spans="1:10" ht="274.5" customHeight="1" x14ac:dyDescent="0.2">
      <c r="A27" s="86" t="s">
        <v>24</v>
      </c>
      <c r="B27" s="86" t="s">
        <v>26</v>
      </c>
      <c r="C27" s="76" t="s">
        <v>28</v>
      </c>
      <c r="D27" s="110" t="str">
        <f>+'VERIFICACIÓN CANTIDADES'!D5</f>
        <v>Blower Aireador Solar de 1 HP
Kit blower o soplador industrial para aireación de estanques con funcionamiento mediante energía solar, Potencia: 750 watts (1 HP), Función Doble Propósito: inyección de aire oxigenado y extracción de gases nocivos, Voltaje: DC 48 voltios, Caudal: mínimo 25 m³/hora, Cobertura: mínimo 666 m², Material carcasa: plástico ABS, Dimensiones: 16 cm de ancho x 46 cm de alto (+/- 3%), Peso: 14 kg (+/- 3%)
Kit Sistema fotovoltaico autónomo compuesto por:
2 paneles solares monocristalinos de 590W.
1 batería ciclo profundo agm 100 amperios y 12 voltios.
1 inversos MPPT 80 amperios con potencia nominal mínima de 3000 watts y tensión nominal de trabajo mínima 12 voltios.
6 conectores mc4 par.
2 breakers AC de 30 amperios.
2 mini breakers DC para el riel DIN 32 amperios 800 voltios.
40 metros de cable polarizado apto para sistemas fotovoltaicos.
1 caja de protección para breakers.
3 cables calibre 2 AWG cada uno de 3 metros de longitud.
4 cables calibre 8AWG cada uno de 3 metros de longitud.
1 Dispositivo de Protección contra Sobretensiones (DPS).</v>
      </c>
      <c r="E27" s="62" t="str">
        <f>+'VERIFICACIÓN CANTIDADES'!E5</f>
        <v>Unidad</v>
      </c>
      <c r="F27" s="105">
        <v>1</v>
      </c>
      <c r="G27" s="186">
        <f>+'ANALISIS COTIZACIONES'!K7</f>
        <v>9772000</v>
      </c>
      <c r="H27" s="188">
        <f t="shared" si="0"/>
        <v>9772000</v>
      </c>
    </row>
    <row r="28" spans="1:10" ht="48" x14ac:dyDescent="0.2">
      <c r="A28" s="86" t="s">
        <v>24</v>
      </c>
      <c r="B28" s="86" t="s">
        <v>26</v>
      </c>
      <c r="C28" s="76" t="s">
        <v>28</v>
      </c>
      <c r="D28" s="114" t="str">
        <f>+'VERIFICACIÓN CANTIDADES'!D22</f>
        <v>Nasas para muestreo y pesca, fabricada con malla sin nudo de ½” (12.7mm aprox) o equivalente. Estructura fabricada en aluminio, aro de forma cuadrada u ovalada con dimensión comprendida entre 38-55cm, longitud mínima del mango entre 65-90 cm de largo, profundidad del saco entre 35-50 cm.</v>
      </c>
      <c r="E28" s="183" t="str">
        <f>+'VERIFICACIÓN CANTIDADES'!E22</f>
        <v>Unidad</v>
      </c>
      <c r="F28" s="105">
        <v>2</v>
      </c>
      <c r="G28" s="186">
        <f>+'ANALISIS COTIZACIONES'!K24</f>
        <v>248088</v>
      </c>
      <c r="H28" s="188">
        <f t="shared" si="0"/>
        <v>496176</v>
      </c>
    </row>
    <row r="29" spans="1:10" ht="15" customHeight="1" x14ac:dyDescent="0.2">
      <c r="A29" s="86"/>
      <c r="B29" s="86"/>
      <c r="C29" s="226" t="s">
        <v>18</v>
      </c>
      <c r="D29" s="227"/>
      <c r="E29" s="227"/>
      <c r="F29" s="228"/>
      <c r="G29" s="187">
        <f>+SUM(G9:G28)</f>
        <v>38903410</v>
      </c>
      <c r="H29" s="187">
        <f>+SUM(H9:H28)</f>
        <v>101341232</v>
      </c>
    </row>
  </sheetData>
  <autoFilter ref="D8:H29" xr:uid="{00000000-0009-0000-0000-000008000000}"/>
  <mergeCells count="1">
    <mergeCell ref="C29:F29"/>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9" tint="0.59999389629810485"/>
  </sheetPr>
  <dimension ref="A1:G48"/>
  <sheetViews>
    <sheetView showGridLines="0" zoomScale="85" zoomScaleNormal="85" workbookViewId="0">
      <selection activeCell="H3" sqref="H3"/>
    </sheetView>
  </sheetViews>
  <sheetFormatPr baseColWidth="10" defaultRowHeight="12.75" x14ac:dyDescent="0.2"/>
  <cols>
    <col min="1" max="3" width="11.42578125" style="46"/>
    <col min="4" max="4" width="69.5703125" style="42" customWidth="1"/>
    <col min="5" max="5" width="11.42578125" style="45"/>
    <col min="6" max="6" width="16.28515625" style="43" customWidth="1"/>
    <col min="7" max="7" width="17.7109375" style="42" customWidth="1"/>
    <col min="8" max="16384" width="11.42578125" style="42"/>
  </cols>
  <sheetData>
    <row r="1" spans="1:7" s="32" customFormat="1" ht="28.5" customHeight="1" x14ac:dyDescent="0.2">
      <c r="A1" s="58" t="s">
        <v>84</v>
      </c>
      <c r="B1" s="58" t="s">
        <v>85</v>
      </c>
      <c r="C1" s="58" t="s">
        <v>12</v>
      </c>
      <c r="D1" s="59" t="s">
        <v>13</v>
      </c>
      <c r="E1" s="58" t="s">
        <v>86</v>
      </c>
      <c r="F1" s="60" t="s">
        <v>21</v>
      </c>
    </row>
    <row r="2" spans="1:7" s="35" customFormat="1" ht="61.5" customHeight="1" x14ac:dyDescent="0.25">
      <c r="A2" s="33" t="s">
        <v>1</v>
      </c>
      <c r="B2" s="33" t="s">
        <v>5</v>
      </c>
      <c r="C2" s="33" t="s">
        <v>28</v>
      </c>
      <c r="D2" s="61" t="s">
        <v>64</v>
      </c>
      <c r="E2" s="53" t="s">
        <v>14</v>
      </c>
      <c r="F2" s="34">
        <f>(Unificado!F7)+(Unificado!F16)+Unificado!F37+Unificado!F47</f>
        <v>60</v>
      </c>
    </row>
    <row r="3" spans="1:7" s="35" customFormat="1" ht="270" customHeight="1" x14ac:dyDescent="0.25">
      <c r="A3" s="33" t="s">
        <v>24</v>
      </c>
      <c r="B3" s="33" t="s">
        <v>26</v>
      </c>
      <c r="C3" s="33" t="s">
        <v>28</v>
      </c>
      <c r="D3" s="36" t="s">
        <v>68</v>
      </c>
      <c r="E3" s="53" t="s">
        <v>14</v>
      </c>
      <c r="F3" s="39">
        <f>(Unificado!F80)</f>
        <v>1</v>
      </c>
    </row>
    <row r="4" spans="1:7" s="35" customFormat="1" ht="102" x14ac:dyDescent="0.25">
      <c r="A4" s="33" t="s">
        <v>24</v>
      </c>
      <c r="B4" s="33" t="s">
        <v>26</v>
      </c>
      <c r="C4" s="33" t="s">
        <v>28</v>
      </c>
      <c r="D4" s="36" t="s">
        <v>73</v>
      </c>
      <c r="E4" s="53" t="s">
        <v>14</v>
      </c>
      <c r="F4" s="34">
        <f>(Unificado!F81)</f>
        <v>1</v>
      </c>
      <c r="G4" s="37"/>
    </row>
    <row r="5" spans="1:7" s="35" customFormat="1" ht="271.5" customHeight="1" x14ac:dyDescent="0.25">
      <c r="A5" s="33" t="s">
        <v>24</v>
      </c>
      <c r="B5" s="33" t="s">
        <v>30</v>
      </c>
      <c r="C5" s="33" t="s">
        <v>28</v>
      </c>
      <c r="D5" s="38" t="s">
        <v>74</v>
      </c>
      <c r="E5" s="53" t="s">
        <v>14</v>
      </c>
      <c r="F5" s="34">
        <f>(Unificado!F55)+Unificado!F84</f>
        <v>2</v>
      </c>
    </row>
    <row r="6" spans="1:7" s="35" customFormat="1" ht="65.25" customHeight="1" x14ac:dyDescent="0.25">
      <c r="A6" s="33" t="s">
        <v>24</v>
      </c>
      <c r="B6" s="33" t="s">
        <v>26</v>
      </c>
      <c r="C6" s="33" t="s">
        <v>28</v>
      </c>
      <c r="D6" s="38" t="s">
        <v>34</v>
      </c>
      <c r="E6" s="53" t="s">
        <v>27</v>
      </c>
      <c r="F6" s="34">
        <f>(Unificado!F65+Unificado!F73)</f>
        <v>2</v>
      </c>
    </row>
    <row r="7" spans="1:7" s="35" customFormat="1" ht="76.5" x14ac:dyDescent="0.25">
      <c r="A7" s="33" t="s">
        <v>24</v>
      </c>
      <c r="B7" s="33" t="s">
        <v>30</v>
      </c>
      <c r="C7" s="33" t="s">
        <v>28</v>
      </c>
      <c r="D7" s="38" t="s">
        <v>35</v>
      </c>
      <c r="E7" s="53" t="s">
        <v>14</v>
      </c>
      <c r="F7" s="34">
        <f>(Unificado!F63+Unificado!F76)</f>
        <v>3</v>
      </c>
    </row>
    <row r="8" spans="1:7" s="35" customFormat="1" ht="76.5" x14ac:dyDescent="0.25">
      <c r="A8" s="33" t="s">
        <v>24</v>
      </c>
      <c r="B8" s="33" t="s">
        <v>30</v>
      </c>
      <c r="C8" s="33" t="s">
        <v>28</v>
      </c>
      <c r="D8" s="36" t="s">
        <v>65</v>
      </c>
      <c r="E8" s="53" t="s">
        <v>14</v>
      </c>
      <c r="F8" s="34">
        <f>(Unificado!F75)</f>
        <v>2</v>
      </c>
    </row>
    <row r="9" spans="1:7" s="35" customFormat="1" ht="63.75" x14ac:dyDescent="0.25">
      <c r="A9" s="33" t="s">
        <v>24</v>
      </c>
      <c r="B9" s="33" t="s">
        <v>26</v>
      </c>
      <c r="C9" s="33" t="s">
        <v>28</v>
      </c>
      <c r="D9" s="36" t="s">
        <v>66</v>
      </c>
      <c r="E9" s="53" t="s">
        <v>14</v>
      </c>
      <c r="F9" s="34">
        <f>(Unificado!F77)</f>
        <v>1</v>
      </c>
    </row>
    <row r="10" spans="1:7" s="35" customFormat="1" ht="58.5" customHeight="1" x14ac:dyDescent="0.25">
      <c r="A10" s="33" t="s">
        <v>24</v>
      </c>
      <c r="B10" s="33" t="s">
        <v>26</v>
      </c>
      <c r="C10" s="33" t="s">
        <v>28</v>
      </c>
      <c r="D10" s="38" t="s">
        <v>67</v>
      </c>
      <c r="E10" s="53" t="s">
        <v>14</v>
      </c>
      <c r="F10" s="39">
        <f>(Unificado!F57)</f>
        <v>1</v>
      </c>
    </row>
    <row r="11" spans="1:7" s="35" customFormat="1" ht="38.25" x14ac:dyDescent="0.25">
      <c r="A11" s="33" t="s">
        <v>24</v>
      </c>
      <c r="B11" s="33" t="s">
        <v>30</v>
      </c>
      <c r="C11" s="33" t="s">
        <v>28</v>
      </c>
      <c r="D11" s="38" t="s">
        <v>36</v>
      </c>
      <c r="E11" s="53" t="s">
        <v>14</v>
      </c>
      <c r="F11" s="34">
        <f>(Unificado!F10+Unificado!F20+Unificado!F40+Unificado!F50)</f>
        <v>4</v>
      </c>
    </row>
    <row r="12" spans="1:7" s="35" customFormat="1" ht="76.5" x14ac:dyDescent="0.25">
      <c r="A12" s="33" t="s">
        <v>1</v>
      </c>
      <c r="B12" s="33" t="s">
        <v>5</v>
      </c>
      <c r="C12" s="33" t="s">
        <v>28</v>
      </c>
      <c r="D12" s="38" t="s">
        <v>62</v>
      </c>
      <c r="E12" s="53" t="s">
        <v>14</v>
      </c>
      <c r="F12" s="34">
        <f>(Unificado!F18+Unificado!F6+Unificado!F30+Unificado!F38+Unificado!F48)</f>
        <v>75</v>
      </c>
    </row>
    <row r="13" spans="1:7" s="35" customFormat="1" ht="63.75" x14ac:dyDescent="0.25">
      <c r="A13" s="33" t="s">
        <v>1</v>
      </c>
      <c r="B13" s="33" t="s">
        <v>5</v>
      </c>
      <c r="C13" s="33" t="s">
        <v>28</v>
      </c>
      <c r="D13" s="38" t="s">
        <v>75</v>
      </c>
      <c r="E13" s="53" t="s">
        <v>14</v>
      </c>
      <c r="F13" s="34">
        <f>(Unificado!F56)</f>
        <v>30</v>
      </c>
    </row>
    <row r="14" spans="1:7" s="35" customFormat="1" ht="89.25" x14ac:dyDescent="0.25">
      <c r="A14" s="33" t="s">
        <v>24</v>
      </c>
      <c r="B14" s="33" t="s">
        <v>30</v>
      </c>
      <c r="C14" s="33" t="s">
        <v>28</v>
      </c>
      <c r="D14" s="38" t="s">
        <v>63</v>
      </c>
      <c r="E14" s="53" t="s">
        <v>14</v>
      </c>
      <c r="F14" s="34">
        <f>(Unificado!F11+Unificado!F21+Unificado!F32+Unificado!F42+Unificado!F52+Unificado!F83)</f>
        <v>8</v>
      </c>
    </row>
    <row r="15" spans="1:7" s="35" customFormat="1" ht="102" x14ac:dyDescent="0.25">
      <c r="A15" s="33" t="s">
        <v>1</v>
      </c>
      <c r="B15" s="33" t="s">
        <v>5</v>
      </c>
      <c r="C15" s="33" t="s">
        <v>28</v>
      </c>
      <c r="D15" s="38" t="s">
        <v>37</v>
      </c>
      <c r="E15" s="53" t="s">
        <v>14</v>
      </c>
      <c r="F15" s="34">
        <f>(Unificado!F29)</f>
        <v>15</v>
      </c>
    </row>
    <row r="16" spans="1:7" s="35" customFormat="1" ht="267.75" x14ac:dyDescent="0.25">
      <c r="A16" s="33" t="s">
        <v>2</v>
      </c>
      <c r="B16" s="33" t="s">
        <v>6</v>
      </c>
      <c r="C16" s="33" t="s">
        <v>28</v>
      </c>
      <c r="D16" s="36" t="s">
        <v>76</v>
      </c>
      <c r="E16" s="53" t="s">
        <v>14</v>
      </c>
      <c r="F16" s="34">
        <f>(Unificado!F82)</f>
        <v>2</v>
      </c>
    </row>
    <row r="17" spans="1:6" s="35" customFormat="1" ht="63.75" x14ac:dyDescent="0.25">
      <c r="A17" s="33" t="s">
        <v>24</v>
      </c>
      <c r="B17" s="33" t="s">
        <v>26</v>
      </c>
      <c r="C17" s="33" t="s">
        <v>28</v>
      </c>
      <c r="D17" s="38" t="s">
        <v>38</v>
      </c>
      <c r="E17" s="53" t="s">
        <v>14</v>
      </c>
      <c r="F17" s="34">
        <f>(Unificado!F9+Unificado!F19)</f>
        <v>2</v>
      </c>
    </row>
    <row r="18" spans="1:6" s="35" customFormat="1" ht="38.25" x14ac:dyDescent="0.25">
      <c r="A18" s="33" t="s">
        <v>1</v>
      </c>
      <c r="B18" s="33" t="s">
        <v>5</v>
      </c>
      <c r="C18" s="33" t="s">
        <v>28</v>
      </c>
      <c r="D18" s="38" t="s">
        <v>39</v>
      </c>
      <c r="E18" s="53" t="s">
        <v>27</v>
      </c>
      <c r="F18" s="34">
        <f>(Unificado!F64+Unificado!F72)</f>
        <v>4</v>
      </c>
    </row>
    <row r="19" spans="1:6" s="35" customFormat="1" ht="38.25" x14ac:dyDescent="0.25">
      <c r="A19" s="33" t="s">
        <v>24</v>
      </c>
      <c r="B19" s="33" t="s">
        <v>30</v>
      </c>
      <c r="C19" s="33" t="s">
        <v>28</v>
      </c>
      <c r="D19" s="38" t="s">
        <v>29</v>
      </c>
      <c r="E19" s="53" t="s">
        <v>27</v>
      </c>
      <c r="F19" s="34">
        <f>(Unificado!F58)</f>
        <v>1</v>
      </c>
    </row>
    <row r="20" spans="1:6" s="35" customFormat="1" ht="127.5" x14ac:dyDescent="0.25">
      <c r="A20" s="33" t="s">
        <v>24</v>
      </c>
      <c r="B20" s="33" t="s">
        <v>30</v>
      </c>
      <c r="C20" s="33" t="s">
        <v>28</v>
      </c>
      <c r="D20" s="36" t="s">
        <v>40</v>
      </c>
      <c r="E20" s="53" t="s">
        <v>14</v>
      </c>
      <c r="F20" s="34">
        <f>(Unificado!F78)</f>
        <v>1</v>
      </c>
    </row>
    <row r="21" spans="1:6" s="35" customFormat="1" ht="63.75" x14ac:dyDescent="0.25">
      <c r="A21" s="33" t="s">
        <v>24</v>
      </c>
      <c r="B21" s="33" t="s">
        <v>26</v>
      </c>
      <c r="C21" s="33" t="s">
        <v>28</v>
      </c>
      <c r="D21" s="38" t="s">
        <v>41</v>
      </c>
      <c r="E21" s="53" t="s">
        <v>14</v>
      </c>
      <c r="F21" s="34">
        <f>(Unificado!F31+Unificado!F41+Unificado!F51)</f>
        <v>5</v>
      </c>
    </row>
    <row r="22" spans="1:6" s="35" customFormat="1" ht="51" x14ac:dyDescent="0.25">
      <c r="A22" s="33" t="s">
        <v>2</v>
      </c>
      <c r="B22" s="33" t="s">
        <v>6</v>
      </c>
      <c r="C22" s="33" t="s">
        <v>28</v>
      </c>
      <c r="D22" s="36" t="s">
        <v>42</v>
      </c>
      <c r="E22" s="53" t="s">
        <v>14</v>
      </c>
      <c r="F22" s="34">
        <f>(Unificado!F85)</f>
        <v>2</v>
      </c>
    </row>
    <row r="23" spans="1:6" s="35" customFormat="1" ht="89.25" x14ac:dyDescent="0.25">
      <c r="A23" s="33" t="s">
        <v>24</v>
      </c>
      <c r="B23" s="33" t="s">
        <v>26</v>
      </c>
      <c r="C23" s="33" t="s">
        <v>28</v>
      </c>
      <c r="D23" s="36" t="s">
        <v>43</v>
      </c>
      <c r="E23" s="53" t="s">
        <v>14</v>
      </c>
      <c r="F23" s="34">
        <f>(Unificado!F79)</f>
        <v>3</v>
      </c>
    </row>
    <row r="24" spans="1:6" s="35" customFormat="1" ht="38.25" x14ac:dyDescent="0.25">
      <c r="A24" s="33" t="s">
        <v>24</v>
      </c>
      <c r="B24" s="33" t="s">
        <v>26</v>
      </c>
      <c r="C24" s="33" t="s">
        <v>28</v>
      </c>
      <c r="D24" s="38" t="s">
        <v>44</v>
      </c>
      <c r="E24" s="62" t="s">
        <v>14</v>
      </c>
      <c r="F24" s="34">
        <f>(Unificado!F62)</f>
        <v>1</v>
      </c>
    </row>
    <row r="25" spans="1:6" s="35" customFormat="1" ht="89.25" x14ac:dyDescent="0.25">
      <c r="A25" s="33" t="s">
        <v>24</v>
      </c>
      <c r="B25" s="33" t="s">
        <v>30</v>
      </c>
      <c r="C25" s="33" t="s">
        <v>28</v>
      </c>
      <c r="D25" s="36" t="s">
        <v>45</v>
      </c>
      <c r="E25" s="62" t="s">
        <v>14</v>
      </c>
      <c r="F25" s="34">
        <f>(Unificado!F74)</f>
        <v>1</v>
      </c>
    </row>
    <row r="26" spans="1:6" s="35" customFormat="1" ht="63.75" x14ac:dyDescent="0.25">
      <c r="A26" s="33" t="s">
        <v>24</v>
      </c>
      <c r="B26" s="33" t="s">
        <v>30</v>
      </c>
      <c r="C26" s="33" t="s">
        <v>28</v>
      </c>
      <c r="D26" s="38" t="s">
        <v>77</v>
      </c>
      <c r="E26" s="53" t="s">
        <v>14</v>
      </c>
      <c r="F26" s="34">
        <f>(Unificado!F59)</f>
        <v>3</v>
      </c>
    </row>
    <row r="27" spans="1:6" s="35" customFormat="1" ht="63.75" x14ac:dyDescent="0.25">
      <c r="A27" s="33" t="s">
        <v>24</v>
      </c>
      <c r="B27" s="33" t="s">
        <v>26</v>
      </c>
      <c r="C27" s="33" t="s">
        <v>28</v>
      </c>
      <c r="D27" s="38" t="s">
        <v>78</v>
      </c>
      <c r="E27" s="53" t="s">
        <v>14</v>
      </c>
      <c r="F27" s="34">
        <f>(Unificado!F8+Unificado!F17+Unificado!F28+Unificado!F39+Unificado!F48)</f>
        <v>75</v>
      </c>
    </row>
    <row r="28" spans="1:6" s="35" customFormat="1" ht="63.75" x14ac:dyDescent="0.25">
      <c r="A28" s="33" t="s">
        <v>1</v>
      </c>
      <c r="B28" s="33" t="s">
        <v>5</v>
      </c>
      <c r="C28" s="33" t="s">
        <v>15</v>
      </c>
      <c r="D28" s="38" t="s">
        <v>46</v>
      </c>
      <c r="E28" s="53" t="s">
        <v>69</v>
      </c>
      <c r="F28" s="34">
        <f>(Unificado!F2+Unificado!F12)</f>
        <v>60</v>
      </c>
    </row>
    <row r="29" spans="1:6" s="35" customFormat="1" ht="38.25" x14ac:dyDescent="0.25">
      <c r="A29" s="33" t="s">
        <v>24</v>
      </c>
      <c r="B29" s="33" t="s">
        <v>26</v>
      </c>
      <c r="C29" s="33" t="s">
        <v>15</v>
      </c>
      <c r="D29" s="40" t="s">
        <v>47</v>
      </c>
      <c r="E29" s="53" t="s">
        <v>14</v>
      </c>
      <c r="F29" s="34">
        <f>(Unificado!F66)</f>
        <v>24250</v>
      </c>
    </row>
    <row r="30" spans="1:6" s="35" customFormat="1" ht="56.25" customHeight="1" x14ac:dyDescent="0.25">
      <c r="A30" s="33" t="s">
        <v>24</v>
      </c>
      <c r="B30" s="33" t="s">
        <v>30</v>
      </c>
      <c r="C30" s="33" t="s">
        <v>15</v>
      </c>
      <c r="D30" s="38" t="s">
        <v>48</v>
      </c>
      <c r="E30" s="53" t="s">
        <v>69</v>
      </c>
      <c r="F30" s="39">
        <f>(Unificado!F54)</f>
        <v>4</v>
      </c>
    </row>
    <row r="31" spans="1:6" s="35" customFormat="1" ht="38.25" x14ac:dyDescent="0.25">
      <c r="A31" s="33" t="s">
        <v>24</v>
      </c>
      <c r="B31" s="33" t="s">
        <v>30</v>
      </c>
      <c r="C31" s="33" t="s">
        <v>15</v>
      </c>
      <c r="D31" s="38" t="s">
        <v>49</v>
      </c>
      <c r="E31" s="53" t="s">
        <v>16</v>
      </c>
      <c r="F31" s="34">
        <f>(Unificado!F53)</f>
        <v>70</v>
      </c>
    </row>
    <row r="32" spans="1:6" s="35" customFormat="1" ht="38.25" x14ac:dyDescent="0.25">
      <c r="A32" s="33" t="s">
        <v>24</v>
      </c>
      <c r="B32" s="33" t="s">
        <v>26</v>
      </c>
      <c r="C32" s="33" t="s">
        <v>15</v>
      </c>
      <c r="D32" s="41" t="s">
        <v>50</v>
      </c>
      <c r="E32" s="53" t="s">
        <v>16</v>
      </c>
      <c r="F32" s="34">
        <f>(Unificado!F70)</f>
        <v>98</v>
      </c>
    </row>
    <row r="33" spans="1:6" s="35" customFormat="1" ht="38.25" x14ac:dyDescent="0.25">
      <c r="A33" s="33" t="s">
        <v>24</v>
      </c>
      <c r="B33" s="33" t="s">
        <v>26</v>
      </c>
      <c r="C33" s="33" t="s">
        <v>15</v>
      </c>
      <c r="D33" s="41" t="s">
        <v>79</v>
      </c>
      <c r="E33" s="53" t="s">
        <v>16</v>
      </c>
      <c r="F33" s="34">
        <f>(Unificado!F69)</f>
        <v>146</v>
      </c>
    </row>
    <row r="34" spans="1:6" s="35" customFormat="1" ht="38.25" x14ac:dyDescent="0.25">
      <c r="A34" s="33" t="s">
        <v>24</v>
      </c>
      <c r="B34" s="33" t="s">
        <v>26</v>
      </c>
      <c r="C34" s="33" t="s">
        <v>15</v>
      </c>
      <c r="D34" s="41" t="s">
        <v>51</v>
      </c>
      <c r="E34" s="53" t="s">
        <v>16</v>
      </c>
      <c r="F34" s="34">
        <f>(Unificado!F68)</f>
        <v>48</v>
      </c>
    </row>
    <row r="35" spans="1:6" s="35" customFormat="1" ht="38.25" x14ac:dyDescent="0.25">
      <c r="A35" s="33" t="s">
        <v>24</v>
      </c>
      <c r="B35" s="33" t="s">
        <v>26</v>
      </c>
      <c r="C35" s="33" t="s">
        <v>15</v>
      </c>
      <c r="D35" s="41" t="s">
        <v>52</v>
      </c>
      <c r="E35" s="53" t="s">
        <v>16</v>
      </c>
      <c r="F35" s="44">
        <f>(Unificado!F67)</f>
        <v>14</v>
      </c>
    </row>
    <row r="36" spans="1:6" s="35" customFormat="1" ht="51" x14ac:dyDescent="0.25">
      <c r="A36" s="33" t="s">
        <v>24</v>
      </c>
      <c r="B36" s="33" t="s">
        <v>26</v>
      </c>
      <c r="C36" s="33" t="s">
        <v>15</v>
      </c>
      <c r="D36" s="38" t="s">
        <v>57</v>
      </c>
      <c r="E36" s="53" t="s">
        <v>14</v>
      </c>
      <c r="F36" s="34">
        <f>(Unificado!F22)</f>
        <v>30</v>
      </c>
    </row>
    <row r="37" spans="1:6" s="35" customFormat="1" ht="38.25" x14ac:dyDescent="0.25">
      <c r="A37" s="33" t="s">
        <v>2</v>
      </c>
      <c r="B37" s="33" t="s">
        <v>6</v>
      </c>
      <c r="C37" s="33" t="s">
        <v>15</v>
      </c>
      <c r="D37" s="38" t="s">
        <v>58</v>
      </c>
      <c r="E37" s="53" t="s">
        <v>16</v>
      </c>
      <c r="F37" s="34">
        <f>(Unificado!F15+Unificado!F5)</f>
        <v>30</v>
      </c>
    </row>
    <row r="38" spans="1:6" s="35" customFormat="1" ht="38.25" x14ac:dyDescent="0.25">
      <c r="A38" s="33" t="s">
        <v>1</v>
      </c>
      <c r="B38" s="33" t="s">
        <v>5</v>
      </c>
      <c r="C38" s="33" t="s">
        <v>15</v>
      </c>
      <c r="D38" s="38" t="s">
        <v>80</v>
      </c>
      <c r="E38" s="53" t="s">
        <v>16</v>
      </c>
      <c r="F38" s="34">
        <f>(Unificado!F34+Unificado!F44)</f>
        <v>30</v>
      </c>
    </row>
    <row r="39" spans="1:6" s="35" customFormat="1" ht="38.25" x14ac:dyDescent="0.25">
      <c r="A39" s="33" t="s">
        <v>0</v>
      </c>
      <c r="B39" s="33" t="s">
        <v>4</v>
      </c>
      <c r="C39" s="33" t="s">
        <v>15</v>
      </c>
      <c r="D39" s="38" t="s">
        <v>59</v>
      </c>
      <c r="E39" s="53" t="s">
        <v>70</v>
      </c>
      <c r="F39" s="34">
        <f>(Unificado!F36+Unificado!F46)</f>
        <v>30</v>
      </c>
    </row>
    <row r="40" spans="1:6" s="35" customFormat="1" ht="63.75" x14ac:dyDescent="0.25">
      <c r="A40" s="33" t="s">
        <v>0</v>
      </c>
      <c r="B40" s="33" t="s">
        <v>4</v>
      </c>
      <c r="C40" s="33" t="s">
        <v>15</v>
      </c>
      <c r="D40" s="38" t="s">
        <v>61</v>
      </c>
      <c r="E40" s="53" t="s">
        <v>71</v>
      </c>
      <c r="F40" s="34">
        <f>(Unificado!F13+Unificado!F35+Unificado!F45+Unificado!F3)</f>
        <v>60</v>
      </c>
    </row>
    <row r="41" spans="1:6" s="35" customFormat="1" ht="25.5" x14ac:dyDescent="0.25">
      <c r="A41" s="33" t="s">
        <v>1</v>
      </c>
      <c r="B41" s="33" t="s">
        <v>5</v>
      </c>
      <c r="C41" s="33" t="s">
        <v>15</v>
      </c>
      <c r="D41" s="38" t="s">
        <v>56</v>
      </c>
      <c r="E41" s="53" t="s">
        <v>72</v>
      </c>
      <c r="F41" s="34">
        <f>(Unificado!F24)</f>
        <v>15</v>
      </c>
    </row>
    <row r="42" spans="1:6" s="35" customFormat="1" ht="25.5" x14ac:dyDescent="0.25">
      <c r="A42" s="33" t="s">
        <v>2</v>
      </c>
      <c r="B42" s="33" t="s">
        <v>6</v>
      </c>
      <c r="C42" s="33" t="s">
        <v>15</v>
      </c>
      <c r="D42" s="38" t="s">
        <v>81</v>
      </c>
      <c r="E42" s="53" t="s">
        <v>69</v>
      </c>
      <c r="F42" s="34">
        <f>(Unificado!F4+Unificado!F14+Unificado!F33+Unificado!F43)</f>
        <v>120</v>
      </c>
    </row>
    <row r="43" spans="1:6" s="35" customFormat="1" ht="51" x14ac:dyDescent="0.25">
      <c r="A43" s="33" t="s">
        <v>1</v>
      </c>
      <c r="B43" s="33" t="s">
        <v>5</v>
      </c>
      <c r="C43" s="33" t="s">
        <v>15</v>
      </c>
      <c r="D43" s="38" t="s">
        <v>82</v>
      </c>
      <c r="E43" s="53" t="s">
        <v>16</v>
      </c>
      <c r="F43" s="34">
        <f>(Unificado!F61+Unificado!F23)</f>
        <v>17</v>
      </c>
    </row>
    <row r="44" spans="1:6" s="35" customFormat="1" ht="20.25" customHeight="1" x14ac:dyDescent="0.25">
      <c r="A44" s="33" t="s">
        <v>2</v>
      </c>
      <c r="B44" s="33" t="s">
        <v>6</v>
      </c>
      <c r="C44" s="33" t="s">
        <v>15</v>
      </c>
      <c r="D44" s="38" t="s">
        <v>60</v>
      </c>
      <c r="E44" s="53" t="s">
        <v>14</v>
      </c>
      <c r="F44" s="34">
        <f>(Unificado!F60)</f>
        <v>3000</v>
      </c>
    </row>
    <row r="45" spans="1:6" s="35" customFormat="1" ht="51" x14ac:dyDescent="0.25">
      <c r="A45" s="33" t="s">
        <v>24</v>
      </c>
      <c r="B45" s="33" t="s">
        <v>30</v>
      </c>
      <c r="C45" s="33" t="s">
        <v>15</v>
      </c>
      <c r="D45" s="38" t="s">
        <v>83</v>
      </c>
      <c r="E45" s="53" t="s">
        <v>14</v>
      </c>
      <c r="F45" s="34">
        <f>(Unificado!F25)</f>
        <v>30</v>
      </c>
    </row>
    <row r="46" spans="1:6" s="35" customFormat="1" ht="22.5" customHeight="1" x14ac:dyDescent="0.25">
      <c r="A46" s="33" t="s">
        <v>2</v>
      </c>
      <c r="B46" s="33" t="s">
        <v>6</v>
      </c>
      <c r="C46" s="33" t="s">
        <v>15</v>
      </c>
      <c r="D46" s="38" t="s">
        <v>55</v>
      </c>
      <c r="E46" s="53" t="s">
        <v>14</v>
      </c>
      <c r="F46" s="34">
        <f>(Unificado!F26)</f>
        <v>30</v>
      </c>
    </row>
    <row r="47" spans="1:6" s="35" customFormat="1" ht="63.75" x14ac:dyDescent="0.25">
      <c r="A47" s="33" t="s">
        <v>2</v>
      </c>
      <c r="B47" s="33" t="s">
        <v>6</v>
      </c>
      <c r="C47" s="33" t="s">
        <v>15</v>
      </c>
      <c r="D47" s="36" t="s">
        <v>53</v>
      </c>
      <c r="E47" s="53" t="s">
        <v>16</v>
      </c>
      <c r="F47" s="34">
        <f>(Unificado!F71)</f>
        <v>10</v>
      </c>
    </row>
    <row r="48" spans="1:6" s="35" customFormat="1" ht="25.5" x14ac:dyDescent="0.25">
      <c r="A48" s="33" t="s">
        <v>24</v>
      </c>
      <c r="B48" s="33" t="s">
        <v>6</v>
      </c>
      <c r="C48" s="33" t="s">
        <v>15</v>
      </c>
      <c r="D48" s="38" t="s">
        <v>54</v>
      </c>
      <c r="E48" s="53" t="s">
        <v>14</v>
      </c>
      <c r="F48" s="34">
        <f>(Unificado!F27)</f>
        <v>675</v>
      </c>
    </row>
  </sheetData>
  <pageMargins left="0.7" right="0.7" top="0.75" bottom="0.75" header="0.3" footer="0.3"/>
  <pageSetup orientation="portrait" horizontalDpi="4294967292"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99"/>
  <sheetViews>
    <sheetView showGridLines="0" topLeftCell="A85" zoomScale="70" zoomScaleNormal="70" workbookViewId="0">
      <selection activeCell="F92" sqref="F92"/>
    </sheetView>
  </sheetViews>
  <sheetFormatPr baseColWidth="10" defaultRowHeight="15" x14ac:dyDescent="0.25"/>
  <cols>
    <col min="1" max="1" width="16.7109375" style="29" customWidth="1"/>
    <col min="2" max="2" width="19.85546875" style="29" customWidth="1"/>
    <col min="3" max="3" width="17.28515625" style="29" customWidth="1"/>
    <col min="4" max="4" width="70.42578125" style="13" customWidth="1"/>
    <col min="5" max="5" width="17.7109375" style="1" bestFit="1" customWidth="1"/>
    <col min="6" max="6" width="15.7109375" style="1" customWidth="1"/>
    <col min="7" max="7" width="18.5703125" style="21" customWidth="1"/>
    <col min="8" max="9" width="23.42578125" style="22" customWidth="1"/>
  </cols>
  <sheetData>
    <row r="1" spans="1:9" ht="37.5" x14ac:dyDescent="0.25">
      <c r="A1" s="189" t="s">
        <v>110</v>
      </c>
      <c r="B1" s="189" t="s">
        <v>109</v>
      </c>
      <c r="C1" s="189" t="str">
        <f>('Papa china Charco'!B8)</f>
        <v xml:space="preserve">TIPO </v>
      </c>
      <c r="D1" s="189" t="str">
        <f>('Papa china Charco'!C8)</f>
        <v>DESCRIPCION</v>
      </c>
      <c r="E1" s="189" t="str">
        <f>('Papa china Charco'!D8)</f>
        <v>UNIDAD DE MEDIDA</v>
      </c>
      <c r="F1" s="189" t="str">
        <f>('Papa china Charco'!E8)</f>
        <v>CANTIDAD</v>
      </c>
      <c r="G1" s="190" t="str">
        <f>('Papa china Charco'!F8)</f>
        <v>VALOR UNITARIO</v>
      </c>
      <c r="H1" s="191" t="str">
        <f>('Papa china Charco'!G8)</f>
        <v>VALOR TOTAL</v>
      </c>
      <c r="I1" s="24"/>
    </row>
    <row r="2" spans="1:9" ht="75" x14ac:dyDescent="0.25">
      <c r="A2" s="28" t="str">
        <f>('Papa china Charco'!A9)</f>
        <v>El Charco</v>
      </c>
      <c r="B2" s="4" t="s">
        <v>5</v>
      </c>
      <c r="C2" s="4" t="str">
        <f>('Papa china Charco'!B9)</f>
        <v xml:space="preserve">Insumo </v>
      </c>
      <c r="D2" s="3" t="str">
        <f>('Papa china Charco'!C9)</f>
        <v>Abono orgánico mezclado con materiales de origen orgánico animal y vegetal que han sido sometidos a un proceso de compostaje y maduración, con una composición mínima de nitrógeno al 1,5%, Fosforo asimilable al 4% y Potasio soluble al 3,5%, Calcio (CaO) 10%, Magnesio total (MgO) 1.3%, Carbono orgánico oxidable 19% . Bulto x 40 kg.</v>
      </c>
      <c r="E2" s="192" t="str">
        <f>('Papa china Charco'!D9)</f>
        <v xml:space="preserve">Bulto </v>
      </c>
      <c r="F2" s="192">
        <f>('Papa china Charco'!E9)</f>
        <v>30</v>
      </c>
      <c r="G2" s="26">
        <f>('Papa china Charco'!F9)</f>
        <v>80000</v>
      </c>
      <c r="H2" s="23">
        <f>('Papa china Charco'!G9)</f>
        <v>2400000</v>
      </c>
      <c r="I2" s="25"/>
    </row>
    <row r="3" spans="1:9" ht="92.25" customHeight="1" x14ac:dyDescent="0.25">
      <c r="A3" s="28" t="str">
        <f>('Papa china Charco'!A10)</f>
        <v>El Charco</v>
      </c>
      <c r="B3" s="4" t="s">
        <v>5</v>
      </c>
      <c r="C3" s="4" t="str">
        <f>('Papa china Charco'!B10)</f>
        <v xml:space="preserve">Insumo </v>
      </c>
      <c r="D3" s="3" t="str">
        <f>('Papa china Charco'!C10)</f>
        <v>Herbicida foliar no selectivo con ingrediente activo paraquat al 20%, herbicida post-emergente de contacto no selectivo, ideal para controlar rápidamente malezas de hoja ancha y gramíneas, resistente a la lluvia y se inactiva al contacto con el suelo. Densidad 1.070-1.084 g/ml, pH 4-7, contenido paraquat 188-212 g/l, Categoría II. Presentación Caneca x 5 galones.</v>
      </c>
      <c r="E3" s="192" t="str">
        <f>('Papa china Charco'!D10)</f>
        <v xml:space="preserve">Caneca </v>
      </c>
      <c r="F3" s="192">
        <f>('Papa china Charco'!E10)</f>
        <v>15</v>
      </c>
      <c r="G3" s="26">
        <f>('Papa china Charco'!F10)</f>
        <v>255000</v>
      </c>
      <c r="H3" s="23">
        <f>('Papa china Charco'!G10)</f>
        <v>3825000</v>
      </c>
      <c r="I3" s="25"/>
    </row>
    <row r="4" spans="1:9" ht="50.25" customHeight="1" x14ac:dyDescent="0.25">
      <c r="A4" s="28" t="str">
        <f>('Papa china Charco'!A11)</f>
        <v>El Charco</v>
      </c>
      <c r="B4" s="4" t="s">
        <v>5</v>
      </c>
      <c r="C4" s="4" t="str">
        <f>('Papa china Charco'!B11)</f>
        <v xml:space="preserve">Insumo </v>
      </c>
      <c r="D4" s="3" t="str">
        <f>('Papa china Charco'!C11)</f>
        <v xml:space="preserve">Cal dolomita proveniente de la pulverización de la roca dolomita. Calcio total (CaO) 35% - Magnesio total (MgO) 16%, pH 9.7. Bulto x 40 kilogramos </v>
      </c>
      <c r="E4" s="192" t="str">
        <f>('Papa china Charco'!D11)</f>
        <v xml:space="preserve">Bulto </v>
      </c>
      <c r="F4" s="192">
        <f>('Papa china Charco'!E11)</f>
        <v>30</v>
      </c>
      <c r="G4" s="26">
        <f>('Papa china Charco'!F11)</f>
        <v>79500</v>
      </c>
      <c r="H4" s="23">
        <f>('Papa china Charco'!G11)</f>
        <v>2385000</v>
      </c>
      <c r="I4" s="25"/>
    </row>
    <row r="5" spans="1:9" ht="68.25" customHeight="1" x14ac:dyDescent="0.25">
      <c r="A5" s="28" t="str">
        <f>('Papa china Charco'!A12)</f>
        <v>El Charco</v>
      </c>
      <c r="B5" s="4" t="s">
        <v>5</v>
      </c>
      <c r="C5" s="4" t="str">
        <f>('Papa china Charco'!B12)</f>
        <v xml:space="preserve">Insumo </v>
      </c>
      <c r="D5" s="3" t="str">
        <f>('Papa china Charco'!C12)</f>
        <v>Fertilizante complejo, sólido granulado soluble, de color beige pálido. Nitrógeno total (% N) 15%, Fósforo total 15%, Potasio Total 15%, azufre total 10% pH: 6,0 – 7,2. Solubilidad en agua: 90 g/100 ml. Presentación bulto x 50 Kg.</v>
      </c>
      <c r="E5" s="192" t="str">
        <f>('Papa china Charco'!D12)</f>
        <v>Bulto</v>
      </c>
      <c r="F5" s="192">
        <f>('Papa china Charco'!E12)</f>
        <v>15</v>
      </c>
      <c r="G5" s="26">
        <f>('Papa china Charco'!F12)</f>
        <v>305000</v>
      </c>
      <c r="H5" s="23">
        <f>('Papa china Charco'!G12)</f>
        <v>4575000</v>
      </c>
      <c r="I5" s="25"/>
    </row>
    <row r="6" spans="1:9" ht="98.25" customHeight="1" x14ac:dyDescent="0.25">
      <c r="A6" s="28" t="str">
        <f>('Papa china Charco'!A13)</f>
        <v>El Charco</v>
      </c>
      <c r="B6" s="4" t="s">
        <v>5</v>
      </c>
      <c r="C6" s="4" t="str">
        <f>('Papa china Charco'!B13)</f>
        <v>Equipos y herramientas</v>
      </c>
      <c r="D6" s="3" t="str">
        <f>('Papa china Charco'!C13)</f>
        <v>Fumigadora manual de espalda con una capacidad del Recipiente de 20 Litros en polietileno de alta densidad, capacidad de la cámara de 1 Litro, presión Máxima de Trabajo: 40 PSI (+/- 10%), lanza en acero Inoxidable, con pistón en Latón con posiciones de la Llave: Continua, Intermitente y de bloqueo total. Incluye una boquillas metálica de Cono Hueco (1000 cc), portaboquilla de uso agrícola Universal.</v>
      </c>
      <c r="E6" s="192" t="str">
        <f>('Papa china Charco'!D13)</f>
        <v>Unidad</v>
      </c>
      <c r="F6" s="192">
        <f>('Papa china Charco'!E13)</f>
        <v>15</v>
      </c>
      <c r="G6" s="26">
        <f>('Papa china Charco'!F13)</f>
        <v>575000</v>
      </c>
      <c r="H6" s="23">
        <f>('Papa china Charco'!G13)</f>
        <v>8625000</v>
      </c>
      <c r="I6" s="25"/>
    </row>
    <row r="7" spans="1:9" ht="78" customHeight="1" x14ac:dyDescent="0.25">
      <c r="A7" s="28" t="str">
        <f>('Papa china Charco'!A14)</f>
        <v>El Charco</v>
      </c>
      <c r="B7" s="4" t="s">
        <v>5</v>
      </c>
      <c r="C7" s="4" t="str">
        <f>('Papa china Charco'!B14)</f>
        <v>Equipos y herramientas</v>
      </c>
      <c r="D7" s="3" t="str">
        <f>('Papa china Charco'!C14)</f>
        <v>Azada fabricada de una única pieza templada, en acero carbono de alta calidad, recubierta con pintura electrostática a polvo, lámina de tamaño 2.5 pulgadas, ojo de 38 mm de diámetro, mango de 145 cm en madera barnizada.</v>
      </c>
      <c r="E7" s="192" t="str">
        <f>('Papa china Charco'!D14)</f>
        <v>Unidad</v>
      </c>
      <c r="F7" s="192">
        <f>('Papa china Charco'!E14)</f>
        <v>15</v>
      </c>
      <c r="G7" s="26">
        <f>('Papa china Charco'!F14)</f>
        <v>114000</v>
      </c>
      <c r="H7" s="23">
        <f>('Papa china Charco'!G14)</f>
        <v>1710000</v>
      </c>
      <c r="I7" s="25"/>
    </row>
    <row r="8" spans="1:9" ht="78" customHeight="1" x14ac:dyDescent="0.25">
      <c r="A8" s="28" t="str">
        <f>('Papa china Charco'!A15)</f>
        <v>El Charco</v>
      </c>
      <c r="B8" s="4" t="s">
        <v>5</v>
      </c>
      <c r="C8" s="4" t="str">
        <f>('Papa china Charco'!B15)</f>
        <v>Equipos y herramientas</v>
      </c>
      <c r="D8" s="3" t="str">
        <f>('Papa china Charco'!C15)</f>
        <v>Tanque de plástico (polietileno) con capacidad de 500 litros para almacenamiento de agua potable diámetro aprox 105 cm, ancho aprox 105 cm, alto aprox 103 cm, con capa interior virgen, avalados por NTC 5022 y NTC 4384, con recubrimiento que evite la producción de algas y bacterias, con aditivo U.V para el bloqueo de rayos ultravioletas.</v>
      </c>
      <c r="E8" s="192" t="str">
        <f>('Papa china Charco'!D15)</f>
        <v>Unidad</v>
      </c>
      <c r="F8" s="192">
        <f>('Papa china Charco'!E15)</f>
        <v>15</v>
      </c>
      <c r="G8" s="26">
        <f>('Papa china Charco'!F15)</f>
        <v>305000</v>
      </c>
      <c r="H8" s="23">
        <f>('Papa china Charco'!G15)</f>
        <v>4575000</v>
      </c>
      <c r="I8" s="25"/>
    </row>
    <row r="9" spans="1:9" ht="78" customHeight="1" x14ac:dyDescent="0.25">
      <c r="A9" s="28" t="str">
        <f>('Papa china Charco'!A16)</f>
        <v>El Charco</v>
      </c>
      <c r="B9" s="4" t="s">
        <v>5</v>
      </c>
      <c r="C9" s="4" t="str">
        <f>('Papa china Charco'!B16)</f>
        <v>Equipos y herramientas</v>
      </c>
      <c r="D9" s="3" t="str">
        <f>('Papa china Charco'!C16)</f>
        <v>Motocultor con motor Diesel de 4T y 296cc con sistema de arranque manual y abarca en promedio unos 400m²/hora con su trabajo de labranza de entre 180 y 300 mm de profundidad y de entre 1050 y 1350 mm de ancho de transmisión por engranajes, clutch de plato húmedo, palanca de cambios con reversa – marcha 2 – neutro – 1, peso de 160 kilogramos, ruedas de 8 pulgadas.</v>
      </c>
      <c r="E9" s="192" t="str">
        <f>('Papa china Charco'!D16)</f>
        <v>Unidad</v>
      </c>
      <c r="F9" s="192">
        <f>('Papa china Charco'!E16)</f>
        <v>1</v>
      </c>
      <c r="G9" s="26">
        <f>('Papa china Charco'!F16)</f>
        <v>4930327</v>
      </c>
      <c r="H9" s="23">
        <f>('Papa china Charco'!G16)</f>
        <v>4930327</v>
      </c>
      <c r="I9" s="25"/>
    </row>
    <row r="10" spans="1:9" ht="78" customHeight="1" x14ac:dyDescent="0.25">
      <c r="A10" s="28" t="str">
        <f>('Papa china Charco'!A17)</f>
        <v>El Charco</v>
      </c>
      <c r="B10" s="4" t="s">
        <v>5</v>
      </c>
      <c r="C10" s="4" t="str">
        <f>('Papa china Charco'!B17)</f>
        <v>Equipos y herramientas</v>
      </c>
      <c r="D10" s="3" t="str">
        <f>('Papa china Charco'!C17)</f>
        <v>Fumigadora Estacionaria con motor de 5.5 Hp a Gasolina, con bomba automática para un caudal entre 20 - 40 Litros por minuto, presión entre 145 – 580 PSI</v>
      </c>
      <c r="E10" s="192" t="str">
        <f>('Papa china Charco'!D17)</f>
        <v>Unidad</v>
      </c>
      <c r="F10" s="192">
        <f>('Papa china Charco'!E17)</f>
        <v>1</v>
      </c>
      <c r="G10" s="26">
        <f>('Papa china Charco'!F17)</f>
        <v>1637900</v>
      </c>
      <c r="H10" s="23">
        <f>('Papa china Charco'!G17)</f>
        <v>1637900</v>
      </c>
      <c r="I10" s="25"/>
    </row>
    <row r="11" spans="1:9" ht="78" customHeight="1" x14ac:dyDescent="0.25">
      <c r="A11" s="28" t="str">
        <f>('Papa china Charco'!A18)</f>
        <v>El Charco</v>
      </c>
      <c r="B11" s="4" t="s">
        <v>5</v>
      </c>
      <c r="C11" s="4" t="str">
        <f>('Papa china Charco'!B18)</f>
        <v>Equipos y herramientas</v>
      </c>
      <c r="D11" s="3" t="str">
        <f>('Papa china Charco'!C18)</f>
        <v>Guadaña con motor de dos tiempos con un rango de  40 CC a 45 CC, potencia de 1,6 - 2.2 KW, peso entre 6 - 6.3 kilogramos, presión acústica 90 - 96 dB, vibraciones izquierda/derecha 6,4/3,4 m/s2, cuchilla matorrales, capacidad de depósito 0,64 litros, eje de transmisión rígido, sistema anti vibración de un punto, longitud total (sin herramienta de corte) 190 centímetros, ancho de corte mínimo de 41 a 42 cm con cabezal de nylon. Incluye puñadura ergonómica multifuncional.</v>
      </c>
      <c r="E11" s="192" t="str">
        <f>('Papa china Charco'!D18)</f>
        <v>Unidad</v>
      </c>
      <c r="F11" s="192">
        <f>('Papa china Charco'!E18)</f>
        <v>1</v>
      </c>
      <c r="G11" s="26">
        <f>('Papa china Charco'!F18)</f>
        <v>2238000</v>
      </c>
      <c r="H11" s="23">
        <f>('Papa china Charco'!G18)</f>
        <v>2238000</v>
      </c>
      <c r="I11" s="25"/>
    </row>
    <row r="12" spans="1:9" ht="78" customHeight="1" x14ac:dyDescent="0.25">
      <c r="A12" s="28" t="str">
        <f>('Papa china Magui'!A9)</f>
        <v>Santa Barbara de iscuandé</v>
      </c>
      <c r="B12" s="4" t="s">
        <v>5</v>
      </c>
      <c r="C12" s="4" t="str">
        <f>('Papa china Magui'!B9)</f>
        <v xml:space="preserve">Insumo </v>
      </c>
      <c r="D12" s="3" t="str">
        <f>('Papa china Magui'!C9)</f>
        <v>Abono orgánico mezclado con materiales de origen orgánico animal y vegetal que han sido sometidos a un proceso de compostaje y maduración, con una composición mínima de nitrógeno al 1,5%, Fosforo asimilable al 4% y Potasio soluble al 3,5%, Calcio (CaO) 10%, Magnesio total (MgO) 1.3%, Carbono orgánico oxidable 19% . Bulto x 40 kg.</v>
      </c>
      <c r="E12" s="192" t="str">
        <f>('Papa china Magui'!D9)</f>
        <v xml:space="preserve">Bulto </v>
      </c>
      <c r="F12" s="192">
        <f>('Papa china Magui'!E9)</f>
        <v>30</v>
      </c>
      <c r="G12" s="26">
        <f>('Papa china Magui'!F9)</f>
        <v>80000</v>
      </c>
      <c r="H12" s="23">
        <f>('Papa china Magui'!G9)</f>
        <v>2400000</v>
      </c>
      <c r="I12" s="25"/>
    </row>
    <row r="13" spans="1:9" ht="78" customHeight="1" x14ac:dyDescent="0.25">
      <c r="A13" s="28" t="str">
        <f>('Papa china Magui'!A10)</f>
        <v>Santa Barbara de iscuandé</v>
      </c>
      <c r="B13" s="4" t="s">
        <v>5</v>
      </c>
      <c r="C13" s="4" t="str">
        <f>('Papa china Magui'!B10)</f>
        <v xml:space="preserve">Insumo </v>
      </c>
      <c r="D13" s="3" t="str">
        <f>('Papa china Magui'!C10)</f>
        <v>Herbicida foliar no selectivo con ingrediente activo paraquat al 20%, herbicida post-emergente de contacto no selectivo, ideal para controlar rápidamente malezas de hoja ancha y gramíneas, resistente a la lluvia y se inactiva al contacto con el suelo. Densidad 1.070-1.084 g/ml, pH 4-7, contenido paraquat 188-212 g/l, Categoría II. Presentación Caneca x 5 galones.</v>
      </c>
      <c r="E13" s="192" t="str">
        <f>('Papa china Magui'!D10)</f>
        <v xml:space="preserve">Caneca </v>
      </c>
      <c r="F13" s="192">
        <f>('Papa china Magui'!E10)</f>
        <v>15</v>
      </c>
      <c r="G13" s="26">
        <f>('Papa china Magui'!F10)</f>
        <v>255000</v>
      </c>
      <c r="H13" s="23">
        <f>('Papa china Magui'!G10)</f>
        <v>3825000</v>
      </c>
      <c r="I13" s="25"/>
    </row>
    <row r="14" spans="1:9" ht="78" customHeight="1" x14ac:dyDescent="0.25">
      <c r="A14" s="28" t="str">
        <f>('Papa china Magui'!A11)</f>
        <v>Santa Barbara de iscuandé</v>
      </c>
      <c r="B14" s="4" t="s">
        <v>5</v>
      </c>
      <c r="C14" s="4" t="str">
        <f>('Papa china Magui'!B11)</f>
        <v xml:space="preserve">Insumo </v>
      </c>
      <c r="D14" s="3" t="str">
        <f>('Papa china Magui'!C11)</f>
        <v xml:space="preserve">Cal dolomita proveniente de la pulverización de la roca dolomita. Calcio total (CaO) 35% - Magnesio total (MgO) 16%, pH 9.7. Bulto x 40 kilogramos </v>
      </c>
      <c r="E14" s="192" t="str">
        <f>('Papa china Magui'!D11)</f>
        <v xml:space="preserve">Bulto </v>
      </c>
      <c r="F14" s="192">
        <f>('Papa china Magui'!E11)</f>
        <v>30</v>
      </c>
      <c r="G14" s="26">
        <f>('Papa china Magui'!F11)</f>
        <v>79500</v>
      </c>
      <c r="H14" s="23">
        <f>('Papa china Magui'!G11)</f>
        <v>2385000</v>
      </c>
      <c r="I14" s="25"/>
    </row>
    <row r="15" spans="1:9" ht="78" customHeight="1" x14ac:dyDescent="0.25">
      <c r="A15" s="28" t="str">
        <f>('Papa china Magui'!A12)</f>
        <v>Santa Barbara de iscuandé</v>
      </c>
      <c r="B15" s="4" t="s">
        <v>5</v>
      </c>
      <c r="C15" s="4" t="str">
        <f>('Papa china Magui'!B12)</f>
        <v xml:space="preserve">Insumo </v>
      </c>
      <c r="D15" s="3" t="str">
        <f>('Papa china Magui'!C12)</f>
        <v>Fertilizante complejo, sólido granulado soluble, de color beige pálido. Nitrógeno total (% N) 15%, Fósforo total 15%, Potasio Total 15%, azufre total 10% pH: 6,0 – 7,2. Solubilidad en agua: 90 g/100 ml. Presentación bulto x 50 Kg.</v>
      </c>
      <c r="E15" s="192" t="str">
        <f>('Papa china Magui'!D12)</f>
        <v>Bulto</v>
      </c>
      <c r="F15" s="192">
        <f>('Papa china Magui'!E12)</f>
        <v>15</v>
      </c>
      <c r="G15" s="26">
        <f>('Papa china Magui'!F12)</f>
        <v>305000</v>
      </c>
      <c r="H15" s="23">
        <f>('Papa china Magui'!G12)</f>
        <v>4575000</v>
      </c>
      <c r="I15" s="25"/>
    </row>
    <row r="16" spans="1:9" ht="78" customHeight="1" x14ac:dyDescent="0.25">
      <c r="A16" s="28" t="str">
        <f>('Papa china Magui'!A13)</f>
        <v>Santa Barbara de iscuandé</v>
      </c>
      <c r="B16" s="4" t="s">
        <v>5</v>
      </c>
      <c r="C16" s="4" t="str">
        <f>('Papa china Magui'!B13)</f>
        <v>Equipos y herramientas</v>
      </c>
      <c r="D16" s="3" t="str">
        <f>('Papa china Magui'!C13)</f>
        <v>Azada fabricada de una única pieza templada, en acero carbono de alta calidad, recubierta con pintura electrostática a polvo, lámina de tamaño 2.5 pulgadas, ojo de 38 mm de diámetro, mango de 145 cm en madera barnizada.</v>
      </c>
      <c r="E16" s="192" t="str">
        <f>('Papa china Magui'!D13)</f>
        <v>Unidad</v>
      </c>
      <c r="F16" s="192">
        <f>('Papa china Magui'!E13)</f>
        <v>15</v>
      </c>
      <c r="G16" s="26">
        <f>('Papa china Magui'!F13)</f>
        <v>114000</v>
      </c>
      <c r="H16" s="23">
        <f>('Papa china Magui'!G13)</f>
        <v>1710000</v>
      </c>
      <c r="I16" s="25"/>
    </row>
    <row r="17" spans="1:9" ht="78" customHeight="1" x14ac:dyDescent="0.25">
      <c r="A17" s="28" t="str">
        <f>('Papa china Magui'!A14)</f>
        <v>Santa Barbara de iscuandé</v>
      </c>
      <c r="B17" s="4" t="s">
        <v>5</v>
      </c>
      <c r="C17" s="4" t="str">
        <f>('Papa china Magui'!B14)</f>
        <v>Equipos y herramientas</v>
      </c>
      <c r="D17" s="3" t="str">
        <f>('Papa china Magui'!C14)</f>
        <v>Tanque de plástico (polietileno) con capacidad de 500 litros para almacenamiento de agua potable diámetro aprox 105 cm, ancho aprox 105 cm, alto aprox 103 cm, con capa interior virgen, avalados por NTC 5022 y NTC 4384, con recubrimiento que evite la producción de algas y bacterias, con aditivo U.V para el bloqueo de rayos ultravioletas.</v>
      </c>
      <c r="E17" s="192" t="str">
        <f>('Papa china Magui'!D14)</f>
        <v>Unidad</v>
      </c>
      <c r="F17" s="192">
        <f>('Papa china Magui'!E14)</f>
        <v>15</v>
      </c>
      <c r="G17" s="26">
        <f>('Papa china Magui'!F14)</f>
        <v>305000</v>
      </c>
      <c r="H17" s="23">
        <f>('Papa china Magui'!G14)</f>
        <v>4575000</v>
      </c>
      <c r="I17" s="25"/>
    </row>
    <row r="18" spans="1:9" ht="78" customHeight="1" x14ac:dyDescent="0.25">
      <c r="A18" s="28" t="str">
        <f>('Papa china Magui'!A15)</f>
        <v>Santa Barbara de iscuandé</v>
      </c>
      <c r="B18" s="4" t="s">
        <v>5</v>
      </c>
      <c r="C18" s="4" t="str">
        <f>('Papa china Magui'!B15)</f>
        <v>Equipos y herramientas</v>
      </c>
      <c r="D18" s="3" t="str">
        <f>('Papa china Magui'!C15)</f>
        <v>Fumigadora manual de espalda con una capacidad del Recipiente de 20 Litros en polietileno de alta densidad, capacidad de la cámara de 1 Litro, presión Máxima de Trabajo: 40 PSI (+/- 10%), lanza en acero Inoxidable, con pistón en Latón con posiciones de la Llave: Continua, Intermitente y de bloqueo total. Incluye una boquillas metálica de Cono Hueco (1000 cc), portaboquilla de uso agrícola Universal.</v>
      </c>
      <c r="E18" s="192" t="str">
        <f>('Papa china Magui'!D15)</f>
        <v>Unidad</v>
      </c>
      <c r="F18" s="192">
        <f>('Papa china Magui'!E15)</f>
        <v>15</v>
      </c>
      <c r="G18" s="26">
        <f>('Papa china Magui'!F15)</f>
        <v>575000</v>
      </c>
      <c r="H18" s="23">
        <f>('Papa china Magui'!G15)</f>
        <v>8625000</v>
      </c>
      <c r="I18" s="25"/>
    </row>
    <row r="19" spans="1:9" ht="78" customHeight="1" x14ac:dyDescent="0.25">
      <c r="A19" s="28" t="str">
        <f>('Papa china Magui'!A16)</f>
        <v>Santa Barbara de iscuandé</v>
      </c>
      <c r="B19" s="4" t="s">
        <v>5</v>
      </c>
      <c r="C19" s="4" t="str">
        <f>('Papa china Magui'!B16)</f>
        <v>Equipos y herramientas</v>
      </c>
      <c r="D19" s="3" t="str">
        <f>('Papa china Magui'!C16)</f>
        <v>Motocultor con motor Diesel de 4T y 296cc con sistema de arranque manual y abarca en promedio unos 400m²/hora con su trabajo de labranza de entre 180 y 300 mm de profundidad y de entre 1050 y 1350 mm de ancho de transmisión por engranajes, clutch de plato húmedo, palanca de cambios con reversa – marcha 2 – neutro – 1, peso de 160 kilogramos, ruedas de 8 pulgadas.</v>
      </c>
      <c r="E19" s="192" t="str">
        <f>('Papa china Magui'!D16)</f>
        <v>Unidad</v>
      </c>
      <c r="F19" s="192">
        <f>('Papa china Magui'!E16)</f>
        <v>1</v>
      </c>
      <c r="G19" s="26">
        <f>('Papa china Magui'!F16)</f>
        <v>4930327</v>
      </c>
      <c r="H19" s="23">
        <f>('Papa china Magui'!G16)</f>
        <v>4930327</v>
      </c>
      <c r="I19" s="25"/>
    </row>
    <row r="20" spans="1:9" ht="78" customHeight="1" x14ac:dyDescent="0.25">
      <c r="A20" s="28" t="str">
        <f>('Papa china Magui'!A17)</f>
        <v>Santa Barbara de iscuandé</v>
      </c>
      <c r="B20" s="4" t="s">
        <v>5</v>
      </c>
      <c r="C20" s="4" t="str">
        <f>('Papa china Magui'!B17)</f>
        <v>Equipos y herramientas</v>
      </c>
      <c r="D20" s="3" t="str">
        <f>('Papa china Magui'!C17)</f>
        <v>Fumigadora Estacionaria con motor de 5.5 Hp a Gasolina, con bomba automática para un caudal entre 20 - 40 Litros por minuto, presión entre 145 – 580 PSI</v>
      </c>
      <c r="E20" s="192" t="str">
        <f>('Papa china Magui'!D17)</f>
        <v>Unidad</v>
      </c>
      <c r="F20" s="192">
        <f>('Papa china Magui'!E17)</f>
        <v>1</v>
      </c>
      <c r="G20" s="26">
        <f>('Papa china Magui'!F17)</f>
        <v>1637900</v>
      </c>
      <c r="H20" s="23">
        <f>('Papa china Magui'!G17)</f>
        <v>1637900</v>
      </c>
      <c r="I20" s="25"/>
    </row>
    <row r="21" spans="1:9" ht="78" customHeight="1" x14ac:dyDescent="0.25">
      <c r="A21" s="28" t="str">
        <f>('Papa china Magui'!A18)</f>
        <v>Santa Barbara de iscuandé</v>
      </c>
      <c r="B21" s="4" t="s">
        <v>5</v>
      </c>
      <c r="C21" s="4" t="str">
        <f>('Papa china Magui'!B18)</f>
        <v>Equipos y herramientas</v>
      </c>
      <c r="D21" s="3" t="str">
        <f>('Papa china Magui'!C18)</f>
        <v>Guadaña con motor de dos tiempos con un rango de  40 CC a 45 CC, potencia de 1,6 - 2.2 KW, peso entre 6 - 6.3 kilogramos, presión acústica 90 - 96 dB, vibraciones izquierda/derecha 6,4/3,4 m/s2, cuchilla matorrales, capacidad de depósito 0,64 litros, eje de transmisión rígido, sistema anti vibración de un punto, longitud total (sin herramienta de corte) 190 centímetros, ancho de corte mínimo de 41 a 42 cm con cabezal de nylon. Incluye puñadura ergonómica multifuncional.</v>
      </c>
      <c r="E21" s="192" t="str">
        <f>('Papa china Magui'!D18)</f>
        <v>Unidad</v>
      </c>
      <c r="F21" s="192">
        <f>('Papa china Magui'!E18)</f>
        <v>1</v>
      </c>
      <c r="G21" s="26">
        <f>('Papa china Magui'!F18)</f>
        <v>2238000</v>
      </c>
      <c r="H21" s="23">
        <f>('Papa china Magui'!G18)</f>
        <v>2238000</v>
      </c>
      <c r="I21" s="25"/>
    </row>
    <row r="22" spans="1:9" ht="60" x14ac:dyDescent="0.25">
      <c r="A22" s="28" t="str">
        <f>(Coco!A9)</f>
        <v>Mosquera</v>
      </c>
      <c r="B22" s="4" t="s">
        <v>6</v>
      </c>
      <c r="C22" s="4" t="str">
        <f>(Coco!B9)</f>
        <v xml:space="preserve">Insumo </v>
      </c>
      <c r="D22" s="3" t="str">
        <f>(Coco!C9)</f>
        <v>Feromonas de Segregación Rhynchophorol C. Feromona sintética imitante de la señal química del compuesto orgánico secretado por los machos de la especie mencionada para atraer individuos de ambos sexos y de esta forma capturarlos en el trampeo masivo. Sobre x 0,5 ml.</v>
      </c>
      <c r="E22" s="4" t="str">
        <f>(Coco!D9)</f>
        <v>Unidad</v>
      </c>
      <c r="F22" s="192">
        <f>(Coco!E9)</f>
        <v>30</v>
      </c>
      <c r="G22" s="26">
        <f>(Coco!F9)</f>
        <v>20127</v>
      </c>
      <c r="H22" s="23">
        <f>(Coco!G9)</f>
        <v>603810</v>
      </c>
      <c r="I22" s="25"/>
    </row>
    <row r="23" spans="1:9" ht="60" x14ac:dyDescent="0.25">
      <c r="A23" s="28" t="str">
        <f>(Coco!A10)</f>
        <v>Mosquera</v>
      </c>
      <c r="B23" s="4" t="s">
        <v>6</v>
      </c>
      <c r="C23" s="4" t="str">
        <f>(Coco!B10)</f>
        <v xml:space="preserve">Insumo </v>
      </c>
      <c r="D23" s="3" t="str">
        <f>(Coco!C10)</f>
        <v>Melaza de Caña Liquida como producto derivado de la caña de azúcar, con aspecto de color marrón oscuro, líquido denso y viscoso, de sabor dulce y ligeramente amargo. Composición: Azucares Totales mínimo 48%, cenizas sulfatadas máximo 16%, grados °brix 85. Presentación Bulto x 30 kg.</v>
      </c>
      <c r="E23" s="192" t="str">
        <f>(Coco!D10)</f>
        <v>Bulto</v>
      </c>
      <c r="F23" s="192">
        <f>(Coco!E10)</f>
        <v>15</v>
      </c>
      <c r="G23" s="26">
        <f>(Coco!F10)</f>
        <v>38400</v>
      </c>
      <c r="H23" s="23">
        <f>(Coco!G10)</f>
        <v>576000</v>
      </c>
      <c r="I23" s="25"/>
    </row>
    <row r="24" spans="1:9" ht="30" x14ac:dyDescent="0.25">
      <c r="A24" s="28" t="str">
        <f>(Coco!A11)</f>
        <v>Mosquera</v>
      </c>
      <c r="B24" s="4" t="s">
        <v>6</v>
      </c>
      <c r="C24" s="4" t="str">
        <f>(Coco!B11)</f>
        <v xml:space="preserve">Insumo </v>
      </c>
      <c r="D24" s="3" t="str">
        <f>(Coco!C11)</f>
        <v>Insecticida piretroide, con principio activo Lambdacialotrina al 2,5% CE, Densidad: 0,800 +/- 0,010 g/mL pH: 6,0 – 8,0. Presentación en litro.</v>
      </c>
      <c r="E24" s="192" t="str">
        <f>(Coco!D11)</f>
        <v>litro</v>
      </c>
      <c r="F24" s="192">
        <f>(Coco!E11)</f>
        <v>15</v>
      </c>
      <c r="G24" s="26">
        <f>(Coco!F11)</f>
        <v>48200</v>
      </c>
      <c r="H24" s="23">
        <f>(Coco!G11)</f>
        <v>723000</v>
      </c>
      <c r="I24" s="25"/>
    </row>
    <row r="25" spans="1:9" ht="60" x14ac:dyDescent="0.25">
      <c r="A25" s="28" t="str">
        <f>(Coco!A12)</f>
        <v>Mosquera</v>
      </c>
      <c r="B25" s="4" t="s">
        <v>6</v>
      </c>
      <c r="C25" s="4" t="str">
        <f>(Coco!B12)</f>
        <v xml:space="preserve">Insumo </v>
      </c>
      <c r="D25" s="3" t="str">
        <f>(Coco!C12)</f>
        <v>Recipiente bidón plástico con capacidad de 20 litros, para el transporte de líquidos, compatibles con productos químicos, fitosanitarios, agroquímicos. Fabricados con polietileno de alta densidad, grosor constante en todas las áreas del envase.</v>
      </c>
      <c r="E25" s="192" t="str">
        <f>(Coco!D12)</f>
        <v>Unidad</v>
      </c>
      <c r="F25" s="192">
        <f>(Coco!E12)</f>
        <v>30</v>
      </c>
      <c r="G25" s="26">
        <f>(Coco!F12)</f>
        <v>20150</v>
      </c>
      <c r="H25" s="23">
        <f>(Coco!G12)</f>
        <v>604500</v>
      </c>
      <c r="I25" s="25"/>
    </row>
    <row r="26" spans="1:9" x14ac:dyDescent="0.25">
      <c r="A26" s="28" t="str">
        <f>(Coco!A13)</f>
        <v>Mosquera</v>
      </c>
      <c r="B26" s="4" t="s">
        <v>6</v>
      </c>
      <c r="C26" s="4" t="str">
        <f>(Coco!B13)</f>
        <v xml:space="preserve">Insumo </v>
      </c>
      <c r="D26" s="3" t="str">
        <f>(Coco!C13)</f>
        <v>Saco Fique Granel de 70cm X 95cm - tejido 20/20.</v>
      </c>
      <c r="E26" s="192" t="str">
        <f>(Coco!D13)</f>
        <v>Unidad</v>
      </c>
      <c r="F26" s="192">
        <f>(Coco!E13)</f>
        <v>30</v>
      </c>
      <c r="G26" s="26">
        <f>(Coco!F13)</f>
        <v>17000</v>
      </c>
      <c r="H26" s="23">
        <f>(Coco!G13)</f>
        <v>510000</v>
      </c>
      <c r="I26" s="25"/>
    </row>
    <row r="27" spans="1:9" ht="45" x14ac:dyDescent="0.25">
      <c r="A27" s="28" t="str">
        <f>(Coco!A15)</f>
        <v>Mosquera</v>
      </c>
      <c r="B27" s="4" t="s">
        <v>6</v>
      </c>
      <c r="C27" s="4" t="str">
        <f>(Coco!B14)</f>
        <v xml:space="preserve">Insumo </v>
      </c>
      <c r="D27" s="3" t="str">
        <f>(Coco!C14)</f>
        <v>Semillas para palmas de coco con desarrollo de raíz germinativo y tallo mínimo con 4 hojas. Las semillas deben provenir de viveros certificados por el ICA.</v>
      </c>
      <c r="E27" s="192" t="str">
        <f>(Coco!D14)</f>
        <v>Unidad</v>
      </c>
      <c r="F27" s="192">
        <f>(Coco!E14)</f>
        <v>675</v>
      </c>
      <c r="G27" s="26">
        <f>(Coco!F14)</f>
        <v>19600</v>
      </c>
      <c r="H27" s="23">
        <f>(Coco!G14)</f>
        <v>13230000</v>
      </c>
      <c r="I27" s="25"/>
    </row>
    <row r="28" spans="1:9" ht="75" x14ac:dyDescent="0.25">
      <c r="A28" s="28" t="str">
        <f>(Coco!A14)</f>
        <v>Mosquera</v>
      </c>
      <c r="B28" s="4" t="s">
        <v>6</v>
      </c>
      <c r="C28" s="4" t="str">
        <f>(Coco!B15)</f>
        <v>Equipos y herramientas</v>
      </c>
      <c r="D28" s="3" t="str">
        <f>(Coco!C15)</f>
        <v>Tanque de plástico (polietileno) con capacidad de 500 litros para almacenamiento de agua potable diámetro aprox 105 cm, ancho aprox 105 cm, alto aprox 103 cm, con capa interior virgen, avalados por NTC 5022 y NTC 4384, con recubrimiento que evite la producción de algas y bacterias, con aditivo U.V para el bloqueo de rayos ultravioletas.</v>
      </c>
      <c r="E28" s="192" t="str">
        <f>(Coco!D15)</f>
        <v>Unidad</v>
      </c>
      <c r="F28" s="192">
        <f>(Coco!E15)</f>
        <v>15</v>
      </c>
      <c r="G28" s="26">
        <f>(Coco!F15)</f>
        <v>305000</v>
      </c>
      <c r="H28" s="23">
        <f>(Coco!G15)</f>
        <v>4575000</v>
      </c>
      <c r="I28" s="25"/>
    </row>
    <row r="29" spans="1:9" ht="120" x14ac:dyDescent="0.25">
      <c r="A29" s="28" t="str">
        <f>(Coco!A16)</f>
        <v>Mosquera</v>
      </c>
      <c r="B29" s="4" t="s">
        <v>6</v>
      </c>
      <c r="C29" s="4" t="str">
        <f>(Coco!B16)</f>
        <v>Equipos y herramientas</v>
      </c>
      <c r="D29" s="3" t="str">
        <f>(Coco!C16)</f>
        <v>Kit de protección para fumigación, avalado por la NTC 5040 aplicable a cada componente, contiene escafandra laborada en tela anti-fluidos 90% poliéster, 10% acrilatopara repeler líquidos, mascarilla desechable con protección respiratoria de 3 capas de fieltro con filtro de carbón activado, gafas ajustables con protección UV y antiempañantes, guantes fabricados en nitrilo, camisa elaborada en tela anti-fluidos 90% poliéster ,10% acrilato y pantalón en tela antifluidos 90% poliéster, 10% acrílico. Disponibilidad de tallas variadas. Disponibilidad de tallas variadas.</v>
      </c>
      <c r="E29" s="192" t="str">
        <f>(Coco!D16)</f>
        <v>Unidad</v>
      </c>
      <c r="F29" s="192">
        <f>(Coco!E16)</f>
        <v>15</v>
      </c>
      <c r="G29" s="26">
        <f>(Coco!F16)</f>
        <v>211000</v>
      </c>
      <c r="H29" s="23">
        <f>(Coco!G16)</f>
        <v>3165000</v>
      </c>
      <c r="I29" s="25"/>
    </row>
    <row r="30" spans="1:9" ht="90" x14ac:dyDescent="0.25">
      <c r="A30" s="28" t="str">
        <f>(Coco!A17)</f>
        <v>Mosquera</v>
      </c>
      <c r="B30" s="4" t="s">
        <v>6</v>
      </c>
      <c r="C30" s="4" t="str">
        <f>(Coco!B17)</f>
        <v>Equipos y herramientas</v>
      </c>
      <c r="D30" s="3" t="str">
        <f>(Coco!C17)</f>
        <v>Fumigadora manual de espalda con una capacidad del Recipiente de 20 Litros en polietileno de alta densidad, capacidad de la cámara de 1 Litro, presión Máxima de Trabajo: 40 PSI (+/- 10%), lanza en acero Inoxidable, con pistón en Latón con posiciones de la Llave: Continua, Intermitente y de bloqueo total. Incluye una boquillas metálica de Cono Hueco (1000 cc), portaboquilla de uso agrícola Universal.</v>
      </c>
      <c r="E30" s="192" t="str">
        <f>(Coco!D17)</f>
        <v>Unidad</v>
      </c>
      <c r="F30" s="192">
        <f>(Coco!E17)</f>
        <v>15</v>
      </c>
      <c r="G30" s="26">
        <f>(Coco!F17)</f>
        <v>575000</v>
      </c>
      <c r="H30" s="23">
        <f>(Coco!G17)</f>
        <v>8625000</v>
      </c>
      <c r="I30" s="25"/>
    </row>
    <row r="31" spans="1:9" ht="75" x14ac:dyDescent="0.25">
      <c r="A31" s="28" t="str">
        <f>(Coco!A18)</f>
        <v>Mosquera</v>
      </c>
      <c r="B31" s="4" t="s">
        <v>6</v>
      </c>
      <c r="C31" s="4" t="str">
        <f>(Coco!B18)</f>
        <v>Equipos y herramientas</v>
      </c>
      <c r="D31" s="3" t="str">
        <f>(Coco!C18)</f>
        <v>Motosierra a gasolina de cilindrada 72.2 centímetros cúbicos y potencia de 5.23 hp, logro 3,9 kW, peso de la unidad sin combustible de 6,2 kg con una relación peso/potencia de 1,6 kg/kW, para una longitud de la espada 37-75 cm 3, longitud con tope de garra 450 mm, nivel de presión sonora 106 dB, potencia acústica 117 dB.</v>
      </c>
      <c r="E31" s="192" t="str">
        <f>(Coco!D18)</f>
        <v>Unidad</v>
      </c>
      <c r="F31" s="192">
        <f>(Coco!E18)</f>
        <v>1</v>
      </c>
      <c r="G31" s="26">
        <f>(Coco!F18)</f>
        <v>2065900</v>
      </c>
      <c r="H31" s="23">
        <f>(Coco!G18)</f>
        <v>2065900</v>
      </c>
      <c r="I31" s="25"/>
    </row>
    <row r="32" spans="1:9" ht="105" x14ac:dyDescent="0.25">
      <c r="A32" s="28" t="str">
        <f>(Coco!A19)</f>
        <v>Mosquera</v>
      </c>
      <c r="B32" s="4" t="s">
        <v>6</v>
      </c>
      <c r="C32" s="4" t="str">
        <f>(Coco!B19)</f>
        <v>Equipos y herramientas</v>
      </c>
      <c r="D32" s="3" t="str">
        <f>(Coco!C19)</f>
        <v>Guadaña con motor de dos tiempos con un rango de  40 CC a 45 CC, potencia de 1,6 - 2.2 KW, peso entre 6 - 6.3 kilogramos, presión acústica 90 - 96 dB, vibraciones izquierda/derecha 6,4/3,4 m/s2, cuchilla matorrales, capacidad de depósito 0,64 litros, eje de transmisión rígido, sistema anti vibración de un punto, longitud total (sin herramienta de corte) 190 centímetros, ancho de corte mínimo de 41 a 42 cm con cabezal de nylon. Incluye puñadura ergonómica multifuncional.</v>
      </c>
      <c r="E32" s="192" t="str">
        <f>(Coco!D19)</f>
        <v>Unidad</v>
      </c>
      <c r="F32" s="192">
        <f>(Coco!E19)</f>
        <v>1</v>
      </c>
      <c r="G32" s="26">
        <f>(Coco!F19)</f>
        <v>2238000</v>
      </c>
      <c r="H32" s="23">
        <f>(Coco!G19)</f>
        <v>2238000</v>
      </c>
      <c r="I32" s="25"/>
    </row>
    <row r="33" spans="1:9" x14ac:dyDescent="0.25">
      <c r="A33" s="28" t="str">
        <f>('Plátano La Tola'!A8)</f>
        <v>La Tola</v>
      </c>
      <c r="B33" s="4" t="s">
        <v>4</v>
      </c>
      <c r="C33" s="4" t="str">
        <f>('Plátano La Tola'!B8)</f>
        <v xml:space="preserve">Insumo </v>
      </c>
      <c r="D33" s="9" t="str">
        <f>('Plátano La Tola'!C8)</f>
        <v xml:space="preserve">Cal dolomita proveniente de la pulverización de la roca dolomita. Calcio total (CaO) 35% - Magnesio total (MgO) 16%, pH 9.7. Bulto x 40 kilogramos </v>
      </c>
      <c r="E33" s="192" t="str">
        <f>('Plátano La Tola'!D8)</f>
        <v xml:space="preserve">Bulto </v>
      </c>
      <c r="F33" s="192">
        <f>('Plátano La Tola'!E8)</f>
        <v>30</v>
      </c>
      <c r="G33" s="26">
        <f>('Plátano La Tola'!F8)</f>
        <v>79500</v>
      </c>
      <c r="H33" s="23">
        <f>('Plátano La Tola'!G8)</f>
        <v>2385000</v>
      </c>
      <c r="I33" s="25"/>
    </row>
    <row r="34" spans="1:9" ht="45" x14ac:dyDescent="0.25">
      <c r="A34" s="28" t="str">
        <f>('Plátano La Tola'!A9)</f>
        <v>La Tola</v>
      </c>
      <c r="B34" s="4" t="s">
        <v>4</v>
      </c>
      <c r="C34" s="4" t="str">
        <f>('Plátano La Tola'!B9)</f>
        <v xml:space="preserve">Insumo </v>
      </c>
      <c r="D34" s="3" t="str">
        <f>('Plátano La Tola'!C9)</f>
        <v xml:space="preserve">Fertilizante completo formulado 17-6-18-2, con una composición Nitrógeno Total (N) 17%, Fósforo 6%, Potasio 18%, Magnesio total 2%. Presentación bulto x 50 Kg. </v>
      </c>
      <c r="E34" s="192" t="str">
        <f>('Plátano La Tola'!D9)</f>
        <v>Bulto</v>
      </c>
      <c r="F34" s="192">
        <f>('Plátano La Tola'!E9)</f>
        <v>15</v>
      </c>
      <c r="G34" s="26">
        <f>('Plátano La Tola'!F9)</f>
        <v>245000</v>
      </c>
      <c r="H34" s="23">
        <f>('Plátano La Tola'!G9)</f>
        <v>3675000</v>
      </c>
      <c r="I34" s="25"/>
    </row>
    <row r="35" spans="1:9" ht="90" x14ac:dyDescent="0.25">
      <c r="A35" s="28" t="str">
        <f>('Plátano La Tola'!A10)</f>
        <v>La Tola</v>
      </c>
      <c r="B35" s="4" t="s">
        <v>4</v>
      </c>
      <c r="C35" s="4" t="str">
        <f>('Plátano La Tola'!B10)</f>
        <v xml:space="preserve">Insumo </v>
      </c>
      <c r="D35" s="3" t="str">
        <f>('Plátano La Tola'!C10)</f>
        <v>Herbicida foliar no selectivo con ingrediente activo paraquat al 20%, herbicida post-emergente de contacto no selectivo, ideal para controlar rápidamente malezas de hoja ancha y gramíneas, resistente a la lluvia y se inactiva al contacto con el suelo. Densidad 1.070-1.084 g/ml, pH 4-7, contenido paraquat 188-212 g/l, Categoría II. Presentación Caneca x 5 galones.</v>
      </c>
      <c r="E35" s="192" t="str">
        <f>('Plátano La Tola'!D10)</f>
        <v xml:space="preserve">Caneca </v>
      </c>
      <c r="F35" s="192">
        <f>('Plátano La Tola'!E10)</f>
        <v>15</v>
      </c>
      <c r="G35" s="26">
        <f>('Plátano La Tola'!F10)</f>
        <v>255000</v>
      </c>
      <c r="H35" s="23">
        <f>('Plátano La Tola'!G10)</f>
        <v>3825000</v>
      </c>
      <c r="I35" s="25"/>
    </row>
    <row r="36" spans="1:9" ht="45" x14ac:dyDescent="0.25">
      <c r="A36" s="28" t="str">
        <f>('Plátano La Tola'!A11)</f>
        <v>La Tola</v>
      </c>
      <c r="B36" s="4" t="s">
        <v>4</v>
      </c>
      <c r="C36" s="4" t="str">
        <f>('Plátano La Tola'!B11)</f>
        <v xml:space="preserve">Insumo </v>
      </c>
      <c r="D36" s="3" t="str">
        <f>('Plátano La Tola'!C11)</f>
        <v>Fungicida sistémico de aplicación foliar para el control de la sigatoka negra y botrytis su ingrediente activo es Pyrimethanil que inhibe la secreción de encimas. Presentación envase plástico x litro.</v>
      </c>
      <c r="E36" s="192" t="str">
        <f>('Plátano La Tola'!D11)</f>
        <v>Litro</v>
      </c>
      <c r="F36" s="192">
        <f>('Plátano La Tola'!E11)</f>
        <v>15</v>
      </c>
      <c r="G36" s="26">
        <f>('Plátano La Tola'!F11)</f>
        <v>131035</v>
      </c>
      <c r="H36" s="23">
        <f>('Plátano La Tola'!G11)</f>
        <v>1965525</v>
      </c>
      <c r="I36" s="25"/>
    </row>
    <row r="37" spans="1:9" ht="45" x14ac:dyDescent="0.25">
      <c r="A37" s="28" t="str">
        <f>('Plátano La Tola'!A12)</f>
        <v>La Tola</v>
      </c>
      <c r="B37" s="4" t="s">
        <v>4</v>
      </c>
      <c r="C37" s="4" t="str">
        <f>('Plátano La Tola'!B12)</f>
        <v>Equipos y herramientas</v>
      </c>
      <c r="D37" s="3" t="str">
        <f>('Plátano La Tola'!C12)</f>
        <v>Azada fabricada de una única pieza templada, en acero carbono de alta calidad, recubierta con pintura electrostática a polvo, lámina de tamaño 2.5 pulgadas, ojo de 38 mm de diámetro, mango de 145 cm en madera barnizada.</v>
      </c>
      <c r="E37" s="192" t="str">
        <f>('Plátano La Tola'!D12)</f>
        <v>Unidad</v>
      </c>
      <c r="F37" s="192">
        <f>('Plátano La Tola'!E12)</f>
        <v>15</v>
      </c>
      <c r="G37" s="26">
        <f>('Plátano La Tola'!F12)</f>
        <v>114000</v>
      </c>
      <c r="H37" s="23">
        <f>('Plátano La Tola'!G12)</f>
        <v>1710000</v>
      </c>
      <c r="I37" s="25"/>
    </row>
    <row r="38" spans="1:9" ht="90" x14ac:dyDescent="0.25">
      <c r="A38" s="28" t="str">
        <f>('Plátano La Tola'!A13)</f>
        <v>La Tola</v>
      </c>
      <c r="B38" s="4" t="s">
        <v>4</v>
      </c>
      <c r="C38" s="4" t="str">
        <f>('Plátano La Tola'!B13)</f>
        <v>Equipos y herramientas</v>
      </c>
      <c r="D38" s="3" t="str">
        <f>('Plátano La Tola'!C13)</f>
        <v>Fumigadora manual de espalda con una capacidad del Recipiente de 20 Litros en polietileno de alta densidad, capacidad de la cámara de 1 Litro, presión Máxima de Trabajo: 40 PSI (+/- 10%), lanza en acero Inoxidable, con pistón en Latón con posiciones de la Llave: Continua, Intermitente y de bloqueo total. Incluye una boquillas metálica de Cono Hueco (1000 cc), portaboquilla de uso agrícola Universal.</v>
      </c>
      <c r="E38" s="192" t="str">
        <f>('Plátano La Tola'!D13)</f>
        <v>Unidad</v>
      </c>
      <c r="F38" s="192">
        <f>('Plátano La Tola'!E13)</f>
        <v>15</v>
      </c>
      <c r="G38" s="26">
        <f>('Plátano La Tola'!F13)</f>
        <v>575000</v>
      </c>
      <c r="H38" s="23">
        <f>('Plátano La Tola'!G13)</f>
        <v>8625000</v>
      </c>
      <c r="I38" s="25"/>
    </row>
    <row r="39" spans="1:9" ht="75" x14ac:dyDescent="0.25">
      <c r="A39" s="28" t="str">
        <f>('Plátano La Tola'!A14)</f>
        <v>La Tola</v>
      </c>
      <c r="B39" s="4" t="s">
        <v>4</v>
      </c>
      <c r="C39" s="4" t="str">
        <f>('Plátano La Tola'!B14)</f>
        <v>Equipos y herramientas</v>
      </c>
      <c r="D39" s="3" t="str">
        <f>('Plátano La Tola'!C14)</f>
        <v>Tanque de plástico (polietileno) con capacidad de 500 litros para almacenamiento de agua potable diámetro aprox 105 cm, ancho aprox 105 cm, alto aprox 103 cm, con capa interior virgen, avalados por NTC 5022 y NTC 4384, con recubrimiento que evite la producción de algas y bacterias, con aditivo U.V para el bloqueo de rayos ultravioletas.</v>
      </c>
      <c r="E39" s="192" t="str">
        <f>('Plátano La Tola'!D14)</f>
        <v>Unidad</v>
      </c>
      <c r="F39" s="192">
        <f>('Plátano La Tola'!E14)</f>
        <v>15</v>
      </c>
      <c r="G39" s="26">
        <f>('Plátano La Tola'!F14)</f>
        <v>305000</v>
      </c>
      <c r="H39" s="23">
        <f>('Plátano La Tola'!G14)</f>
        <v>4575000</v>
      </c>
      <c r="I39" s="25"/>
    </row>
    <row r="40" spans="1:9" ht="45" x14ac:dyDescent="0.25">
      <c r="A40" s="28" t="str">
        <f>('Plátano La Tola'!A15)</f>
        <v>La Tola</v>
      </c>
      <c r="B40" s="4" t="s">
        <v>4</v>
      </c>
      <c r="C40" s="4" t="str">
        <f>('Plátano La Tola'!B15)</f>
        <v>Equipos y herramientas</v>
      </c>
      <c r="D40" s="3" t="str">
        <f>('Plátano La Tola'!C15)</f>
        <v>Fumigadora Estacionaria con motor de 5.5 Hp a Gasolina, con bomba automática para un caudal entre 20 - 40 Litros por minuto, presión entre 145 – 580 PSI</v>
      </c>
      <c r="E40" s="192" t="str">
        <f>('Plátano La Tola'!D15)</f>
        <v>Unidad</v>
      </c>
      <c r="F40" s="192">
        <f>('Plátano La Tola'!E15)</f>
        <v>1</v>
      </c>
      <c r="G40" s="26">
        <f>('Plátano La Tola'!F15)</f>
        <v>1637900</v>
      </c>
      <c r="H40" s="23">
        <f>('Plátano La Tola'!G15)</f>
        <v>1637900</v>
      </c>
      <c r="I40" s="25"/>
    </row>
    <row r="41" spans="1:9" ht="75" x14ac:dyDescent="0.25">
      <c r="A41" s="28" t="str">
        <f>('Plátano La Tola'!A16)</f>
        <v>La Tola</v>
      </c>
      <c r="B41" s="4" t="s">
        <v>4</v>
      </c>
      <c r="C41" s="4" t="str">
        <f>('Plátano La Tola'!B16)</f>
        <v>Equipos y herramientas</v>
      </c>
      <c r="D41" s="3" t="str">
        <f>('Plátano La Tola'!C16)</f>
        <v>Motosierra a gasolina de cilindrada 72.2 centímetros cúbicos y potencia de 5.23 hp, logro 3,9 kW, peso de la unidad sin combustible de 6,2 kg con una relación peso/potencia de 1,6 kg/kW, para una longitud de la espada 37-75 cm 3, longitud con tope de garra 450 mm, nivel de presión sonora 106 dB, potencia acústica 117 dB.</v>
      </c>
      <c r="E41" s="192" t="str">
        <f>('Plátano La Tola'!D16)</f>
        <v>Unidad</v>
      </c>
      <c r="F41" s="192">
        <f>('Plátano La Tola'!E16)</f>
        <v>2</v>
      </c>
      <c r="G41" s="26">
        <f>('Plátano La Tola'!F16)</f>
        <v>2065900</v>
      </c>
      <c r="H41" s="23">
        <f>('Plátano La Tola'!G16)</f>
        <v>4131800</v>
      </c>
      <c r="I41" s="25"/>
    </row>
    <row r="42" spans="1:9" ht="105" x14ac:dyDescent="0.25">
      <c r="A42" s="28" t="str">
        <f>('Plátano La Tola'!A17)</f>
        <v>La Tola</v>
      </c>
      <c r="B42" s="4" t="s">
        <v>4</v>
      </c>
      <c r="C42" s="4" t="str">
        <f>('Plátano La Tola'!B17)</f>
        <v>Equipos y herramientas</v>
      </c>
      <c r="D42" s="3" t="str">
        <f>('Plátano La Tola'!C17)</f>
        <v>Guadaña con motor de dos tiempos con un rango de  40 CC a 45 CC, potencia de 1,6 - 2.2 KW, peso entre 6 - 6.3 kilogramos, presión acústica 90 - 96 dB, vibraciones izquierda/derecha 6,4/3,4 m/s2, cuchilla matorrales, capacidad de depósito 0,64 litros, eje de transmisión rígido, sistema anti vibración de un punto, longitud total (sin herramienta de corte) 190 centímetros, ancho de corte mínimo de 41 a 42 cm con cabezal de nylon. Incluye puñadura ergonómica multifuncional.</v>
      </c>
      <c r="E42" s="192" t="str">
        <f>('Plátano La Tola'!D17)</f>
        <v>Unidad</v>
      </c>
      <c r="F42" s="192">
        <f>('Plátano La Tola'!E17)</f>
        <v>2</v>
      </c>
      <c r="G42" s="26">
        <f>('Plátano La Tola'!F17)</f>
        <v>2238000</v>
      </c>
      <c r="H42" s="23">
        <f>('Plátano La Tola'!G17)</f>
        <v>4476000</v>
      </c>
      <c r="I42" s="25"/>
    </row>
    <row r="43" spans="1:9" ht="30" x14ac:dyDescent="0.25">
      <c r="A43" s="28" t="str">
        <f>('Plátano Olaya Herrera'!A9)</f>
        <v>Olaya Herrera</v>
      </c>
      <c r="B43" s="4" t="s">
        <v>4</v>
      </c>
      <c r="C43" s="4" t="str">
        <f>('Plátano Olaya Herrera'!B8)</f>
        <v xml:space="preserve">Insumo </v>
      </c>
      <c r="D43" s="3" t="str">
        <f>('Plátano Olaya Herrera'!C8)</f>
        <v xml:space="preserve">Cal dolomita proveniente de la pulverización de la roca dolomita. Calcio total (CaO) 35% - Magnesio total (MgO) 16%, pH 9.7. Bulto x 40 kilogramos </v>
      </c>
      <c r="E43" s="192" t="str">
        <f>('Plátano Olaya Herrera'!D8)</f>
        <v xml:space="preserve">Bulto </v>
      </c>
      <c r="F43" s="192">
        <f>('Plátano Olaya Herrera'!E8)</f>
        <v>30</v>
      </c>
      <c r="G43" s="26">
        <f>('Plátano Olaya Herrera'!F8)</f>
        <v>79500</v>
      </c>
      <c r="H43" s="23">
        <f>('Plátano Olaya Herrera'!G8)</f>
        <v>2385000</v>
      </c>
      <c r="I43" s="25"/>
    </row>
    <row r="44" spans="1:9" ht="45" x14ac:dyDescent="0.25">
      <c r="A44" s="28" t="str">
        <f>('Plátano Olaya Herrera'!A10)</f>
        <v>Olaya Herrera</v>
      </c>
      <c r="B44" s="4" t="s">
        <v>4</v>
      </c>
      <c r="C44" s="4" t="str">
        <f>('Plátano Olaya Herrera'!B9)</f>
        <v xml:space="preserve">Insumo </v>
      </c>
      <c r="D44" s="3" t="str">
        <f>('Plátano Olaya Herrera'!C9)</f>
        <v xml:space="preserve">Fertilizante completo formulado 17-6-18-2, con una composición Nitrógeno Total (N) 17%, Fósforo 6%, Potasio 18%, Magnesio total 2%. Presentación bulto x 50 Kg. </v>
      </c>
      <c r="E44" s="192" t="str">
        <f>('Plátano Olaya Herrera'!D9)</f>
        <v>Bulto</v>
      </c>
      <c r="F44" s="192">
        <f>('Plátano Olaya Herrera'!E9)</f>
        <v>15</v>
      </c>
      <c r="G44" s="26">
        <f>('Plátano Olaya Herrera'!F9)</f>
        <v>245000</v>
      </c>
      <c r="H44" s="23">
        <f>('Plátano Olaya Herrera'!G9)</f>
        <v>3675000</v>
      </c>
      <c r="I44" s="25"/>
    </row>
    <row r="45" spans="1:9" ht="90" x14ac:dyDescent="0.25">
      <c r="A45" s="28" t="str">
        <f>('Plátano Olaya Herrera'!A11)</f>
        <v>Olaya Herrera</v>
      </c>
      <c r="B45" s="4" t="s">
        <v>4</v>
      </c>
      <c r="C45" s="4" t="str">
        <f>('Plátano Olaya Herrera'!B10)</f>
        <v xml:space="preserve">Insumo </v>
      </c>
      <c r="D45" s="3" t="str">
        <f>('Plátano Olaya Herrera'!C10)</f>
        <v>Herbicida foliar no selectivo con ingrediente activo paraquat al 20%, herbicida post-emergente de contacto no selectivo, ideal para controlar rápidamente malezas de hoja ancha y gramíneas, resistente a la lluvia y se inactiva al contacto con el suelo. Densidad 1.070-1.084 g/ml, pH 4-7, contenido paraquat 188-212 g/l, Categoría II. Presentación Caneca x 5 galones.</v>
      </c>
      <c r="E45" s="192" t="str">
        <f>('Plátano Olaya Herrera'!D10)</f>
        <v xml:space="preserve">Caneca </v>
      </c>
      <c r="F45" s="192">
        <f>('Plátano Olaya Herrera'!E10)</f>
        <v>15</v>
      </c>
      <c r="G45" s="26">
        <f>('Plátano Olaya Herrera'!F10)</f>
        <v>255000</v>
      </c>
      <c r="H45" s="23">
        <f>('Plátano Olaya Herrera'!G10)</f>
        <v>3825000</v>
      </c>
      <c r="I45" s="25"/>
    </row>
    <row r="46" spans="1:9" ht="45" x14ac:dyDescent="0.25">
      <c r="A46" s="28" t="str">
        <f>('Plátano Olaya Herrera'!A12)</f>
        <v>Olaya Herrera</v>
      </c>
      <c r="B46" s="4" t="s">
        <v>4</v>
      </c>
      <c r="C46" s="4" t="str">
        <f>('Plátano Olaya Herrera'!B11)</f>
        <v xml:space="preserve">Insumo </v>
      </c>
      <c r="D46" s="3" t="str">
        <f>('Plátano Olaya Herrera'!C11)</f>
        <v>Fungicida sistémico de aplicación foliar para el control de la sigatoka negra y botrytis su ingrediente activo es Pyrimethanil que inhibe la secreción de encimas. Presentación envase plástico x litro.</v>
      </c>
      <c r="E46" s="192" t="str">
        <f>('Plátano Olaya Herrera'!D11)</f>
        <v>Litro</v>
      </c>
      <c r="F46" s="192">
        <f>('Plátano Olaya Herrera'!E11)</f>
        <v>15</v>
      </c>
      <c r="G46" s="26">
        <f>('Plátano Olaya Herrera'!F11)</f>
        <v>131035</v>
      </c>
      <c r="H46" s="23">
        <f>('Plátano Olaya Herrera'!G11)</f>
        <v>1965525</v>
      </c>
      <c r="I46" s="25"/>
    </row>
    <row r="47" spans="1:9" ht="45" x14ac:dyDescent="0.25">
      <c r="A47" s="28" t="str">
        <f>('Plátano Olaya Herrera'!A13)</f>
        <v>Olaya Herrera</v>
      </c>
      <c r="B47" s="4" t="s">
        <v>4</v>
      </c>
      <c r="C47" s="4" t="str">
        <f>('Plátano Olaya Herrera'!B12)</f>
        <v>Equipos y herramientas</v>
      </c>
      <c r="D47" s="3" t="str">
        <f>('Plátano Olaya Herrera'!C12)</f>
        <v>Azada fabricada de una única pieza templada, en acero carbono de alta calidad, recubierta con pintura electrostática a polvo, lámina de tamaño 2.5 pulgadas, ojo de 38 mm de diámetro, mango de 145 cm en madera barnizada.</v>
      </c>
      <c r="E47" s="192" t="str">
        <f>('Plátano Olaya Herrera'!D12)</f>
        <v>Unidad</v>
      </c>
      <c r="F47" s="192">
        <f>('Plátano Olaya Herrera'!E12)</f>
        <v>15</v>
      </c>
      <c r="G47" s="26">
        <f>('Plátano Olaya Herrera'!F12)</f>
        <v>114000</v>
      </c>
      <c r="H47" s="23">
        <f>('Plátano Olaya Herrera'!G12)</f>
        <v>1710000</v>
      </c>
      <c r="I47" s="25"/>
    </row>
    <row r="48" spans="1:9" ht="90" x14ac:dyDescent="0.25">
      <c r="A48" s="28" t="str">
        <f>('Plátano Olaya Herrera'!A14)</f>
        <v>Olaya Herrera</v>
      </c>
      <c r="B48" s="4" t="s">
        <v>4</v>
      </c>
      <c r="C48" s="4" t="str">
        <f>('Plátano Olaya Herrera'!B13)</f>
        <v>Equipos y herramientas</v>
      </c>
      <c r="D48" s="3" t="str">
        <f>('Plátano Olaya Herrera'!C13)</f>
        <v>Fumigadora manual de espalda con una capacidad del Recipiente de 20 Litros en polietileno de alta densidad, capacidad de la cámara de 1 Litro, presión Máxima de Trabajo: 40 PSI (+/- 10%), lanza en acero Inoxidable, con pistón en Latón con posiciones de la Llave: Continua, Intermitente y de bloqueo total. Incluye una boquillas metálica de Cono Hueco (1000 cc), portaboquilla de uso agrícola Universal.</v>
      </c>
      <c r="E48" s="192" t="str">
        <f>('Plátano Olaya Herrera'!D13)</f>
        <v>Unidad</v>
      </c>
      <c r="F48" s="192">
        <f>('Plátano Olaya Herrera'!E13)</f>
        <v>15</v>
      </c>
      <c r="G48" s="26">
        <f>('Plátano Olaya Herrera'!F13)</f>
        <v>575000</v>
      </c>
      <c r="H48" s="23">
        <f>('Plátano Olaya Herrera'!G13)</f>
        <v>8625000</v>
      </c>
      <c r="I48" s="25"/>
    </row>
    <row r="49" spans="1:9" ht="75" x14ac:dyDescent="0.25">
      <c r="A49" s="28" t="str">
        <f>('Plátano Olaya Herrera'!A15)</f>
        <v>Olaya Herrera</v>
      </c>
      <c r="B49" s="4" t="s">
        <v>4</v>
      </c>
      <c r="C49" s="4" t="str">
        <f>('Plátano Olaya Herrera'!B14)</f>
        <v>Equipos y herramientas</v>
      </c>
      <c r="D49" s="3" t="str">
        <f>('Plátano Olaya Herrera'!C14)</f>
        <v>Tanque de plástico (polietileno) con capacidad de 500 litros para almacenamiento de agua potable diámetro aprox 105 cm, ancho aprox 105 cm, alto aprox 103 cm, con capa interior virgen, avalados por NTC 5022 y NTC 4384, con recubrimiento que evite la producción de algas y bacterias, con aditivo U.V para el bloqueo de rayos ultravioletas.</v>
      </c>
      <c r="E49" s="192" t="str">
        <f>('Plátano Olaya Herrera'!D14)</f>
        <v>Unidad</v>
      </c>
      <c r="F49" s="192">
        <f>('Plátano Olaya Herrera'!E14)</f>
        <v>15</v>
      </c>
      <c r="G49" s="26">
        <f>('Plátano Olaya Herrera'!F14)</f>
        <v>305000</v>
      </c>
      <c r="H49" s="23">
        <f>('Plátano Olaya Herrera'!G14)</f>
        <v>4575000</v>
      </c>
      <c r="I49" s="25"/>
    </row>
    <row r="50" spans="1:9" ht="45" x14ac:dyDescent="0.25">
      <c r="A50" s="28" t="str">
        <f>('Plátano Olaya Herrera'!A16)</f>
        <v>Olaya Herrera</v>
      </c>
      <c r="B50" s="4" t="s">
        <v>4</v>
      </c>
      <c r="C50" s="4" t="str">
        <f>('Plátano Olaya Herrera'!B15)</f>
        <v>Equipos y herramientas</v>
      </c>
      <c r="D50" s="3" t="str">
        <f>('Plátano Olaya Herrera'!C15)</f>
        <v>Fumigadora Estacionaria con motor de 5.5 Hp a Gasolina, con bomba automática para un caudal entre 20 - 40 Litros por minuto, presión entre 145 – 580 PSI</v>
      </c>
      <c r="E50" s="192" t="str">
        <f>('Plátano Olaya Herrera'!D15)</f>
        <v>Unidad</v>
      </c>
      <c r="F50" s="192">
        <f>('Plátano Olaya Herrera'!E15)</f>
        <v>1</v>
      </c>
      <c r="G50" s="26">
        <f>('Plátano Olaya Herrera'!F15)</f>
        <v>1637900</v>
      </c>
      <c r="H50" s="23">
        <f>('Plátano Olaya Herrera'!G15)</f>
        <v>1637900</v>
      </c>
      <c r="I50" s="25"/>
    </row>
    <row r="51" spans="1:9" ht="75" x14ac:dyDescent="0.25">
      <c r="A51" s="28" t="str">
        <f>('Plátano Olaya Herrera'!A17)</f>
        <v>Olaya Herrera</v>
      </c>
      <c r="B51" s="4" t="s">
        <v>4</v>
      </c>
      <c r="C51" s="4" t="str">
        <f>('Plátano Olaya Herrera'!B16)</f>
        <v>Equipos y herramientas</v>
      </c>
      <c r="D51" s="3" t="str">
        <f>('Plátano Olaya Herrera'!C16)</f>
        <v>Motosierra a gasolina de cilindrada 72.2 centímetros cúbicos y potencia de 5.23 hp, logro 3,9 kW, peso de la unidad sin combustible de 6,2 kg con una relación peso/potencia de 1,6 kg/kW, para una longitud de la espada 37-75 cm 3, longitud con tope de garra 450 mm, nivel de presión sonora 106 dB, potencia acústica 117 dB.</v>
      </c>
      <c r="E51" s="192" t="str">
        <f>('Plátano Olaya Herrera'!D16)</f>
        <v>Unidad</v>
      </c>
      <c r="F51" s="192">
        <f>('Plátano Olaya Herrera'!E16)</f>
        <v>2</v>
      </c>
      <c r="G51" s="26">
        <f>('Plátano Olaya Herrera'!F16)</f>
        <v>2065900</v>
      </c>
      <c r="H51" s="23">
        <f>('Plátano Olaya Herrera'!G16)</f>
        <v>4131800</v>
      </c>
      <c r="I51" s="25"/>
    </row>
    <row r="52" spans="1:9" ht="105" x14ac:dyDescent="0.25">
      <c r="A52" s="28" t="str">
        <f>('Plátano Olaya Herrera'!A17)</f>
        <v>Olaya Herrera</v>
      </c>
      <c r="B52" s="4" t="s">
        <v>4</v>
      </c>
      <c r="C52" s="4" t="str">
        <f>('Plátano Olaya Herrera'!B17)</f>
        <v>Equipos y herramientas</v>
      </c>
      <c r="D52" s="3" t="str">
        <f>('Plátano Olaya Herrera'!C17)</f>
        <v>Guadaña con motor de dos tiempos con un rango de  40 CC a 45 CC, potencia de 1,6 - 2.2 KW, peso entre 6 - 6.3 kilogramos, presión acústica 90 - 96 dB, vibraciones izquierda/derecha 6,4/3,4 m/s2, cuchilla matorrales, capacidad de depósito 0,64 litros, eje de transmisión rígido, sistema anti vibración de un punto, longitud total (sin herramienta de corte) 190 centímetros, ancho de corte mínimo de 41 a 42 cm con cabezal de nylon. Incluye puñadura ergonómica multifuncional.</v>
      </c>
      <c r="E52" s="192" t="str">
        <f>('Plátano Olaya Herrera'!D17)</f>
        <v>Unidad</v>
      </c>
      <c r="F52" s="192">
        <f>('Plátano Olaya Herrera'!E17)</f>
        <v>2</v>
      </c>
      <c r="G52" s="26">
        <f>('Plátano Olaya Herrera'!F17)</f>
        <v>2238000</v>
      </c>
      <c r="H52" s="23">
        <f>('Plátano Olaya Herrera'!G17)</f>
        <v>4476000</v>
      </c>
      <c r="I52" s="25"/>
    </row>
    <row r="53" spans="1:9" ht="45" x14ac:dyDescent="0.25">
      <c r="A53" s="28" t="str">
        <f>(Camarón!A10)</f>
        <v>Tumaco</v>
      </c>
      <c r="B53" s="4" t="s">
        <v>30</v>
      </c>
      <c r="C53" s="4" t="str">
        <f>(Camarón!B10)</f>
        <v xml:space="preserve">Insumo </v>
      </c>
      <c r="D53" s="3" t="str">
        <f>(Camarón!C10)</f>
        <v>Concentrado para camarón, durante las etapas de levante y finalización,. Proteína (MIN) 35.0%, Grasa (MIN) 5.0%, fibra (MIN) 5.0%, ceniza (MÁX) 12%, humedad (MÁX) 13.0%, presentación bulto x 40 kg</v>
      </c>
      <c r="E53" s="192" t="str">
        <f>(Camarón!D10)</f>
        <v>Bulto</v>
      </c>
      <c r="F53" s="192">
        <f>(Camarón!E10)</f>
        <v>70</v>
      </c>
      <c r="G53" s="26">
        <f>(Camarón!F10)</f>
        <v>155000</v>
      </c>
      <c r="H53" s="23">
        <f>(Camarón!G10)</f>
        <v>10850000</v>
      </c>
      <c r="I53" s="25"/>
    </row>
    <row r="54" spans="1:9" ht="45" x14ac:dyDescent="0.25">
      <c r="A54" s="28" t="str">
        <f>(Camarón!A11)</f>
        <v>Tumaco</v>
      </c>
      <c r="B54" s="4" t="s">
        <v>30</v>
      </c>
      <c r="C54" s="4" t="str">
        <f>(Camarón!B11)</f>
        <v xml:space="preserve">Insumo </v>
      </c>
      <c r="D54" s="3" t="str">
        <f>(Camarón!C11)</f>
        <v>Cal agrícola: polvo blanco, finamente divido e inoloro, material . Carbonato de Calcio CaCO3 90%-100%. solubilidad 0.017 g/l, punto de fusión 825ºC. Bulto x 50 kg</v>
      </c>
      <c r="E54" s="192" t="str">
        <f>(Camarón!D11)</f>
        <v xml:space="preserve">Bulto </v>
      </c>
      <c r="F54" s="192">
        <f>(Camarón!E11)</f>
        <v>4</v>
      </c>
      <c r="G54" s="26">
        <f>(Camarón!F11)</f>
        <v>45000</v>
      </c>
      <c r="H54" s="23">
        <f>(Camarón!G11)</f>
        <v>180000</v>
      </c>
      <c r="I54" s="25"/>
    </row>
    <row r="55" spans="1:9" ht="330" x14ac:dyDescent="0.25">
      <c r="A55" s="28" t="str">
        <f>(Camarón!A12)</f>
        <v>Tumaco</v>
      </c>
      <c r="B55" s="4" t="s">
        <v>30</v>
      </c>
      <c r="C55" s="4" t="str">
        <f>(Camarón!B12)</f>
        <v>Equipos y herramientas</v>
      </c>
      <c r="D55" s="3" t="str">
        <f>(Camarón!C12)</f>
        <v>Blower Aireador Solar de 1 HP
Kit blower o soplador industrial para aireación de estanques con funcionamiento mediante energía solar, Potencia: 750 watts (1 HP), Función Doble Propósito: inyección de aire oxigenado y extracción de gases nocivos, Voltaje: DC 48 voltios, Caudal: mínimo 25 m³/hora, Cobertura: mínimo 666 m², Material carcasa: plástico ABS, Dimensiones: 16 cm de ancho x 46 cm de alto (+/- 3%), Peso: 14 kg (+/- 3%)
Kit Sistema fotovoltaico autónomo compuesto por:
2 paneles solares monocristalinos de 590W.
1 batería ciclo profundo agm 100 amperios y 12 voltios.
1 inversos MPPT 80 amperios con potencia nominal mínima de 3000 watts y tensión nominal de trabajo mínima 12 voltios.
6 conectores mc4 par.
2 breakers AC de 30 amperios.
2 mini breakers DC para el riel DIN 32 amperios 800 voltios.
40 metros de cable polarizado apto para sistemas fotovoltaicos.
1 caja de protección para breakers.
3 cables calibre 2 AWG cada uno de 3 metros de longitud.
4 cables calibre 8AWG cada uno de 3 metros de longitud.
1 Dispositivo de Protección contra Sobretensiones (DPS).</v>
      </c>
      <c r="E55" s="192" t="str">
        <f>(Camarón!D12)</f>
        <v>Unidad</v>
      </c>
      <c r="F55" s="192">
        <f>(Camarón!E12)</f>
        <v>1</v>
      </c>
      <c r="G55" s="26">
        <f>(Camarón!F12)</f>
        <v>9772000</v>
      </c>
      <c r="H55" s="23">
        <f>(Camarón!G12)</f>
        <v>9772000</v>
      </c>
      <c r="I55" s="25"/>
    </row>
    <row r="56" spans="1:9" ht="75" x14ac:dyDescent="0.25">
      <c r="A56" s="28" t="str">
        <f>(Camarón!A13)</f>
        <v>Tumaco</v>
      </c>
      <c r="B56" s="4" t="s">
        <v>30</v>
      </c>
      <c r="C56" s="4" t="str">
        <f>(Camarón!B13)</f>
        <v>Equipos y herramientas</v>
      </c>
      <c r="D56" s="3" t="str">
        <f>(Camarón!C13)</f>
        <v>Geomembrana para revestimiento de estanques o pozos destinados al cultivo de camarón, fabricada en material sintético impermeable tipo HDPE, LLDPE o equivalente, con protección UV y exposiciones ambientales, resistente al rasgado. Dimensiones: área a cubrir 30 m2, medidas sujetas al requerimiento de la supervisión durante ejecución, espesor mínimo 1.0 mm.</v>
      </c>
      <c r="E56" s="192" t="str">
        <f>(Camarón!D13)</f>
        <v>Unidad</v>
      </c>
      <c r="F56" s="192">
        <f>(Camarón!E13)</f>
        <v>30</v>
      </c>
      <c r="G56" s="26">
        <f>(Camarón!F13)</f>
        <v>250000</v>
      </c>
      <c r="H56" s="23">
        <f>(Camarón!G13)</f>
        <v>7500000</v>
      </c>
      <c r="I56" s="25"/>
    </row>
    <row r="57" spans="1:9" ht="45" x14ac:dyDescent="0.25">
      <c r="A57" s="28" t="str">
        <f>(Camarón!A14)</f>
        <v>Tumaco</v>
      </c>
      <c r="B57" s="4" t="s">
        <v>30</v>
      </c>
      <c r="C57" s="4" t="str">
        <f>(Camarón!B14)</f>
        <v>Equipos y herramientas</v>
      </c>
      <c r="D57" s="3" t="str">
        <f>(Camarón!C14)</f>
        <v>Electrobomba con Potencia de 1 HP, diámetro de entrada tubería 2.54 cm, Flujo máximo de 55 l/min, altura máxima de succión de 50 m para acceso a agua en pozos profundos. Dimensiones compactas de 26 cm x 15 cm x 12 cm.</v>
      </c>
      <c r="E57" s="192" t="str">
        <f>(Camarón!D14)</f>
        <v>Unidad</v>
      </c>
      <c r="F57" s="192">
        <f>(Camarón!E14)</f>
        <v>1</v>
      </c>
      <c r="G57" s="26">
        <f>(Camarón!F14)</f>
        <v>453989</v>
      </c>
      <c r="H57" s="23">
        <f>(Camarón!G14)</f>
        <v>453989</v>
      </c>
      <c r="I57" s="25"/>
    </row>
    <row r="58" spans="1:9" ht="45" x14ac:dyDescent="0.25">
      <c r="A58" s="28" t="str">
        <f>(Camarón!A15)</f>
        <v>Tumaco</v>
      </c>
      <c r="B58" s="4" t="s">
        <v>30</v>
      </c>
      <c r="C58" s="4" t="str">
        <f>(Camarón!B15)</f>
        <v>Equipos y herramientas</v>
      </c>
      <c r="D58" s="3" t="str">
        <f>(Camarón!C15)</f>
        <v>Manguera 1/2 polietileno con una longitud de 100 M para soportar una presión de 120 Psi, fabricada con un 70% de material recuperado y un 30% de material virgen</v>
      </c>
      <c r="E58" s="192" t="str">
        <f>(Camarón!D15)</f>
        <v>Rollo</v>
      </c>
      <c r="F58" s="192">
        <f>(Camarón!E15)</f>
        <v>1</v>
      </c>
      <c r="G58" s="26">
        <f>(Camarón!F15)</f>
        <v>200000</v>
      </c>
      <c r="H58" s="23">
        <f>(Camarón!G15)</f>
        <v>200000</v>
      </c>
      <c r="I58" s="25"/>
    </row>
    <row r="59" spans="1:9" ht="75" x14ac:dyDescent="0.25">
      <c r="A59" s="28" t="str">
        <f>(Camarón!A16)</f>
        <v>Tumaco</v>
      </c>
      <c r="B59" s="4" t="s">
        <v>30</v>
      </c>
      <c r="C59" s="4" t="str">
        <f>(Camarón!B16)</f>
        <v>Equipos y herramientas</v>
      </c>
      <c r="D59" s="3" t="str">
        <f>(Camarón!C16)</f>
        <v>Tanque de plástico (polietileno) con capacidad de 1000 litros para almacenamiento de agua potable, diámetro aprox 126 cm, ancho aprox 126 cm y alto aprox 145 cm, con capa interior virgen, avalados por NTC 5022 y NTC 4384, con recubrimiento que evite la producción de algas y bacterias, con aditivo U.V para el bloqueo de rayos ultravioletas.</v>
      </c>
      <c r="E59" s="192" t="str">
        <f>(Camarón!D16)</f>
        <v>Unidad</v>
      </c>
      <c r="F59" s="192">
        <f>(Camarón!E16)</f>
        <v>3</v>
      </c>
      <c r="G59" s="26">
        <f>(Camarón!F16)</f>
        <v>600000</v>
      </c>
      <c r="H59" s="23">
        <f>(Camarón!G16)</f>
        <v>1800000</v>
      </c>
      <c r="I59" s="25"/>
    </row>
    <row r="60" spans="1:9" ht="30" x14ac:dyDescent="0.25">
      <c r="A60" s="28" t="str">
        <f>(Camarón!A17)</f>
        <v>Tumaco</v>
      </c>
      <c r="B60" s="4" t="s">
        <v>30</v>
      </c>
      <c r="C60" s="4" t="str">
        <f>(Camarón!B17)</f>
        <v xml:space="preserve">Insumo </v>
      </c>
      <c r="D60" s="3" t="str">
        <f>(Camarón!C17)</f>
        <v>Semilla certificada de Nauplios (larvas) de camarón Machrobraquin tenellum.</v>
      </c>
      <c r="E60" s="192" t="str">
        <f>(Camarón!D17)</f>
        <v>Unidad</v>
      </c>
      <c r="F60" s="192">
        <f>(Camarón!E17)</f>
        <v>3000</v>
      </c>
      <c r="G60" s="26">
        <f>(Camarón!F17)</f>
        <v>300</v>
      </c>
      <c r="H60" s="23">
        <f>(Camarón!G17)</f>
        <v>900000</v>
      </c>
      <c r="I60" s="25"/>
    </row>
    <row r="61" spans="1:9" ht="60" x14ac:dyDescent="0.25">
      <c r="A61" s="28" t="str">
        <f>(Camarón!A18)</f>
        <v>Tumaco</v>
      </c>
      <c r="B61" s="4" t="s">
        <v>30</v>
      </c>
      <c r="C61" s="4" t="str">
        <f>(Camarón!B18)</f>
        <v xml:space="preserve">Insumo </v>
      </c>
      <c r="D61" s="3" t="str">
        <f>(Camarón!C18)</f>
        <v>Melaza de Caña Liquida como producto derivado de la caña de azúcar, con aspecto de color marrón oscuro, líquido denso y viscoso, de sabor dulce y ligeramente amargo. Composición: Azucares Totales mínimo 48%, cenizas sulfatadas máximo 16%, grados °brix 85. Presentación Bulto x 30 kg.</v>
      </c>
      <c r="E61" s="192" t="str">
        <f>(Camarón!D18)</f>
        <v>Bulto</v>
      </c>
      <c r="F61" s="192">
        <f>(Camarón!E18)</f>
        <v>2</v>
      </c>
      <c r="G61" s="26">
        <f>(Camarón!F18)</f>
        <v>38400</v>
      </c>
      <c r="H61" s="23">
        <f>(Camarón!G18)</f>
        <v>76800</v>
      </c>
      <c r="I61" s="25"/>
    </row>
    <row r="62" spans="1:9" ht="45" x14ac:dyDescent="0.25">
      <c r="A62" s="28" t="str">
        <f>(Camarón!A19)</f>
        <v>Tumaco</v>
      </c>
      <c r="B62" s="4" t="s">
        <v>30</v>
      </c>
      <c r="C62" s="4" t="str">
        <f>(Camarón!B19)</f>
        <v>Equipos y herramientas</v>
      </c>
      <c r="D62" s="3" t="str">
        <f>(Camarón!C19)</f>
        <v>Pala redonda en acero forjado de alta durabilidad Ancho aprox 26 cm, alto aprox 145 cm, espesor aprox 0.16 cm, con cabo de madera y manija plástica con un peso aproximado de 1 kilogramos.</v>
      </c>
      <c r="E62" s="192" t="str">
        <f>(Camarón!D19)</f>
        <v>Unidad</v>
      </c>
      <c r="F62" s="192">
        <f>(Camarón!E19)</f>
        <v>1</v>
      </c>
      <c r="G62" s="26">
        <f>(Camarón!F19)</f>
        <v>60000</v>
      </c>
      <c r="H62" s="23">
        <f>(Camarón!G19)</f>
        <v>60000</v>
      </c>
      <c r="I62" s="25"/>
    </row>
    <row r="63" spans="1:9" ht="90" x14ac:dyDescent="0.25">
      <c r="A63" s="28" t="str">
        <f>(Camarón!A20)</f>
        <v>Tumaco</v>
      </c>
      <c r="B63" s="4" t="s">
        <v>30</v>
      </c>
      <c r="C63" s="4" t="str">
        <f>(Camarón!B20)</f>
        <v>Equipos y herramientas</v>
      </c>
      <c r="D63" s="3" t="str">
        <f>(Camarón!C20)</f>
        <v>Chile (Atarraya de ojo pequeño) para captura de peces tipo carnadas. Material de fabricación: Nylon multifilamento, Radio: 1.7 m, Diámetro: 3.4 m, Grosor del nylon: 0.30 cm apróx, con 5 libras de plomo para su hundimiento, Ojo de malla: 1 pulgada, Circunferencia aproximada: 10 m, Red circular de caída en forma de sombrilla y utilizada al voleo, tipo de cierre: bolsa argolla, con protección contra los rayos del sol - UV</v>
      </c>
      <c r="E63" s="192" t="str">
        <f>(Camarón!D20)</f>
        <v>Unidad</v>
      </c>
      <c r="F63" s="192">
        <f>(Camarón!E20)</f>
        <v>1</v>
      </c>
      <c r="G63" s="26">
        <f>(Camarón!F20)</f>
        <v>1130000</v>
      </c>
      <c r="H63" s="23">
        <f>(Camarón!G20)</f>
        <v>1130000</v>
      </c>
      <c r="I63" s="25"/>
    </row>
    <row r="64" spans="1:9" ht="30" x14ac:dyDescent="0.25">
      <c r="A64" s="28" t="str">
        <f>(Camarón!A21)</f>
        <v>Tumaco</v>
      </c>
      <c r="B64" s="4" t="s">
        <v>30</v>
      </c>
      <c r="C64" s="4" t="str">
        <f>(Camarón!B21)</f>
        <v>Equipos y herramientas</v>
      </c>
      <c r="D64" s="3" t="str">
        <f>(Camarón!C21)</f>
        <v>Malla pajarera de 1.80 m de ancho por 50 m de largo, fabricada en polipropileno de alta densidad.</v>
      </c>
      <c r="E64" s="192" t="str">
        <f>(Camarón!D21)</f>
        <v>Rollo</v>
      </c>
      <c r="F64" s="192">
        <f>(Camarón!E21)</f>
        <v>2</v>
      </c>
      <c r="G64" s="26">
        <f>(Camarón!F21)</f>
        <v>83000</v>
      </c>
      <c r="H64" s="23">
        <f>(Camarón!G21)</f>
        <v>166000</v>
      </c>
      <c r="I64" s="25"/>
    </row>
    <row r="65" spans="1:9" ht="45" x14ac:dyDescent="0.25">
      <c r="A65" s="28" t="str">
        <f>(Camarón!A22)</f>
        <v>Tumaco</v>
      </c>
      <c r="B65" s="4" t="s">
        <v>30</v>
      </c>
      <c r="C65" s="4" t="str">
        <f>(Camarón!B22)</f>
        <v>Equipos y herramientas</v>
      </c>
      <c r="D65" s="3" t="str">
        <f>(Camarón!C22)</f>
        <v xml:space="preserve">Carrete Cable Acero Plastificado 1/8”, rollo x 200m, configuración de núcleo en acero galvanizado recubierta por una capa que garantiza protección anticorrosiva, peso aprox 9.7 kg, </v>
      </c>
      <c r="E65" s="192" t="str">
        <f>(Camarón!D22)</f>
        <v>Rollo</v>
      </c>
      <c r="F65" s="192">
        <f>(Camarón!E22)</f>
        <v>1</v>
      </c>
      <c r="G65" s="26">
        <f>(Camarón!F22)</f>
        <v>420000</v>
      </c>
      <c r="H65" s="23">
        <f>(Camarón!G22)</f>
        <v>420000</v>
      </c>
      <c r="I65" s="25"/>
    </row>
    <row r="66" spans="1:9" ht="45" x14ac:dyDescent="0.25">
      <c r="A66" s="28" t="str">
        <f>(Tilapia!A9)</f>
        <v>Tumaco</v>
      </c>
      <c r="B66" s="28" t="str">
        <f>(Tilapia!B9)</f>
        <v>Tilapia</v>
      </c>
      <c r="C66" s="28" t="str">
        <f>(Tilapia!C9)</f>
        <v xml:space="preserve">Insumo </v>
      </c>
      <c r="D66" s="19" t="str">
        <f>(Tilapia!D9)</f>
        <v>Semilla certificada de Alevinos de tilapia roja Oreochromis sp de 1 gramos o de peso aproximado con tamaño entre 2,5 - 3 cm, homogéneos, porcentaje de reversión sexual mínimo del 90%</v>
      </c>
      <c r="E66" s="193" t="str">
        <f>(Tilapia!E9)</f>
        <v>Unidad</v>
      </c>
      <c r="F66" s="194">
        <f>(Tilapia!F9)</f>
        <v>24250</v>
      </c>
      <c r="G66" s="26">
        <f>(Tilapia!G9)</f>
        <v>370</v>
      </c>
      <c r="H66" s="23">
        <f>(Tilapia!H9)</f>
        <v>8972500</v>
      </c>
      <c r="I66" s="25"/>
    </row>
    <row r="67" spans="1:9" ht="45" x14ac:dyDescent="0.25">
      <c r="A67" s="28" t="str">
        <f>(Tilapia!A10)</f>
        <v>Tumaco</v>
      </c>
      <c r="B67" s="28" t="str">
        <f>(Tilapia!B10)</f>
        <v>Tilapia</v>
      </c>
      <c r="C67" s="28" t="str">
        <f>(Tilapia!C10)</f>
        <v xml:space="preserve">Insumo </v>
      </c>
      <c r="D67" s="19" t="str">
        <f>(Tilapia!D10)</f>
        <v>Concentrado para tilapia harina 45% de proteína min, Grasa min 4%, Fibra máx 6.0%, Cenizas máx 10%, Humedad máx 12%. Fecha de vigencia y/o elaboración. Presentación bulto x 40 Kg.</v>
      </c>
      <c r="E67" s="193" t="str">
        <f>(Tilapia!E10)</f>
        <v>Bulto</v>
      </c>
      <c r="F67" s="194">
        <f>(Tilapia!F10)</f>
        <v>14</v>
      </c>
      <c r="G67" s="26">
        <f>(Tilapia!G10)</f>
        <v>228140</v>
      </c>
      <c r="H67" s="23">
        <f>(Tilapia!H10)</f>
        <v>3193960</v>
      </c>
      <c r="I67" s="25"/>
    </row>
    <row r="68" spans="1:9" ht="45" x14ac:dyDescent="0.25">
      <c r="A68" s="28" t="str">
        <f>(Tilapia!A11)</f>
        <v>Tumaco</v>
      </c>
      <c r="B68" s="28" t="str">
        <f>(Tilapia!B11)</f>
        <v>Tilapia</v>
      </c>
      <c r="C68" s="28" t="str">
        <f>(Tilapia!C11)</f>
        <v xml:space="preserve">Insumo </v>
      </c>
      <c r="D68" s="19" t="str">
        <f>(Tilapia!D11)</f>
        <v>Concentrado para tilapia extruder 38% de proteína min, Grasa min 4%, Fibra máx 6.0%, Cenizas máx 10%, Humedad máx 12%. Fecha de vigencia y/o elaboración. Presentación Bulto x 40 kg.</v>
      </c>
      <c r="E68" s="193" t="str">
        <f>(Tilapia!E11)</f>
        <v>Bulto</v>
      </c>
      <c r="F68" s="194">
        <f>(Tilapia!F11)</f>
        <v>48</v>
      </c>
      <c r="G68" s="26">
        <f>(Tilapia!G11)</f>
        <v>179340</v>
      </c>
      <c r="H68" s="23">
        <f>(Tilapia!H11)</f>
        <v>8608320</v>
      </c>
      <c r="I68" s="25"/>
    </row>
    <row r="69" spans="1:9" ht="45" x14ac:dyDescent="0.25">
      <c r="A69" s="28" t="str">
        <f>(Tilapia!A12)</f>
        <v>Tumaco</v>
      </c>
      <c r="B69" s="28" t="str">
        <f>(Tilapia!B12)</f>
        <v>Tilapia</v>
      </c>
      <c r="C69" s="28" t="str">
        <f>(Tilapia!C12)</f>
        <v xml:space="preserve">Insumo </v>
      </c>
      <c r="D69" s="19" t="str">
        <f>(Tilapia!D12)</f>
        <v>Concentrado para tilapia extruder 30% de proteína min, Grasa min 6%, Fibra máx 6.0%, Cenizas máx 12%, Humedad máx 12%. Fecha de vigencia y/o elaboración. Presentación bulto x 40 kg.</v>
      </c>
      <c r="E69" s="193" t="str">
        <f>(Tilapia!E12)</f>
        <v>Bulto</v>
      </c>
      <c r="F69" s="194">
        <f>(Tilapia!F12)</f>
        <v>146</v>
      </c>
      <c r="G69" s="26">
        <f>(Tilapia!G12)</f>
        <v>153720</v>
      </c>
      <c r="H69" s="23">
        <f>(Tilapia!H12)</f>
        <v>22443120</v>
      </c>
      <c r="I69" s="25"/>
    </row>
    <row r="70" spans="1:9" ht="45" x14ac:dyDescent="0.25">
      <c r="A70" s="28" t="str">
        <f>(Tilapia!A13)</f>
        <v>Tumaco</v>
      </c>
      <c r="B70" s="28" t="str">
        <f>(Tilapia!B13)</f>
        <v>Tilapia</v>
      </c>
      <c r="C70" s="28" t="str">
        <f>(Tilapia!C13)</f>
        <v xml:space="preserve">Insumo </v>
      </c>
      <c r="D70" s="19" t="str">
        <f>(Tilapia!D13)</f>
        <v>Concentrado para tilapia extruder 24% de proteína min, Grasa min 4%, Fibra máx 8.0%, Cenizas máx 10%, Humedad máx 12 %. Fecha de vigencia y/o elaboración. Presentación Bulto x 40 kg</v>
      </c>
      <c r="E70" s="193" t="str">
        <f>(Tilapia!E13)</f>
        <v>Bulto</v>
      </c>
      <c r="F70" s="194">
        <f>(Tilapia!F13)</f>
        <v>98</v>
      </c>
      <c r="G70" s="26">
        <f>(Tilapia!G13)</f>
        <v>135420</v>
      </c>
      <c r="H70" s="23">
        <f>(Tilapia!H13)</f>
        <v>13271160</v>
      </c>
      <c r="I70" s="25"/>
    </row>
    <row r="71" spans="1:9" ht="43.5" customHeight="1" x14ac:dyDescent="0.25">
      <c r="A71" s="28" t="str">
        <f>(Tilapia!A14)</f>
        <v>Tumaco</v>
      </c>
      <c r="B71" s="28">
        <f>(Tilapia!B14)</f>
        <v>0</v>
      </c>
      <c r="C71" s="28" t="str">
        <f>(Tilapia!C14)</f>
        <v xml:space="preserve">Insumo </v>
      </c>
      <c r="D71" s="20" t="str">
        <f>(Tilapia!D14)</f>
        <v>Sal Marina para Piscicultura, Compuesta por Cloruro sódico (NaCl), Humedad ≤ 0.5%, Cloruro sódico en materia seca ≥ 97%, Residuo insoluble en agua ≤5 gr/kg, Nitrógeno Total ≤20 mg/kg. NO CONTIENE ADITIVOS. Producto Color blanco, granulado, cristalino, inodoro, limpio, suelto y soluble en agua. Presentación bulto x 34 kg.</v>
      </c>
      <c r="E71" s="193" t="str">
        <f>(Tilapia!E14)</f>
        <v>Bulto</v>
      </c>
      <c r="F71" s="194">
        <f>(Tilapia!F14)</f>
        <v>10</v>
      </c>
      <c r="G71" s="26">
        <f>(Tilapia!G14)</f>
        <v>40700</v>
      </c>
      <c r="H71" s="23">
        <f>(Tilapia!H14)</f>
        <v>407000</v>
      </c>
      <c r="I71" s="25"/>
    </row>
    <row r="72" spans="1:9" ht="30" x14ac:dyDescent="0.25">
      <c r="A72" s="28" t="str">
        <f>(Tilapia!A15)</f>
        <v>Tumaco</v>
      </c>
      <c r="B72" s="28" t="str">
        <f>(Tilapia!B15)</f>
        <v>Tilapia</v>
      </c>
      <c r="C72" s="28" t="str">
        <f>(Tilapia!C15)</f>
        <v>Equipos y herramientas</v>
      </c>
      <c r="D72" s="20" t="str">
        <f>(Tilapia!D15)</f>
        <v>Malla pajarera de 1.80 m de ancho por 50 m de largo, fabricada en polipropileno de alta densidad.</v>
      </c>
      <c r="E72" s="193" t="str">
        <f>(Tilapia!E15)</f>
        <v>Rollo</v>
      </c>
      <c r="F72" s="194">
        <f>(Tilapia!F15)</f>
        <v>2</v>
      </c>
      <c r="G72" s="195">
        <f>(Tilapia!G15)</f>
        <v>83000</v>
      </c>
      <c r="H72" s="196">
        <f>(Tilapia!H15)</f>
        <v>166000</v>
      </c>
      <c r="I72" s="197"/>
    </row>
    <row r="73" spans="1:9" ht="45" x14ac:dyDescent="0.25">
      <c r="A73" s="28" t="str">
        <f>(Tilapia!A16)</f>
        <v>Tumaco</v>
      </c>
      <c r="B73" s="28" t="str">
        <f>(Tilapia!B16)</f>
        <v>Tilapia</v>
      </c>
      <c r="C73" s="28" t="str">
        <f>(Tilapia!C16)</f>
        <v>Equipos y herramientas</v>
      </c>
      <c r="D73" s="20" t="str">
        <f>(Tilapia!D16)</f>
        <v xml:space="preserve">Carrete Cable Acero Plastificado 1/8”, rollo x 200m, configuración de núcleo en acero galvanizado recubierta por una capa que garantiza protección anticorrosiva, peso aprox 9.7 kg, </v>
      </c>
      <c r="E73" s="193" t="str">
        <f>(Tilapia!E16)</f>
        <v>Rollo</v>
      </c>
      <c r="F73" s="194">
        <f>(Tilapia!F16)</f>
        <v>1</v>
      </c>
      <c r="G73" s="26">
        <f>(Tilapia!G16)</f>
        <v>420000</v>
      </c>
      <c r="H73" s="23">
        <f>(Tilapia!H16)</f>
        <v>420000</v>
      </c>
      <c r="I73" s="25"/>
    </row>
    <row r="74" spans="1:9" ht="120" customHeight="1" x14ac:dyDescent="0.25">
      <c r="A74" s="28" t="str">
        <f>(Tilapia!A17)</f>
        <v>Tumaco</v>
      </c>
      <c r="B74" s="28" t="str">
        <f>(Tilapia!B17)</f>
        <v>Tilapia</v>
      </c>
      <c r="C74" s="28" t="str">
        <f>(Tilapia!C17)</f>
        <v>Equipos y herramientas</v>
      </c>
      <c r="D74" s="20" t="str">
        <f>(Tilapia!D17)</f>
        <v xml:space="preserve">Tanque Circular de Geomembrana, en material polietileno de alta densidad HDPE, calibre 40 mils resistente a rayos ultravioleta, Diámetro del tanque 3m, altura 1.2 metros cúbicos, capacidad de 9.000 litros. Estructura elaborada en platinas de hierro 2” x 1/8” (0.31 cm), con pintura anticorrosiva, conexión al desagüe entre 2-4” Uso: almacenamiento de agua, para piscicultura y almacenamiento en general de líquidos libres de hidrocarburos; producto nuevo y en perfecto estado. Deberá cumplir con la normatividad vigente y aplicable. </v>
      </c>
      <c r="E74" s="193" t="str">
        <f>(Tilapia!E17)</f>
        <v>Unidad</v>
      </c>
      <c r="F74" s="194">
        <f>(Tilapia!F17)</f>
        <v>1</v>
      </c>
      <c r="G74" s="26">
        <f>(Tilapia!G17)</f>
        <v>11800000</v>
      </c>
      <c r="H74" s="23">
        <f>(Tilapia!H17)</f>
        <v>11800000</v>
      </c>
      <c r="I74" s="25"/>
    </row>
    <row r="75" spans="1:9" ht="90" x14ac:dyDescent="0.25">
      <c r="A75" s="28" t="str">
        <f>(Tilapia!A18)</f>
        <v>Tumaco</v>
      </c>
      <c r="B75" s="28" t="str">
        <f>(Tilapia!B18)</f>
        <v>Tilapia</v>
      </c>
      <c r="C75" s="28" t="str">
        <f>(Tilapia!C18)</f>
        <v>Equipos y herramientas</v>
      </c>
      <c r="D75" s="20" t="str">
        <f>(Tilapia!D18)</f>
        <v>Chinchorro para Piscicultura 25 x 2,5 m, calibre mínimo 210/12 o equivalente: Aparejo de pesca especial para la captura de peces, Material de fabricación: nylon multifilamento, Ojo de malla de 1 pulgada sin nudo; Flotación con boyas plásticas estándar de color naranja o azul y lastre de plomo que garantice la correcta operación y extensión de red, Con protección contra los rayos del sol – UV.</v>
      </c>
      <c r="E75" s="193" t="str">
        <f>(Tilapia!E18)</f>
        <v>Unidad</v>
      </c>
      <c r="F75" s="194">
        <f>(Tilapia!F18)</f>
        <v>2</v>
      </c>
      <c r="G75" s="26">
        <f>(Tilapia!G18)</f>
        <v>3650000</v>
      </c>
      <c r="H75" s="23">
        <f>(Tilapia!H18)</f>
        <v>7300000</v>
      </c>
      <c r="I75" s="25"/>
    </row>
    <row r="76" spans="1:9" ht="90" x14ac:dyDescent="0.25">
      <c r="A76" s="28" t="str">
        <f>(Tilapia!A19)</f>
        <v>Tumaco</v>
      </c>
      <c r="B76" s="28" t="str">
        <f>(Tilapia!B19)</f>
        <v>Tilapia</v>
      </c>
      <c r="C76" s="28" t="str">
        <f>(Tilapia!C19)</f>
        <v>Equipos y herramientas</v>
      </c>
      <c r="D76" s="20" t="str">
        <f>(Tilapia!D19)</f>
        <v>Chile (Atarraya de ojo pequeño) para captura de peces tipo carnadas. Material de fabricación: Nylon multifilamento, Radio: 1.7 m, Diámetro: 3.4 m, Grosor del nylon: 0.30 cm apróx, con 5 libras de plomo para su hundimiento, Ojo de malla: 1 pulgada, Circunferencia aproximada: 10 m, Red circular de caída en forma de sombrilla y utilizada al voleo, tipo de cierre: bolsa argolla, con protección contra los rayos del sol - UV</v>
      </c>
      <c r="E76" s="193" t="str">
        <f>(Tilapia!E19)</f>
        <v>Unidad</v>
      </c>
      <c r="F76" s="194">
        <f>(Tilapia!F19)</f>
        <v>2</v>
      </c>
      <c r="G76" s="26">
        <f>(Tilapia!G19)</f>
        <v>1130000</v>
      </c>
      <c r="H76" s="23">
        <f>(Tilapia!H19)</f>
        <v>2260000</v>
      </c>
      <c r="I76" s="25"/>
    </row>
    <row r="77" spans="1:9" ht="75" x14ac:dyDescent="0.25">
      <c r="A77" s="28" t="str">
        <f>(Tilapia!A20)</f>
        <v>Tumaco</v>
      </c>
      <c r="B77" s="28" t="str">
        <f>(Tilapia!B20)</f>
        <v>Tilapia</v>
      </c>
      <c r="C77" s="28" t="str">
        <f>(Tilapia!C20)</f>
        <v>Equipos y herramientas</v>
      </c>
      <c r="D77" s="20" t="str">
        <f>(Tilapia!D20)</f>
        <v>Discos Secchi para monitoreo de calidad de agua en sistemas piscícolas: Diámetro: 25 centímetros, Material del Cuerpo: Acrílico o polietileno reforzado con perno de acero inoxidable, Dos cuadrantes blancos y dos negros, Cinta o cuerda de 3 metros graduada en milímetros, centímetros y/o metros, Pieza de plomo de 250 gramos para contrapeso,</v>
      </c>
      <c r="E77" s="193" t="str">
        <f>(Tilapia!E20)</f>
        <v>Unidad</v>
      </c>
      <c r="F77" s="194">
        <f>(Tilapia!F20)</f>
        <v>1</v>
      </c>
      <c r="G77" s="26">
        <f>(Tilapia!G20)</f>
        <v>320000</v>
      </c>
      <c r="H77" s="23">
        <f>(Tilapia!H20)</f>
        <v>320000</v>
      </c>
      <c r="I77" s="25"/>
    </row>
    <row r="78" spans="1:9" ht="150" x14ac:dyDescent="0.25">
      <c r="A78" s="28" t="str">
        <f>(Tilapia!A21)</f>
        <v>Tumaco</v>
      </c>
      <c r="B78" s="28" t="str">
        <f>(Tilapia!B21)</f>
        <v>Tilapia</v>
      </c>
      <c r="C78" s="28" t="str">
        <f>(Tilapia!C21)</f>
        <v>Equipos y herramientas</v>
      </c>
      <c r="D78" s="20" t="str">
        <f>(Tilapia!D21)</f>
        <v>Medidor Portátil de Oxígeno disuelto y temperatura de agua con sonda óptica (4-5mt de longitud), cubierta hermética, Pantalla digital, Fuente de corriente pila de 9 voltios, Estuche del medidor: con IP 67 a prueba de agua, Función de apagado automático después de 30 minutos de inactividad, 50-60 conjunto de datos revisable de memoria, Indicador de batería baja con duración de batería de mínimo 500 horas, Dimensiones (ancho x profundo x alto) 18,7-19,0 cm x 7,6-7,8 cm x 3,8-4,0 cm; Debe incluir: dos pilas, manual de instrucciones en idioma español (impreso y en CD o en formato digital), Set de calibración, 6 membranas de reemplazo, estuche de transporte rígido con espacio para medidor y sonda; con garantía mínimo un (1) año.</v>
      </c>
      <c r="E78" s="193" t="str">
        <f>(Tilapia!E21)</f>
        <v>Unidad</v>
      </c>
      <c r="F78" s="194">
        <f>(Tilapia!F21)</f>
        <v>1</v>
      </c>
      <c r="G78" s="26">
        <f>(Tilapia!G21)</f>
        <v>6880000</v>
      </c>
      <c r="H78" s="23">
        <f>(Tilapia!H21)</f>
        <v>6880000</v>
      </c>
      <c r="I78" s="25"/>
    </row>
    <row r="79" spans="1:9" ht="105" x14ac:dyDescent="0.25">
      <c r="A79" s="28" t="str">
        <f>(Tilapia!A22)</f>
        <v>Tumaco</v>
      </c>
      <c r="B79" s="28" t="str">
        <f>(Tilapia!B22)</f>
        <v>Tilapia</v>
      </c>
      <c r="C79" s="28" t="str">
        <f>(Tilapia!C22)</f>
        <v>Equipos y herramientas</v>
      </c>
      <c r="D79" s="20" t="str">
        <f>(Tilapia!D22)</f>
        <v>Overol impermeable con botas incorporadas para labores de pesca y piscicultura, fabricado en material impermeable de alta resistencia, con recubrimiento en PVC o material equivalente, doble costura y selladas. Selló de todas las costuras y doble TAPED los puntos débiles que tiene más fricción en el uso para mantenerte seco al hacer trabajos de pesca. Las botas deberán ser impermeables y contar con suela antideslizante. Disponibilidad variada de tallas en ambos componentes.</v>
      </c>
      <c r="E79" s="193" t="str">
        <f>(Tilapia!E22)</f>
        <v>Unidad</v>
      </c>
      <c r="F79" s="194">
        <f>(Tilapia!F22)</f>
        <v>3</v>
      </c>
      <c r="G79" s="26">
        <f>(Tilapia!G22)</f>
        <v>374182</v>
      </c>
      <c r="H79" s="23">
        <f>(Tilapia!H22)</f>
        <v>1122546</v>
      </c>
      <c r="I79" s="25"/>
    </row>
    <row r="80" spans="1:9" ht="270" x14ac:dyDescent="0.25">
      <c r="A80" s="28" t="str">
        <f>(Tilapia!A23)</f>
        <v>Tumaco</v>
      </c>
      <c r="B80" s="28" t="str">
        <f>(Tilapia!B23)</f>
        <v>Tilapia</v>
      </c>
      <c r="C80" s="28" t="str">
        <f>(Tilapia!C23)</f>
        <v>Equipos y herramientas</v>
      </c>
      <c r="D80" s="20" t="str">
        <f>(Tilapia!D23)</f>
        <v>Balanza Mecánica de Reloj para 20 Kilos con Platón, balanza de colgar, Material de fabricación:
Aro Central elaborado en lámina de acero cold rolled Calibre 26 y pintado en esmalte horneable color blanco o azul.
Bisel en aluminio repujado o brillado
Contra bisel hecho en aluminio
Carátula o dial: elaborada en artes y posteriormente se hace la parte de litografía en hojalata, pintada con esmalte horneable y posteriormente se cubre con barniz transparente.
Remache fabricado en hierro 3/8” para el automático.
Resortes compensados a temperatura: elaborados en alambres acerados.
Piñón enterizo en acero.
Visor en vidrio: elaborado en vidrio transparente de 2mm.
Colgante con oreja.
Reloj con aro pintado, División: 1 onza, Diámetro del reloj: 21 cm, Sistema Mecánico con lectura por ambos lados, lectura por una cara en kilos y por la otra en libras.</v>
      </c>
      <c r="E80" s="193" t="str">
        <f>(Tilapia!E23)</f>
        <v>Unidad</v>
      </c>
      <c r="F80" s="194">
        <f>(Tilapia!F23)</f>
        <v>1</v>
      </c>
      <c r="G80" s="26">
        <f>(Tilapia!G23)</f>
        <v>225000</v>
      </c>
      <c r="H80" s="23">
        <f>(Tilapia!H23)</f>
        <v>225000</v>
      </c>
      <c r="I80" s="25"/>
    </row>
    <row r="81" spans="1:9" ht="120" x14ac:dyDescent="0.25">
      <c r="A81" s="28" t="str">
        <f>(Tilapia!A24)</f>
        <v>Tumaco</v>
      </c>
      <c r="B81" s="28" t="str">
        <f>(Tilapia!B24)</f>
        <v>Tilapia</v>
      </c>
      <c r="C81" s="28" t="str">
        <f>(Tilapia!C24)</f>
        <v>Equipos y herramientas</v>
      </c>
      <c r="D81" s="20" t="str">
        <f>(Tilapia!D24)</f>
        <v>Bascula Portátil Electrónica
Báscula portátil electrónica, plataforma plegable 100%, Capacidad de pesaje máximo: 500 kg, Protección de sobrepeso, Bandeja reforzado en acero inoxidable, LCD con luz de fondo, Teclado resistente al agua y al aceite, Unidades de pesaje kilogramos, Dimensiones de la bandeja: 45 cm de ancho x 60 cm de largo aproximadamente; Total función de ahorro de energía, Batería recargable, con mínimo 12 meses de garantía.</v>
      </c>
      <c r="E81" s="193" t="str">
        <f>(Tilapia!E24)</f>
        <v>Unidad</v>
      </c>
      <c r="F81" s="194">
        <f>(Tilapia!F24)</f>
        <v>1</v>
      </c>
      <c r="G81" s="26">
        <f>(Tilapia!G24)</f>
        <v>605450</v>
      </c>
      <c r="H81" s="23">
        <f>(Tilapia!H24)</f>
        <v>605450</v>
      </c>
      <c r="I81" s="25"/>
    </row>
    <row r="82" spans="1:9" ht="53.25" customHeight="1" x14ac:dyDescent="0.25">
      <c r="A82" s="28" t="str">
        <f>(Tilapia!A25)</f>
        <v>Tumaco</v>
      </c>
      <c r="B82" s="28" t="str">
        <f>(Tilapia!B25)</f>
        <v>Tilapia</v>
      </c>
      <c r="C82" s="28" t="str">
        <f>(Tilapia!C25)</f>
        <v>Equipos y herramientas</v>
      </c>
      <c r="D82" s="20" t="str">
        <f>(Tilapia!D25)</f>
        <v>Kit multiparamétrico para análisis de calidad de agua dulce en sistemas piscícolas, capaz de medir como mínimo pH, pH de alto rango, amoníaco, nitrito, nitrato, oxígeno y dureza. El kit deberá permitir la realización de mínimo 900 pruebas en total, mediante método colorimétrico o equivalente, e incluir todos los reactivos, recipientes, comparadores e insumos necesarios para su operación.
Contenido mínimo de las pruebas:
Amoniaco: Mínimo 130 pruebas
Nitrato: Mínimo 90 pruebas.
Nitrito: Mínimo 90 pruebas.
Dureza: Mínimo 130 pruebas.
pH: Mínimo 250 pruebas.
pH de alto rango: Mínimo 160 pruebas.
Oxigeno: Mínimo 50 pruebas.
Nota: Los reactivos deberán contar con fecha de vencimiento vigente y remanente mínima del 70% al momento de la entrega. El producto deberá suministrarse con manual o instructivo y en perfectas condiciones. Deberá contar con los accesorios de ensayo correspondientes.</v>
      </c>
      <c r="E82" s="193" t="str">
        <f>(Tilapia!E25)</f>
        <v>Unidad</v>
      </c>
      <c r="F82" s="194">
        <f>(Tilapia!F25)</f>
        <v>2</v>
      </c>
      <c r="G82" s="26">
        <f>(Tilapia!G25)</f>
        <v>420000</v>
      </c>
      <c r="H82" s="23">
        <f>(Tilapia!H25)</f>
        <v>840000</v>
      </c>
      <c r="I82" s="25"/>
    </row>
    <row r="83" spans="1:9" ht="105" x14ac:dyDescent="0.25">
      <c r="A83" s="28" t="str">
        <f>(Tilapia!A26)</f>
        <v>Tumaco</v>
      </c>
      <c r="B83" s="28" t="str">
        <f>(Tilapia!B26)</f>
        <v>Tilapia</v>
      </c>
      <c r="C83" s="28" t="str">
        <f>(Tilapia!C26)</f>
        <v>Equipos y herramientas</v>
      </c>
      <c r="D83" s="20" t="str">
        <f>(Tilapia!D26)</f>
        <v>Guadaña con motor de dos tiempos con un rango de  40 CC a 45 CC, potencia de 1,6 - 2.2 KW, peso entre 6 - 6.3 kilogramos, presión acústica 90 - 96 dB, vibraciones izquierda/derecha 6,4/3,4 m/s2, cuchilla matorrales, capacidad de depósito 0,64 litros, eje de transmisión rígido, sistema anti vibración de un punto, longitud total (sin herramienta de corte) 190 centímetros, ancho de corte mínimo de 41 a 42 cm con cabezal de nylon. Incluye puñadura ergonómica multifuncional.</v>
      </c>
      <c r="E83" s="193" t="str">
        <f>(Tilapia!E26)</f>
        <v>Unidad</v>
      </c>
      <c r="F83" s="194">
        <f>(Tilapia!F26)</f>
        <v>1</v>
      </c>
      <c r="G83" s="195">
        <f>(Tilapia!G26)</f>
        <v>2238000</v>
      </c>
      <c r="H83" s="23">
        <f>(Tilapia!H26)</f>
        <v>2238000</v>
      </c>
      <c r="I83" s="25"/>
    </row>
    <row r="84" spans="1:9" ht="330" x14ac:dyDescent="0.25">
      <c r="A84" s="28" t="str">
        <f>(Tilapia!A27)</f>
        <v>Tumaco</v>
      </c>
      <c r="B84" s="28" t="str">
        <f>(Tilapia!B27)</f>
        <v>Tilapia</v>
      </c>
      <c r="C84" s="28" t="str">
        <f>(Tilapia!C27)</f>
        <v>Equipos y herramientas</v>
      </c>
      <c r="D84" s="20" t="str">
        <f>(Tilapia!D27)</f>
        <v>Blower Aireador Solar de 1 HP
Kit blower o soplador industrial para aireación de estanques con funcionamiento mediante energía solar, Potencia: 750 watts (1 HP), Función Doble Propósito: inyección de aire oxigenado y extracción de gases nocivos, Voltaje: DC 48 voltios, Caudal: mínimo 25 m³/hora, Cobertura: mínimo 666 m², Material carcasa: plástico ABS, Dimensiones: 16 cm de ancho x 46 cm de alto (+/- 3%), Peso: 14 kg (+/- 3%)
Kit Sistema fotovoltaico autónomo compuesto por:
2 paneles solares monocristalinos de 590W.
1 batería ciclo profundo agm 100 amperios y 12 voltios.
1 inversos MPPT 80 amperios con potencia nominal mínima de 3000 watts y tensión nominal de trabajo mínima 12 voltios.
6 conectores mc4 par.
2 breakers AC de 30 amperios.
2 mini breakers DC para el riel DIN 32 amperios 800 voltios.
40 metros de cable polarizado apto para sistemas fotovoltaicos.
1 caja de protección para breakers.
3 cables calibre 2 AWG cada uno de 3 metros de longitud.
4 cables calibre 8AWG cada uno de 3 metros de longitud.
1 Dispositivo de Protección contra Sobretensiones (DPS).</v>
      </c>
      <c r="E84" s="193" t="str">
        <f>(Tilapia!E27)</f>
        <v>Unidad</v>
      </c>
      <c r="F84" s="194">
        <f>(Tilapia!F27)</f>
        <v>1</v>
      </c>
      <c r="G84" s="195">
        <f>(Tilapia!G27)</f>
        <v>9772000</v>
      </c>
      <c r="H84" s="23">
        <f>(Tilapia!H27)</f>
        <v>9772000</v>
      </c>
      <c r="I84" s="25"/>
    </row>
    <row r="85" spans="1:9" ht="75" x14ac:dyDescent="0.25">
      <c r="A85" s="28" t="str">
        <f>(Tilapia!A28)</f>
        <v>Tumaco</v>
      </c>
      <c r="B85" s="28" t="str">
        <f>(Tilapia!B28)</f>
        <v>Tilapia</v>
      </c>
      <c r="C85" s="28" t="str">
        <f>(Tilapia!C28)</f>
        <v>Equipos y herramientas</v>
      </c>
      <c r="D85" s="20" t="str">
        <f>(Tilapia!D28)</f>
        <v>Nasas para muestreo y pesca, fabricada con malla sin nudo de ½” (12.7mm aprox) o equivalente. Estructura fabricada en aluminio, aro de forma cuadrada u ovalada con dimensión comprendida entre 38-55cm, longitud mínima del mango entre 65-90 cm de largo, profundidad del saco entre 35-50 cm.</v>
      </c>
      <c r="E85" s="193" t="str">
        <f>(Tilapia!E28)</f>
        <v>Unidad</v>
      </c>
      <c r="F85" s="194">
        <f>(Tilapia!F28)</f>
        <v>2</v>
      </c>
      <c r="G85" s="26">
        <f>(Tilapia!G28)</f>
        <v>248088</v>
      </c>
      <c r="H85" s="23">
        <f>(Tilapia!H28)</f>
        <v>496176</v>
      </c>
      <c r="I85" s="25"/>
    </row>
    <row r="86" spans="1:9" x14ac:dyDescent="0.25">
      <c r="H86" s="22">
        <f>SUM(H2:H85)</f>
        <v>319581135</v>
      </c>
    </row>
    <row r="90" spans="1:9" x14ac:dyDescent="0.25">
      <c r="H90" s="22">
        <v>319581135</v>
      </c>
    </row>
    <row r="92" spans="1:9" x14ac:dyDescent="0.25">
      <c r="D92" s="198">
        <f>+'Papa china Charco'!G19</f>
        <v>36901227</v>
      </c>
      <c r="H92" s="22">
        <f>(H90-H86)</f>
        <v>0</v>
      </c>
    </row>
    <row r="93" spans="1:9" x14ac:dyDescent="0.25">
      <c r="D93" s="198">
        <f>+'Papa china Magui'!G19</f>
        <v>36901227</v>
      </c>
    </row>
    <row r="94" spans="1:9" x14ac:dyDescent="0.25">
      <c r="D94" s="198">
        <f>+Coco!G20</f>
        <v>36916210</v>
      </c>
    </row>
    <row r="95" spans="1:9" x14ac:dyDescent="0.25">
      <c r="D95" s="198">
        <f>+'Plátano La Tola'!G18</f>
        <v>37006225</v>
      </c>
    </row>
    <row r="96" spans="1:9" x14ac:dyDescent="0.25">
      <c r="D96" s="198">
        <f>+'Plátano Olaya Herrera'!G18</f>
        <v>37006225</v>
      </c>
    </row>
    <row r="97" spans="4:4" x14ac:dyDescent="0.25">
      <c r="D97" s="198">
        <f>+Camarón!G23</f>
        <v>33508789</v>
      </c>
    </row>
    <row r="98" spans="4:4" x14ac:dyDescent="0.25">
      <c r="D98" s="198">
        <f>+Tilapia!H29</f>
        <v>101341232</v>
      </c>
    </row>
    <row r="99" spans="4:4" x14ac:dyDescent="0.25">
      <c r="D99" s="199">
        <f>+SUM(D92:D98)</f>
        <v>319581135</v>
      </c>
    </row>
  </sheetData>
  <autoFilter ref="A1:H86" xr:uid="{00000000-0009-0000-0000-00000A000000}"/>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2:E11"/>
  <sheetViews>
    <sheetView showGridLines="0" zoomScaleNormal="100" workbookViewId="0">
      <selection activeCell="G4" sqref="G4"/>
    </sheetView>
  </sheetViews>
  <sheetFormatPr baseColWidth="10" defaultRowHeight="14.25" x14ac:dyDescent="0.2"/>
  <cols>
    <col min="1" max="1" width="19.140625" style="31" customWidth="1"/>
    <col min="2" max="2" width="18" style="31" bestFit="1" customWidth="1"/>
    <col min="3" max="3" width="14.85546875" style="31" customWidth="1"/>
    <col min="4" max="4" width="17.28515625" style="65" customWidth="1"/>
    <col min="5" max="5" width="15.7109375" style="64" customWidth="1"/>
    <col min="6" max="16384" width="11.42578125" style="31"/>
  </cols>
  <sheetData>
    <row r="2" spans="1:5" ht="30" x14ac:dyDescent="0.2">
      <c r="A2" s="67" t="s">
        <v>32</v>
      </c>
      <c r="B2" s="66" t="s">
        <v>8</v>
      </c>
      <c r="C2" s="66" t="s">
        <v>9</v>
      </c>
      <c r="D2" s="66" t="s">
        <v>10</v>
      </c>
      <c r="E2" s="66" t="s">
        <v>11</v>
      </c>
    </row>
    <row r="3" spans="1:5" ht="15" x14ac:dyDescent="0.2">
      <c r="A3" s="68">
        <v>184581135</v>
      </c>
      <c r="B3" s="72" t="s">
        <v>0</v>
      </c>
      <c r="C3" s="72" t="s">
        <v>4</v>
      </c>
      <c r="D3" s="69">
        <f>($A$3/5)</f>
        <v>36916227</v>
      </c>
      <c r="E3" s="30">
        <v>15</v>
      </c>
    </row>
    <row r="4" spans="1:5" x14ac:dyDescent="0.2">
      <c r="B4" s="72" t="s">
        <v>1</v>
      </c>
      <c r="C4" s="72" t="s">
        <v>5</v>
      </c>
      <c r="D4" s="69">
        <f t="shared" ref="D4:D7" si="0">($A$3/5)</f>
        <v>36916227</v>
      </c>
      <c r="E4" s="30">
        <v>15</v>
      </c>
    </row>
    <row r="5" spans="1:5" x14ac:dyDescent="0.2">
      <c r="B5" s="72" t="s">
        <v>2</v>
      </c>
      <c r="C5" s="72" t="s">
        <v>6</v>
      </c>
      <c r="D5" s="69">
        <f t="shared" si="0"/>
        <v>36916227</v>
      </c>
      <c r="E5" s="30">
        <v>15</v>
      </c>
    </row>
    <row r="6" spans="1:5" x14ac:dyDescent="0.2">
      <c r="B6" s="72" t="s">
        <v>3</v>
      </c>
      <c r="C6" s="72" t="s">
        <v>4</v>
      </c>
      <c r="D6" s="69">
        <f t="shared" si="0"/>
        <v>36916227</v>
      </c>
      <c r="E6" s="30">
        <v>15</v>
      </c>
    </row>
    <row r="7" spans="1:5" ht="28.5" x14ac:dyDescent="0.2">
      <c r="B7" s="72" t="s">
        <v>33</v>
      </c>
      <c r="C7" s="72" t="s">
        <v>5</v>
      </c>
      <c r="D7" s="69">
        <f t="shared" si="0"/>
        <v>36916227</v>
      </c>
      <c r="E7" s="30">
        <v>15</v>
      </c>
    </row>
    <row r="8" spans="1:5" ht="28.5" x14ac:dyDescent="0.2">
      <c r="B8" s="229" t="s">
        <v>24</v>
      </c>
      <c r="C8" s="72" t="s">
        <v>25</v>
      </c>
      <c r="D8" s="69">
        <v>35000000</v>
      </c>
      <c r="E8" s="30">
        <v>35</v>
      </c>
    </row>
    <row r="9" spans="1:5" x14ac:dyDescent="0.2">
      <c r="B9" s="230"/>
      <c r="C9" s="72" t="s">
        <v>26</v>
      </c>
      <c r="D9" s="69">
        <v>100000000</v>
      </c>
      <c r="E9" s="30">
        <v>30</v>
      </c>
    </row>
    <row r="10" spans="1:5" ht="15" x14ac:dyDescent="0.2">
      <c r="B10" s="231" t="s">
        <v>7</v>
      </c>
      <c r="C10" s="232"/>
      <c r="D10" s="70">
        <f>SUM(D3:D9)</f>
        <v>319581135</v>
      </c>
      <c r="E10" s="71">
        <f>SUM(E3:E9)</f>
        <v>140</v>
      </c>
    </row>
    <row r="11" spans="1:5" x14ac:dyDescent="0.2">
      <c r="D11" s="63"/>
    </row>
  </sheetData>
  <mergeCells count="2">
    <mergeCell ref="B8:B9"/>
    <mergeCell ref="B10:C10"/>
  </mergeCell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N49"/>
  <sheetViews>
    <sheetView showGridLines="0" topLeftCell="A34" zoomScale="85" zoomScaleNormal="85" workbookViewId="0">
      <selection activeCell="B45" sqref="B45"/>
    </sheetView>
  </sheetViews>
  <sheetFormatPr baseColWidth="10" defaultRowHeight="15" x14ac:dyDescent="0.25"/>
  <cols>
    <col min="1" max="1" width="4.28515625" customWidth="1"/>
    <col min="2" max="2" width="30.85546875" customWidth="1"/>
    <col min="3" max="3" width="13.42578125" customWidth="1"/>
    <col min="4" max="4" width="17.42578125" customWidth="1"/>
    <col min="5" max="5" width="18.85546875" customWidth="1"/>
    <col min="6" max="6" width="17.85546875" customWidth="1"/>
    <col min="7" max="7" width="18.42578125" customWidth="1"/>
    <col min="10" max="10" width="5.140625" customWidth="1"/>
    <col min="11" max="11" width="24.7109375" customWidth="1"/>
    <col min="13" max="13" width="17.140625" customWidth="1"/>
    <col min="14" max="14" width="16.140625" customWidth="1"/>
  </cols>
  <sheetData>
    <row r="1" spans="1:14" ht="33.75" x14ac:dyDescent="0.25">
      <c r="A1" s="160" t="s">
        <v>173</v>
      </c>
      <c r="B1" s="160" t="s">
        <v>172</v>
      </c>
      <c r="C1" s="160" t="s">
        <v>171</v>
      </c>
      <c r="D1" s="160" t="s">
        <v>127</v>
      </c>
      <c r="E1" s="160" t="s">
        <v>126</v>
      </c>
      <c r="F1" s="160" t="s">
        <v>125</v>
      </c>
      <c r="G1" s="160" t="s">
        <v>175</v>
      </c>
      <c r="H1" s="160" t="s">
        <v>174</v>
      </c>
      <c r="J1" s="160" t="s">
        <v>173</v>
      </c>
      <c r="K1" s="160" t="s">
        <v>172</v>
      </c>
      <c r="L1" s="160" t="s">
        <v>171</v>
      </c>
      <c r="M1" s="159" t="s">
        <v>123</v>
      </c>
      <c r="N1" s="159" t="s">
        <v>122</v>
      </c>
    </row>
    <row r="2" spans="1:14" ht="22.5" x14ac:dyDescent="0.25">
      <c r="A2" s="153">
        <v>1</v>
      </c>
      <c r="B2" s="165" t="s">
        <v>170</v>
      </c>
      <c r="C2" s="153">
        <v>9006051064</v>
      </c>
      <c r="D2" s="164">
        <v>1</v>
      </c>
      <c r="E2" s="164">
        <v>0.95</v>
      </c>
      <c r="F2" s="164" t="s">
        <v>138</v>
      </c>
      <c r="G2" s="157">
        <v>1536335517</v>
      </c>
      <c r="H2" s="153" t="s">
        <v>142</v>
      </c>
      <c r="J2" s="153">
        <v>1</v>
      </c>
      <c r="K2" s="165" t="s">
        <v>170</v>
      </c>
      <c r="L2" s="153">
        <v>9006051064</v>
      </c>
      <c r="M2" s="164">
        <v>0.31</v>
      </c>
      <c r="N2" s="164">
        <v>0.01</v>
      </c>
    </row>
    <row r="3" spans="1:14" ht="22.5" x14ac:dyDescent="0.25">
      <c r="A3" s="153">
        <v>2</v>
      </c>
      <c r="B3" s="166" t="s">
        <v>169</v>
      </c>
      <c r="C3" s="153">
        <v>9008716680</v>
      </c>
      <c r="D3" s="164">
        <v>15.88</v>
      </c>
      <c r="E3" s="164">
        <v>0.21</v>
      </c>
      <c r="F3" s="164" t="s">
        <v>138</v>
      </c>
      <c r="G3" s="157">
        <v>256170615</v>
      </c>
      <c r="H3" s="153" t="s">
        <v>132</v>
      </c>
      <c r="J3" s="153">
        <v>2</v>
      </c>
      <c r="K3" s="166" t="s">
        <v>169</v>
      </c>
      <c r="L3" s="153">
        <v>9008716680</v>
      </c>
      <c r="M3" s="164">
        <v>0.05</v>
      </c>
      <c r="N3" s="164">
        <v>0.04</v>
      </c>
    </row>
    <row r="4" spans="1:14" x14ac:dyDescent="0.25">
      <c r="A4" s="153">
        <v>3</v>
      </c>
      <c r="B4" s="166" t="s">
        <v>168</v>
      </c>
      <c r="C4" s="153">
        <v>9013792439</v>
      </c>
      <c r="D4" s="164">
        <v>1.33</v>
      </c>
      <c r="E4" s="164">
        <v>0.66</v>
      </c>
      <c r="F4" s="164" t="s">
        <v>138</v>
      </c>
      <c r="G4" s="157">
        <v>270335086</v>
      </c>
      <c r="H4" s="153" t="s">
        <v>132</v>
      </c>
      <c r="J4" s="153">
        <v>3</v>
      </c>
      <c r="K4" s="166" t="s">
        <v>168</v>
      </c>
      <c r="L4" s="153">
        <v>9013792439</v>
      </c>
      <c r="M4" s="164">
        <v>0.36</v>
      </c>
      <c r="N4" s="164">
        <v>0.12</v>
      </c>
    </row>
    <row r="5" spans="1:14" x14ac:dyDescent="0.25">
      <c r="A5" s="153">
        <v>4</v>
      </c>
      <c r="B5" s="166" t="s">
        <v>167</v>
      </c>
      <c r="C5" s="153">
        <v>9010221398</v>
      </c>
      <c r="D5" s="164">
        <v>17.53</v>
      </c>
      <c r="E5" s="164">
        <v>0.57999999999999996</v>
      </c>
      <c r="F5" s="164" t="s">
        <v>138</v>
      </c>
      <c r="G5" s="157">
        <v>110821888.34</v>
      </c>
      <c r="H5" s="153" t="s">
        <v>132</v>
      </c>
      <c r="J5" s="153">
        <v>4</v>
      </c>
      <c r="K5" s="166" t="s">
        <v>167</v>
      </c>
      <c r="L5" s="153">
        <v>9010221398</v>
      </c>
      <c r="M5" s="164">
        <v>0.3</v>
      </c>
      <c r="N5" s="164">
        <v>0.12</v>
      </c>
    </row>
    <row r="6" spans="1:14" ht="22.5" x14ac:dyDescent="0.25">
      <c r="A6" s="153">
        <v>5</v>
      </c>
      <c r="B6" s="166" t="s">
        <v>166</v>
      </c>
      <c r="C6" s="153">
        <v>9005452451</v>
      </c>
      <c r="D6" s="164">
        <v>5.84</v>
      </c>
      <c r="E6" s="164">
        <v>0.16</v>
      </c>
      <c r="F6" s="164" t="s">
        <v>138</v>
      </c>
      <c r="G6" s="157">
        <v>434500388</v>
      </c>
      <c r="H6" s="153" t="s">
        <v>142</v>
      </c>
      <c r="J6" s="153">
        <v>5</v>
      </c>
      <c r="K6" s="166" t="s">
        <v>166</v>
      </c>
      <c r="L6" s="153">
        <v>9005452451</v>
      </c>
      <c r="M6" s="164">
        <v>0.77</v>
      </c>
      <c r="N6" s="164">
        <v>0.64</v>
      </c>
    </row>
    <row r="7" spans="1:14" ht="22.5" x14ac:dyDescent="0.25">
      <c r="A7" s="153">
        <v>6</v>
      </c>
      <c r="B7" s="166" t="s">
        <v>165</v>
      </c>
      <c r="C7" s="153">
        <v>9011517519</v>
      </c>
      <c r="D7" s="164">
        <v>2.72</v>
      </c>
      <c r="E7" s="164">
        <v>0.36</v>
      </c>
      <c r="F7" s="164">
        <v>17.3</v>
      </c>
      <c r="G7" s="157">
        <v>1281050065</v>
      </c>
      <c r="H7" s="153" t="s">
        <v>142</v>
      </c>
      <c r="J7" s="153">
        <v>6</v>
      </c>
      <c r="K7" s="166" t="s">
        <v>165</v>
      </c>
      <c r="L7" s="153">
        <v>9011517519</v>
      </c>
      <c r="M7" s="164">
        <v>0.32</v>
      </c>
      <c r="N7" s="164">
        <v>0.2</v>
      </c>
    </row>
    <row r="8" spans="1:14" x14ac:dyDescent="0.25">
      <c r="A8" s="153">
        <v>7</v>
      </c>
      <c r="B8" s="166" t="s">
        <v>164</v>
      </c>
      <c r="C8" s="153">
        <v>9002684198</v>
      </c>
      <c r="D8" s="164">
        <v>3.71</v>
      </c>
      <c r="E8" s="164">
        <v>0.28999999999999998</v>
      </c>
      <c r="F8" s="164">
        <v>61.81</v>
      </c>
      <c r="G8" s="157">
        <v>1026423753</v>
      </c>
      <c r="H8" s="153" t="s">
        <v>132</v>
      </c>
      <c r="J8" s="153">
        <v>7</v>
      </c>
      <c r="K8" s="166" t="s">
        <v>164</v>
      </c>
      <c r="L8" s="153">
        <v>9002684198</v>
      </c>
      <c r="M8" s="164">
        <v>0.02</v>
      </c>
      <c r="N8" s="164">
        <v>0.01</v>
      </c>
    </row>
    <row r="9" spans="1:14" x14ac:dyDescent="0.25">
      <c r="A9" s="153">
        <v>8</v>
      </c>
      <c r="B9" s="166" t="s">
        <v>163</v>
      </c>
      <c r="C9" s="153">
        <v>9005596541</v>
      </c>
      <c r="D9" s="164">
        <v>7.46</v>
      </c>
      <c r="E9" s="164">
        <v>0.57999999999999996</v>
      </c>
      <c r="F9" s="164">
        <v>15.01</v>
      </c>
      <c r="G9" s="157">
        <v>6943665394</v>
      </c>
      <c r="H9" s="153" t="s">
        <v>132</v>
      </c>
      <c r="J9" s="153">
        <v>8</v>
      </c>
      <c r="K9" s="166" t="s">
        <v>163</v>
      </c>
      <c r="L9" s="153">
        <v>9005596541</v>
      </c>
      <c r="M9" s="164">
        <v>0.35</v>
      </c>
      <c r="N9" s="164">
        <v>0.14000000000000001</v>
      </c>
    </row>
    <row r="10" spans="1:14" x14ac:dyDescent="0.25">
      <c r="A10" s="153">
        <v>9</v>
      </c>
      <c r="B10" s="166" t="s">
        <v>162</v>
      </c>
      <c r="C10" s="153">
        <v>9013808709</v>
      </c>
      <c r="D10" s="164">
        <v>1.95</v>
      </c>
      <c r="E10" s="164">
        <v>0.12</v>
      </c>
      <c r="F10" s="164" t="s">
        <v>150</v>
      </c>
      <c r="G10" s="157">
        <v>707173507.51999998</v>
      </c>
      <c r="H10" s="153" t="s">
        <v>132</v>
      </c>
      <c r="J10" s="153">
        <v>9</v>
      </c>
      <c r="K10" s="166" t="s">
        <v>162</v>
      </c>
      <c r="L10" s="153">
        <v>9013808709</v>
      </c>
      <c r="M10" s="164">
        <v>0.28000000000000003</v>
      </c>
      <c r="N10" s="164">
        <v>0.25</v>
      </c>
    </row>
    <row r="11" spans="1:14" x14ac:dyDescent="0.25">
      <c r="A11" s="153">
        <v>10</v>
      </c>
      <c r="B11" s="166" t="s">
        <v>161</v>
      </c>
      <c r="C11" s="153">
        <v>9012405451</v>
      </c>
      <c r="D11" s="164">
        <v>18.21</v>
      </c>
      <c r="E11" s="164">
        <v>0.08</v>
      </c>
      <c r="F11" s="164">
        <v>22.36</v>
      </c>
      <c r="G11" s="157">
        <v>443017000</v>
      </c>
      <c r="H11" s="153" t="s">
        <v>142</v>
      </c>
      <c r="J11" s="153">
        <v>10</v>
      </c>
      <c r="K11" s="166" t="s">
        <v>161</v>
      </c>
      <c r="L11" s="153">
        <v>9012405451</v>
      </c>
      <c r="M11" s="164">
        <v>0.05</v>
      </c>
      <c r="N11" s="164">
        <v>0.04</v>
      </c>
    </row>
    <row r="12" spans="1:14" ht="22.5" x14ac:dyDescent="0.25">
      <c r="A12" s="153">
        <v>11</v>
      </c>
      <c r="B12" s="166" t="s">
        <v>160</v>
      </c>
      <c r="C12" s="153">
        <v>9004261557</v>
      </c>
      <c r="D12" s="164">
        <v>4.5999999999999996</v>
      </c>
      <c r="E12" s="164">
        <v>0.3</v>
      </c>
      <c r="F12" s="164">
        <v>4.21</v>
      </c>
      <c r="G12" s="157">
        <v>4731242885</v>
      </c>
      <c r="H12" s="153" t="s">
        <v>142</v>
      </c>
      <c r="J12" s="153">
        <v>11</v>
      </c>
      <c r="K12" s="166" t="s">
        <v>160</v>
      </c>
      <c r="L12" s="153">
        <v>9004261557</v>
      </c>
      <c r="M12" s="164">
        <v>0.17</v>
      </c>
      <c r="N12" s="164">
        <v>0.11</v>
      </c>
    </row>
    <row r="13" spans="1:14" ht="22.5" x14ac:dyDescent="0.25">
      <c r="A13" s="153">
        <v>12</v>
      </c>
      <c r="B13" s="166" t="s">
        <v>158</v>
      </c>
      <c r="C13" s="153">
        <v>9008605551</v>
      </c>
      <c r="D13" s="164">
        <v>2.19</v>
      </c>
      <c r="E13" s="164">
        <v>0.41</v>
      </c>
      <c r="F13" s="164">
        <v>5.28</v>
      </c>
      <c r="G13" s="157">
        <v>834131428</v>
      </c>
      <c r="H13" s="153" t="s">
        <v>159</v>
      </c>
      <c r="J13" s="153">
        <v>12</v>
      </c>
      <c r="K13" s="166" t="s">
        <v>158</v>
      </c>
      <c r="L13" s="153">
        <v>9008605551</v>
      </c>
      <c r="M13" s="164">
        <v>0.12</v>
      </c>
      <c r="N13" s="164">
        <v>0.17</v>
      </c>
    </row>
    <row r="14" spans="1:14" ht="22.5" x14ac:dyDescent="0.25">
      <c r="A14" s="153">
        <v>13</v>
      </c>
      <c r="B14" s="166" t="s">
        <v>157</v>
      </c>
      <c r="C14" s="153">
        <v>9003547991</v>
      </c>
      <c r="D14" s="164">
        <v>3.25</v>
      </c>
      <c r="E14" s="164">
        <v>0.3</v>
      </c>
      <c r="F14" s="164" t="s">
        <v>150</v>
      </c>
      <c r="G14" s="157">
        <v>188981555</v>
      </c>
      <c r="H14" s="153" t="s">
        <v>132</v>
      </c>
      <c r="J14" s="153">
        <v>13</v>
      </c>
      <c r="K14" s="166" t="s">
        <v>157</v>
      </c>
      <c r="L14" s="153">
        <v>9003547991</v>
      </c>
      <c r="M14" s="164">
        <v>0.57999999999999996</v>
      </c>
      <c r="N14" s="164">
        <v>0.4</v>
      </c>
    </row>
    <row r="15" spans="1:14" x14ac:dyDescent="0.25">
      <c r="A15" s="153">
        <v>14</v>
      </c>
      <c r="B15" s="166" t="s">
        <v>156</v>
      </c>
      <c r="C15" s="153">
        <v>9000128668</v>
      </c>
      <c r="D15" s="164">
        <v>14.89</v>
      </c>
      <c r="E15" s="164">
        <v>0.05</v>
      </c>
      <c r="F15" s="164" t="s">
        <v>150</v>
      </c>
      <c r="G15" s="157">
        <v>1856685526</v>
      </c>
      <c r="H15" s="153" t="s">
        <v>129</v>
      </c>
      <c r="J15" s="153">
        <v>14</v>
      </c>
      <c r="K15" s="166" t="s">
        <v>156</v>
      </c>
      <c r="L15" s="153">
        <v>9000128668</v>
      </c>
      <c r="M15" s="164">
        <v>0.28000000000000003</v>
      </c>
      <c r="N15" s="164">
        <v>0.27</v>
      </c>
    </row>
    <row r="16" spans="1:14" ht="33.75" x14ac:dyDescent="0.25">
      <c r="A16" s="153">
        <v>15</v>
      </c>
      <c r="B16" s="166" t="s">
        <v>154</v>
      </c>
      <c r="C16" s="153">
        <v>9003136601</v>
      </c>
      <c r="D16" s="164">
        <v>3.5</v>
      </c>
      <c r="E16" s="164" t="s">
        <v>155</v>
      </c>
      <c r="F16" s="164">
        <v>58.7</v>
      </c>
      <c r="G16" s="157">
        <v>511733164.75999999</v>
      </c>
      <c r="H16" s="153" t="s">
        <v>132</v>
      </c>
      <c r="J16" s="153">
        <v>15</v>
      </c>
      <c r="K16" s="166" t="s">
        <v>154</v>
      </c>
      <c r="L16" s="153">
        <v>9003136601</v>
      </c>
      <c r="M16" s="164">
        <v>0.31</v>
      </c>
      <c r="N16" s="164">
        <v>0.13</v>
      </c>
    </row>
    <row r="17" spans="1:14" ht="22.5" x14ac:dyDescent="0.25">
      <c r="A17" s="153">
        <v>16</v>
      </c>
      <c r="B17" s="165" t="s">
        <v>153</v>
      </c>
      <c r="C17" s="153">
        <v>9004791941</v>
      </c>
      <c r="D17" s="164">
        <v>1</v>
      </c>
      <c r="E17" s="164">
        <v>0.24</v>
      </c>
      <c r="F17" s="164" t="s">
        <v>150</v>
      </c>
      <c r="G17" s="157">
        <v>6200000</v>
      </c>
      <c r="H17" s="153" t="s">
        <v>132</v>
      </c>
      <c r="J17" s="153">
        <v>16</v>
      </c>
      <c r="K17" s="165" t="s">
        <v>153</v>
      </c>
      <c r="L17" s="153">
        <v>9004791941</v>
      </c>
      <c r="M17" s="164">
        <v>0.19</v>
      </c>
      <c r="N17" s="164">
        <v>0.14000000000000001</v>
      </c>
    </row>
    <row r="18" spans="1:14" x14ac:dyDescent="0.25">
      <c r="A18" s="153">
        <v>17</v>
      </c>
      <c r="B18" s="165" t="s">
        <v>152</v>
      </c>
      <c r="C18" s="153">
        <v>9009533301</v>
      </c>
      <c r="D18" s="164">
        <v>2.4900000000000002</v>
      </c>
      <c r="E18" s="164">
        <v>0.56000000000000005</v>
      </c>
      <c r="F18" s="164" t="s">
        <v>150</v>
      </c>
      <c r="G18" s="157">
        <v>902714211</v>
      </c>
      <c r="H18" s="153" t="s">
        <v>132</v>
      </c>
      <c r="J18" s="153">
        <v>17</v>
      </c>
      <c r="K18" s="165" t="s">
        <v>152</v>
      </c>
      <c r="L18" s="153">
        <v>9009533301</v>
      </c>
      <c r="M18" s="164">
        <v>0.27</v>
      </c>
      <c r="N18" s="164">
        <v>0.11</v>
      </c>
    </row>
    <row r="19" spans="1:14" x14ac:dyDescent="0.25">
      <c r="A19" s="153">
        <v>18</v>
      </c>
      <c r="B19" s="165" t="s">
        <v>151</v>
      </c>
      <c r="C19" s="153">
        <v>9014467634</v>
      </c>
      <c r="D19" s="164">
        <v>30.62</v>
      </c>
      <c r="E19" s="164">
        <v>0.02</v>
      </c>
      <c r="F19" s="164">
        <v>7.9</v>
      </c>
      <c r="G19" s="157">
        <v>1730736000</v>
      </c>
      <c r="H19" s="153" t="s">
        <v>142</v>
      </c>
      <c r="J19" s="153">
        <v>18</v>
      </c>
      <c r="K19" s="165" t="s">
        <v>151</v>
      </c>
      <c r="L19" s="153">
        <v>9014467634</v>
      </c>
      <c r="M19" s="164">
        <v>0.21</v>
      </c>
      <c r="N19" s="164">
        <v>0.21</v>
      </c>
    </row>
    <row r="20" spans="1:14" x14ac:dyDescent="0.25">
      <c r="A20" s="153">
        <v>19</v>
      </c>
      <c r="B20" s="165" t="s">
        <v>149</v>
      </c>
      <c r="C20" s="153">
        <v>9007013703</v>
      </c>
      <c r="D20" s="164">
        <v>15.24</v>
      </c>
      <c r="E20" s="164">
        <v>0.06</v>
      </c>
      <c r="F20" s="164" t="s">
        <v>150</v>
      </c>
      <c r="G20" s="157">
        <v>783981823</v>
      </c>
      <c r="H20" s="153" t="s">
        <v>132</v>
      </c>
      <c r="J20" s="153">
        <v>19</v>
      </c>
      <c r="K20" s="165" t="s">
        <v>149</v>
      </c>
      <c r="L20" s="153">
        <v>9007013703</v>
      </c>
      <c r="M20" s="164">
        <v>0.06</v>
      </c>
      <c r="N20" s="164">
        <v>0.05</v>
      </c>
    </row>
    <row r="21" spans="1:14" x14ac:dyDescent="0.25">
      <c r="A21" s="153">
        <v>20</v>
      </c>
      <c r="B21" s="165" t="s">
        <v>148</v>
      </c>
      <c r="C21" s="153">
        <v>9011858799</v>
      </c>
      <c r="D21" s="164">
        <v>5.94</v>
      </c>
      <c r="E21" s="164">
        <v>0.08</v>
      </c>
      <c r="F21" s="164">
        <v>11.57</v>
      </c>
      <c r="G21" s="157">
        <v>959659681</v>
      </c>
      <c r="H21" s="153" t="s">
        <v>132</v>
      </c>
      <c r="J21" s="153">
        <v>20</v>
      </c>
      <c r="K21" s="165" t="s">
        <v>148</v>
      </c>
      <c r="L21" s="153">
        <v>9011858799</v>
      </c>
      <c r="M21" s="164">
        <v>0.27</v>
      </c>
      <c r="N21" s="164">
        <v>0.25</v>
      </c>
    </row>
    <row r="22" spans="1:14" x14ac:dyDescent="0.25">
      <c r="A22" s="153">
        <v>21</v>
      </c>
      <c r="B22" s="165" t="s">
        <v>147</v>
      </c>
      <c r="C22" s="153">
        <v>9002724193</v>
      </c>
      <c r="D22" s="164">
        <v>4.3499999999999996</v>
      </c>
      <c r="E22" s="164">
        <v>0.27</v>
      </c>
      <c r="F22" s="164">
        <v>7.69</v>
      </c>
      <c r="G22" s="157">
        <v>1990967756</v>
      </c>
      <c r="H22" s="153" t="s">
        <v>142</v>
      </c>
      <c r="J22" s="153">
        <v>21</v>
      </c>
      <c r="K22" s="165" t="s">
        <v>147</v>
      </c>
      <c r="L22" s="153">
        <v>9002724193</v>
      </c>
      <c r="M22" s="164">
        <v>0.44</v>
      </c>
      <c r="N22" s="164">
        <v>0.31</v>
      </c>
    </row>
    <row r="23" spans="1:14" ht="22.5" x14ac:dyDescent="0.25">
      <c r="A23" s="153">
        <v>22</v>
      </c>
      <c r="B23" s="165" t="s">
        <v>146</v>
      </c>
      <c r="C23" s="153">
        <v>9006461307</v>
      </c>
      <c r="D23" s="164">
        <v>11.75</v>
      </c>
      <c r="E23" s="164">
        <v>0.15</v>
      </c>
      <c r="F23" s="164">
        <v>5.29</v>
      </c>
      <c r="G23" s="157">
        <v>1101657063</v>
      </c>
      <c r="H23" s="153" t="s">
        <v>132</v>
      </c>
      <c r="J23" s="153">
        <v>22</v>
      </c>
      <c r="K23" s="165" t="s">
        <v>146</v>
      </c>
      <c r="L23" s="153">
        <v>9006461307</v>
      </c>
      <c r="M23" s="164">
        <v>0.08</v>
      </c>
      <c r="N23" s="164">
        <v>7.0000000000000007E-2</v>
      </c>
    </row>
    <row r="24" spans="1:14" x14ac:dyDescent="0.25">
      <c r="A24" s="153">
        <v>23</v>
      </c>
      <c r="B24" s="165" t="s">
        <v>145</v>
      </c>
      <c r="C24" s="153">
        <v>9008619351</v>
      </c>
      <c r="D24" s="164">
        <v>9.07</v>
      </c>
      <c r="E24" s="164">
        <v>0.06</v>
      </c>
      <c r="F24" s="164">
        <v>45.38</v>
      </c>
      <c r="G24" s="157">
        <v>221553893</v>
      </c>
      <c r="H24" s="153" t="s">
        <v>132</v>
      </c>
      <c r="J24" s="153">
        <v>23</v>
      </c>
      <c r="K24" s="165" t="s">
        <v>145</v>
      </c>
      <c r="L24" s="153">
        <v>9008619351</v>
      </c>
      <c r="M24" s="164">
        <v>7.0000000000000007E-2</v>
      </c>
      <c r="N24" s="164">
        <v>7.0000000000000007E-2</v>
      </c>
    </row>
    <row r="25" spans="1:14" ht="22.5" x14ac:dyDescent="0.25">
      <c r="A25" s="153">
        <v>24</v>
      </c>
      <c r="B25" s="165" t="s">
        <v>144</v>
      </c>
      <c r="C25" s="153">
        <v>8912247629</v>
      </c>
      <c r="D25" s="164">
        <v>2.2200000000000002</v>
      </c>
      <c r="E25" s="164">
        <v>0.78</v>
      </c>
      <c r="F25" s="164">
        <v>6.31</v>
      </c>
      <c r="G25" s="157">
        <v>6625910822</v>
      </c>
      <c r="H25" s="153" t="s">
        <v>129</v>
      </c>
      <c r="J25" s="153">
        <v>24</v>
      </c>
      <c r="K25" s="165" t="s">
        <v>144</v>
      </c>
      <c r="L25" s="153">
        <v>8912247629</v>
      </c>
      <c r="M25" s="164">
        <v>0.08</v>
      </c>
      <c r="N25" s="164">
        <v>0.01</v>
      </c>
    </row>
    <row r="26" spans="1:14" x14ac:dyDescent="0.25">
      <c r="A26" s="153">
        <v>25</v>
      </c>
      <c r="B26" s="165" t="s">
        <v>143</v>
      </c>
      <c r="C26" s="153">
        <v>9012581961</v>
      </c>
      <c r="D26" s="164">
        <v>16.68</v>
      </c>
      <c r="E26" s="164">
        <v>0.56999999999999995</v>
      </c>
      <c r="F26" s="164" t="s">
        <v>138</v>
      </c>
      <c r="G26" s="157">
        <v>41915529</v>
      </c>
      <c r="H26" s="153" t="s">
        <v>132</v>
      </c>
      <c r="J26" s="153">
        <v>25</v>
      </c>
      <c r="K26" s="165" t="s">
        <v>143</v>
      </c>
      <c r="L26" s="153">
        <v>9012581961</v>
      </c>
      <c r="M26" s="164">
        <v>0.71</v>
      </c>
      <c r="N26" s="164">
        <v>0.3</v>
      </c>
    </row>
    <row r="27" spans="1:14" x14ac:dyDescent="0.25">
      <c r="A27" s="153">
        <v>26</v>
      </c>
      <c r="B27" s="165" t="s">
        <v>141</v>
      </c>
      <c r="C27" s="153">
        <v>9007490935</v>
      </c>
      <c r="D27" s="164">
        <v>10.95</v>
      </c>
      <c r="E27" s="164">
        <v>0.09</v>
      </c>
      <c r="F27" s="164" t="s">
        <v>138</v>
      </c>
      <c r="G27" s="157">
        <v>778986844</v>
      </c>
      <c r="H27" s="153" t="s">
        <v>142</v>
      </c>
      <c r="J27" s="153">
        <v>26</v>
      </c>
      <c r="K27" s="165" t="s">
        <v>141</v>
      </c>
      <c r="L27" s="153">
        <v>9007490935</v>
      </c>
      <c r="M27" s="164">
        <v>0.22</v>
      </c>
      <c r="N27" s="164">
        <v>0.2</v>
      </c>
    </row>
    <row r="28" spans="1:14" ht="22.5" x14ac:dyDescent="0.25">
      <c r="A28" s="153">
        <v>27</v>
      </c>
      <c r="B28" s="165" t="s">
        <v>140</v>
      </c>
      <c r="C28" s="153">
        <v>800185395</v>
      </c>
      <c r="D28" s="164">
        <v>15.59</v>
      </c>
      <c r="E28" s="164">
        <v>0.23</v>
      </c>
      <c r="F28" s="164">
        <v>16.66</v>
      </c>
      <c r="G28" s="157">
        <v>1749110065</v>
      </c>
      <c r="H28" s="153" t="s">
        <v>132</v>
      </c>
      <c r="J28" s="153">
        <v>27</v>
      </c>
      <c r="K28" s="165" t="s">
        <v>140</v>
      </c>
      <c r="L28" s="153">
        <v>800185395</v>
      </c>
      <c r="M28" s="164">
        <v>0</v>
      </c>
      <c r="N28" s="164">
        <v>0</v>
      </c>
    </row>
    <row r="29" spans="1:14" ht="22.5" x14ac:dyDescent="0.25">
      <c r="A29" s="153">
        <v>28</v>
      </c>
      <c r="B29" s="165" t="s">
        <v>139</v>
      </c>
      <c r="C29" s="153">
        <v>901481198</v>
      </c>
      <c r="D29" s="164">
        <v>5.18</v>
      </c>
      <c r="E29" s="164">
        <v>0.18</v>
      </c>
      <c r="F29" s="164" t="s">
        <v>138</v>
      </c>
      <c r="G29" s="157">
        <v>29290759</v>
      </c>
      <c r="H29" s="153" t="s">
        <v>132</v>
      </c>
      <c r="J29" s="153">
        <v>28</v>
      </c>
      <c r="K29" s="165" t="s">
        <v>139</v>
      </c>
      <c r="L29" s="153">
        <v>901481198</v>
      </c>
      <c r="M29" s="164">
        <v>0.27</v>
      </c>
      <c r="N29" s="164">
        <v>0.22</v>
      </c>
    </row>
    <row r="30" spans="1:14" x14ac:dyDescent="0.25">
      <c r="A30" s="153">
        <v>29</v>
      </c>
      <c r="B30" s="165" t="s">
        <v>137</v>
      </c>
      <c r="C30" s="153">
        <v>900980947</v>
      </c>
      <c r="D30" s="164">
        <v>3.37</v>
      </c>
      <c r="E30" s="164">
        <v>0.17</v>
      </c>
      <c r="F30" s="164" t="s">
        <v>138</v>
      </c>
      <c r="G30" s="157">
        <v>427775236.13</v>
      </c>
      <c r="H30" s="153" t="s">
        <v>132</v>
      </c>
      <c r="J30" s="153">
        <v>29</v>
      </c>
      <c r="K30" s="165" t="s">
        <v>137</v>
      </c>
      <c r="L30" s="153">
        <v>900980947</v>
      </c>
      <c r="M30" s="164">
        <v>0.4</v>
      </c>
      <c r="N30" s="164">
        <v>0.33</v>
      </c>
    </row>
    <row r="31" spans="1:14" ht="22.5" x14ac:dyDescent="0.25">
      <c r="A31" s="153">
        <v>30</v>
      </c>
      <c r="B31" s="165" t="s">
        <v>136</v>
      </c>
      <c r="C31" s="153">
        <v>900204330</v>
      </c>
      <c r="D31" s="164">
        <v>4.99</v>
      </c>
      <c r="E31" s="164">
        <v>0.26</v>
      </c>
      <c r="F31" s="164">
        <v>16.64</v>
      </c>
      <c r="G31" s="157">
        <v>1121647807</v>
      </c>
      <c r="H31" s="153" t="s">
        <v>132</v>
      </c>
      <c r="J31" s="153">
        <v>30</v>
      </c>
      <c r="K31" s="165" t="s">
        <v>136</v>
      </c>
      <c r="L31" s="153">
        <v>900204330</v>
      </c>
      <c r="M31" s="164">
        <v>0.16</v>
      </c>
      <c r="N31" s="164">
        <v>0.12</v>
      </c>
    </row>
    <row r="32" spans="1:14" ht="22.5" x14ac:dyDescent="0.25">
      <c r="A32" s="153">
        <v>31</v>
      </c>
      <c r="B32" s="165" t="s">
        <v>134</v>
      </c>
      <c r="C32" s="153">
        <v>900665341</v>
      </c>
      <c r="D32" s="164">
        <v>1.57</v>
      </c>
      <c r="E32" s="164">
        <v>0.63</v>
      </c>
      <c r="F32" s="164">
        <v>4.5599999999999996</v>
      </c>
      <c r="G32" s="157">
        <v>110970950105</v>
      </c>
      <c r="H32" s="153" t="s">
        <v>135</v>
      </c>
      <c r="J32" s="153">
        <v>31</v>
      </c>
      <c r="K32" s="165" t="s">
        <v>134</v>
      </c>
      <c r="L32" s="153">
        <v>900665341</v>
      </c>
      <c r="M32" s="164">
        <v>0.09</v>
      </c>
      <c r="N32" s="164">
        <v>0.03</v>
      </c>
    </row>
    <row r="33" spans="1:14" ht="56.25" x14ac:dyDescent="0.25">
      <c r="A33" s="153">
        <v>32</v>
      </c>
      <c r="B33" s="165" t="s">
        <v>133</v>
      </c>
      <c r="C33" s="153">
        <v>800046444</v>
      </c>
      <c r="D33" s="164">
        <v>11.85</v>
      </c>
      <c r="E33" s="164">
        <v>0.13</v>
      </c>
      <c r="F33" s="164">
        <v>34.43</v>
      </c>
      <c r="G33" s="157">
        <v>652174281</v>
      </c>
      <c r="H33" s="153" t="s">
        <v>132</v>
      </c>
      <c r="J33" s="153">
        <v>32</v>
      </c>
      <c r="K33" s="165" t="s">
        <v>133</v>
      </c>
      <c r="L33" s="153">
        <v>800046444</v>
      </c>
      <c r="M33" s="164">
        <v>0.12</v>
      </c>
      <c r="N33" s="164">
        <v>0.1</v>
      </c>
    </row>
    <row r="34" spans="1:14" x14ac:dyDescent="0.25">
      <c r="A34" s="153">
        <v>33</v>
      </c>
      <c r="B34" s="165" t="s">
        <v>131</v>
      </c>
      <c r="C34" s="153">
        <v>800194842</v>
      </c>
      <c r="D34" s="164">
        <v>10.210000000000001</v>
      </c>
      <c r="E34" s="164">
        <v>0.45</v>
      </c>
      <c r="F34" s="164">
        <v>13.44</v>
      </c>
      <c r="G34" s="157">
        <v>1366390427</v>
      </c>
      <c r="H34" s="153" t="s">
        <v>132</v>
      </c>
      <c r="J34" s="153">
        <v>33</v>
      </c>
      <c r="K34" s="165" t="s">
        <v>131</v>
      </c>
      <c r="L34" s="153">
        <v>800194842</v>
      </c>
      <c r="M34" s="164">
        <v>0.08</v>
      </c>
      <c r="N34" s="164">
        <v>0.04</v>
      </c>
    </row>
    <row r="35" spans="1:14" x14ac:dyDescent="0.25">
      <c r="A35" s="153">
        <v>34</v>
      </c>
      <c r="B35" s="165" t="s">
        <v>130</v>
      </c>
      <c r="C35" s="153">
        <v>8110314561</v>
      </c>
      <c r="D35" s="164">
        <v>2.79</v>
      </c>
      <c r="E35" s="164">
        <v>0.42</v>
      </c>
      <c r="F35" s="164">
        <v>13.74</v>
      </c>
      <c r="G35" s="157">
        <v>15158727074</v>
      </c>
      <c r="H35" s="153" t="s">
        <v>129</v>
      </c>
      <c r="J35" s="153">
        <v>34</v>
      </c>
      <c r="K35" s="165" t="s">
        <v>130</v>
      </c>
      <c r="L35" s="153">
        <v>8110314561</v>
      </c>
      <c r="M35" s="164">
        <v>0.41</v>
      </c>
      <c r="N35" s="164">
        <v>0.23</v>
      </c>
    </row>
    <row r="36" spans="1:14" x14ac:dyDescent="0.25">
      <c r="A36" s="153">
        <v>35</v>
      </c>
      <c r="B36" s="165" t="s">
        <v>128</v>
      </c>
      <c r="C36" s="153">
        <v>900440679</v>
      </c>
      <c r="D36" s="164">
        <v>7.61</v>
      </c>
      <c r="E36" s="164">
        <v>0.19</v>
      </c>
      <c r="F36" s="164">
        <v>5.96</v>
      </c>
      <c r="G36" s="157">
        <v>25236683000</v>
      </c>
      <c r="H36" s="153" t="s">
        <v>129</v>
      </c>
      <c r="J36" s="153">
        <v>35</v>
      </c>
      <c r="K36" s="165" t="s">
        <v>128</v>
      </c>
      <c r="L36" s="153">
        <v>900440679</v>
      </c>
      <c r="M36" s="164">
        <v>0.04</v>
      </c>
      <c r="N36" s="164">
        <v>0.03</v>
      </c>
    </row>
    <row r="37" spans="1:14" ht="24.75" customHeight="1" x14ac:dyDescent="0.25">
      <c r="A37" s="234" t="s">
        <v>31</v>
      </c>
      <c r="B37" s="235"/>
      <c r="C37" s="236"/>
      <c r="D37" s="161">
        <f>+ROUND(AVERAGE(D2:D36),2)</f>
        <v>7.93</v>
      </c>
      <c r="E37" s="161">
        <f>+ROUND(AVERAGE(E2:E36),2)</f>
        <v>0.31</v>
      </c>
      <c r="F37" s="163" t="s">
        <v>120</v>
      </c>
      <c r="G37" s="162">
        <f>+ROUND(AVERAGE(G2:G36),2)</f>
        <v>5513980004.25</v>
      </c>
      <c r="J37" s="237" t="s">
        <v>31</v>
      </c>
      <c r="K37" s="237"/>
      <c r="L37" s="237"/>
      <c r="M37" s="161">
        <f>+ROUND(AVERAGE(M2:M36),2)</f>
        <v>0.24</v>
      </c>
      <c r="N37" s="161">
        <f>+ROUND(AVERAGE(N2:N36),2)</f>
        <v>0.16</v>
      </c>
    </row>
    <row r="41" spans="1:14" ht="39.75" customHeight="1" x14ac:dyDescent="0.25">
      <c r="B41" s="160" t="s">
        <v>31</v>
      </c>
      <c r="C41" s="160" t="s">
        <v>127</v>
      </c>
      <c r="D41" s="160" t="s">
        <v>126</v>
      </c>
      <c r="E41" s="160" t="s">
        <v>125</v>
      </c>
      <c r="F41" s="160" t="s">
        <v>124</v>
      </c>
      <c r="K41" s="239" t="s">
        <v>31</v>
      </c>
      <c r="L41" s="239"/>
      <c r="M41" s="159" t="s">
        <v>123</v>
      </c>
      <c r="N41" s="159" t="s">
        <v>122</v>
      </c>
    </row>
    <row r="42" spans="1:14" x14ac:dyDescent="0.25">
      <c r="B42" s="155" t="s">
        <v>121</v>
      </c>
      <c r="C42" s="153">
        <f>+D37</f>
        <v>7.93</v>
      </c>
      <c r="D42" s="153">
        <f>+E37</f>
        <v>0.31</v>
      </c>
      <c r="E42" s="153" t="str">
        <f>+F37</f>
        <v>&gt;=1 o INDETERMINADO</v>
      </c>
      <c r="F42" s="157">
        <f>+ROUND(G37*30%,2)</f>
        <v>1654194001.28</v>
      </c>
      <c r="K42" s="233" t="s">
        <v>121</v>
      </c>
      <c r="L42" s="233"/>
      <c r="M42" s="153">
        <f>+M37</f>
        <v>0.24</v>
      </c>
      <c r="N42" s="153">
        <f>+N37</f>
        <v>0.16</v>
      </c>
    </row>
    <row r="43" spans="1:14" x14ac:dyDescent="0.25">
      <c r="B43" s="238" t="s">
        <v>119</v>
      </c>
      <c r="C43" s="153">
        <v>1.4</v>
      </c>
      <c r="D43" s="158">
        <v>0.6</v>
      </c>
      <c r="E43" s="153" t="s">
        <v>120</v>
      </c>
      <c r="F43" s="157">
        <f>+ROUND(B49*30%,2)</f>
        <v>95874340.5</v>
      </c>
      <c r="K43" s="233" t="s">
        <v>119</v>
      </c>
      <c r="L43" s="233"/>
      <c r="M43" s="153">
        <v>0.01</v>
      </c>
      <c r="N43" s="153">
        <v>0.01</v>
      </c>
    </row>
    <row r="44" spans="1:14" x14ac:dyDescent="0.25">
      <c r="B44" s="238"/>
      <c r="C44" s="156" t="s">
        <v>117</v>
      </c>
      <c r="D44" s="156" t="s">
        <v>118</v>
      </c>
      <c r="E44" s="156" t="s">
        <v>117</v>
      </c>
      <c r="F44" s="156" t="s">
        <v>117</v>
      </c>
      <c r="K44" s="233"/>
      <c r="L44" s="233"/>
      <c r="M44" s="153" t="s">
        <v>117</v>
      </c>
      <c r="N44" s="153" t="s">
        <v>117</v>
      </c>
    </row>
    <row r="45" spans="1:14" ht="22.5" x14ac:dyDescent="0.25">
      <c r="B45" s="155" t="s">
        <v>116</v>
      </c>
      <c r="C45" s="153">
        <f>+COUNTIF(D2:D36,"&gt;=1,4")</f>
        <v>32</v>
      </c>
      <c r="D45" s="153">
        <f>+COUNTIF(E2:E36,"&lt;=60%")</f>
        <v>30</v>
      </c>
      <c r="E45" s="154">
        <f>+COUNTIF(F2:F36,"&gt;=1")+COUNTIF(F2:F36,"=INDETERMINADO")</f>
        <v>29</v>
      </c>
      <c r="F45" s="153">
        <f>+COUNTIF(G2:G36,"&gt;=95874340,50")</f>
        <v>32</v>
      </c>
      <c r="K45" s="233" t="s">
        <v>116</v>
      </c>
      <c r="L45" s="233" t="s">
        <v>113</v>
      </c>
      <c r="M45" s="153">
        <f>+COUNTIF(M2:M36,"&gt;=0,01")</f>
        <v>34</v>
      </c>
      <c r="N45" s="153">
        <f>+COUNTIF(N2:N36,"&gt;=0,01")</f>
        <v>34</v>
      </c>
    </row>
    <row r="46" spans="1:14" ht="22.5" x14ac:dyDescent="0.25">
      <c r="B46" s="155" t="s">
        <v>115</v>
      </c>
      <c r="C46" s="153">
        <f>+COUNTIF(D2:D36,"&gt;=7,93")</f>
        <v>13</v>
      </c>
      <c r="D46" s="153">
        <f>+COUNTIF(E2:E36,"&lt;=31%")</f>
        <v>22</v>
      </c>
      <c r="E46" s="154">
        <f>+COUNTIF(F2:F36,"&gt;=1")+COUNTIF(F2:F36,"=INDETERMINADO")</f>
        <v>29</v>
      </c>
      <c r="F46" s="153">
        <f>+COUNTIF(G2:G36,"&gt;=1654194001,28")</f>
        <v>10</v>
      </c>
      <c r="K46" s="233" t="s">
        <v>114</v>
      </c>
      <c r="L46" s="233" t="s">
        <v>113</v>
      </c>
      <c r="M46" s="153">
        <f>+COUNTIF(M2:M36,"&gt;=0,24")</f>
        <v>17</v>
      </c>
      <c r="N46" s="153">
        <f>+COUNTIF(N2:N36,"&gt;=0,16")</f>
        <v>14</v>
      </c>
    </row>
    <row r="48" spans="1:14" x14ac:dyDescent="0.25">
      <c r="B48" s="152" t="s">
        <v>112</v>
      </c>
    </row>
    <row r="49" spans="2:2" x14ac:dyDescent="0.25">
      <c r="B49" s="151">
        <f>+'ANALISIS COTIZACIONES'!F64</f>
        <v>319581135</v>
      </c>
    </row>
  </sheetData>
  <mergeCells count="8">
    <mergeCell ref="K46:L46"/>
    <mergeCell ref="A37:C37"/>
    <mergeCell ref="J37:L37"/>
    <mergeCell ref="B43:B44"/>
    <mergeCell ref="K41:L41"/>
    <mergeCell ref="K42:L42"/>
    <mergeCell ref="K43:L44"/>
    <mergeCell ref="K45:L4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13</vt:i4>
      </vt:variant>
    </vt:vector>
  </HeadingPairs>
  <TitlesOfParts>
    <vt:vector size="13" baseType="lpstr">
      <vt:lpstr>ANALISIS COTIZACIONES</vt:lpstr>
      <vt:lpstr>PRECIOS VIRTUALES ESTIMADOS</vt:lpstr>
      <vt:lpstr>Papa china Charco</vt:lpstr>
      <vt:lpstr>Papa china Magui</vt:lpstr>
      <vt:lpstr>Coco</vt:lpstr>
      <vt:lpstr>Plátano La Tola</vt:lpstr>
      <vt:lpstr>Plátano Olaya Herrera</vt:lpstr>
      <vt:lpstr>Camarón</vt:lpstr>
      <vt:lpstr>Tilapia</vt:lpstr>
      <vt:lpstr>VERIFICACIÓN CANTIDADES</vt:lpstr>
      <vt:lpstr>Unificado</vt:lpstr>
      <vt:lpstr>INFO GENERAL</vt:lpstr>
      <vt:lpstr>CAP FINAN Y ORG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Sistemas</dc:creator>
  <cp:lastModifiedBy>SEBASTIAN</cp:lastModifiedBy>
  <dcterms:created xsi:type="dcterms:W3CDTF">2026-03-25T14:40:52Z</dcterms:created>
  <dcterms:modified xsi:type="dcterms:W3CDTF">2026-08-06T21:07:22Z</dcterms:modified>
</cp:coreProperties>
</file>