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psco.sharepoint.com/sites/REPOSITORIODOCUMENTALOTI/Documentos compartidos/SUBDIRECCION_OPERACIONES/GIT_ADMIN_BIENES/2026/Contratacion/SAMC-Seguros/"/>
    </mc:Choice>
  </mc:AlternateContent>
  <xr:revisionPtr revIDLastSave="42" documentId="8_{914558AE-BC31-4BBE-88FD-35AB853547F5}" xr6:coauthVersionLast="47" xr6:coauthVersionMax="47" xr10:uidLastSave="{E5507EB5-D1D9-42E3-85F5-9429FAF28798}"/>
  <bookViews>
    <workbookView xWindow="2715" yWindow="2130" windowWidth="25725" windowHeight="8865" tabRatio="668" firstSheet="3" activeTab="3" xr2:uid="{00000000-000D-0000-FFFF-FFFF00000000}"/>
  </bookViews>
  <sheets>
    <sheet name="1. ESTUDIO DE MERCADO" sheetId="1" r:id="rId1"/>
    <sheet name="2. TASAS PROMEDIO" sheetId="2" r:id="rId2"/>
    <sheet name="3. ANEXO TRDM-2026" sheetId="6" r:id="rId3"/>
    <sheet name="4. AUTOS" sheetId="4" r:id="rId4"/>
    <sheet name="5. SOAT" sheetId="5" r:id="rId5"/>
    <sheet name="TARIFA 2026" sheetId="7" r:id="rId6"/>
  </sheets>
  <definedNames>
    <definedName name="_xlnm.Print_Area" localSheetId="1">'2. TASAS PROMEDIO'!$A$1:$F$60</definedName>
    <definedName name="_xlnm.Print_Area" localSheetId="2">'3. ANEXO TRDM-2026'!$A$1:$G$27</definedName>
    <definedName name="_xlnm.Print_Area" localSheetId="5">'TARIFA 2026'!$A$1:$K$45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7" i="1" l="1"/>
  <c r="J23" i="1"/>
  <c r="J22" i="1"/>
  <c r="J21" i="1"/>
  <c r="J20" i="1"/>
  <c r="J19" i="1"/>
  <c r="J18" i="1"/>
  <c r="J15" i="1"/>
  <c r="K23" i="1"/>
  <c r="K22" i="1"/>
  <c r="K21" i="1"/>
  <c r="K20" i="1"/>
  <c r="K19" i="1"/>
  <c r="K18" i="1"/>
  <c r="K17" i="1"/>
  <c r="K16" i="1"/>
  <c r="K15" i="1"/>
  <c r="M24" i="1"/>
  <c r="N7" i="4"/>
  <c r="N8" i="4"/>
  <c r="N9" i="4"/>
  <c r="N10" i="4"/>
  <c r="N11" i="4"/>
  <c r="N12" i="4"/>
  <c r="N13" i="4"/>
  <c r="N14" i="4"/>
  <c r="N15" i="4"/>
  <c r="N16" i="4"/>
  <c r="N17" i="4"/>
  <c r="N18" i="4"/>
  <c r="N6" i="4"/>
  <c r="N19" i="4"/>
  <c r="N20" i="4" s="1"/>
  <c r="I25" i="1"/>
  <c r="D15" i="1"/>
  <c r="C15" i="1"/>
  <c r="N29" i="1"/>
  <c r="N24" i="1"/>
  <c r="L23" i="1"/>
  <c r="M23" i="1" s="1"/>
  <c r="L22" i="1"/>
  <c r="L21" i="1"/>
  <c r="M21" i="1" s="1"/>
  <c r="L20" i="1"/>
  <c r="M20" i="1" s="1"/>
  <c r="L19" i="1"/>
  <c r="M19" i="1" s="1"/>
  <c r="N19" i="1" s="1"/>
  <c r="L18" i="1"/>
  <c r="M18" i="1" s="1"/>
  <c r="N18" i="1" s="1"/>
  <c r="H29" i="1"/>
  <c r="H20" i="1"/>
  <c r="H18" i="1"/>
  <c r="H23" i="1"/>
  <c r="H22" i="1"/>
  <c r="H21" i="1"/>
  <c r="H19" i="1"/>
  <c r="H17" i="1"/>
  <c r="E56" i="2"/>
  <c r="H56" i="2" s="1"/>
  <c r="E41" i="2"/>
  <c r="F22" i="1" s="1"/>
  <c r="E29" i="2"/>
  <c r="F19" i="1" s="1"/>
  <c r="E17" i="2"/>
  <c r="E10" i="2"/>
  <c r="E11" i="6"/>
  <c r="E12" i="6" s="1"/>
  <c r="C15" i="6" s="1"/>
  <c r="O7" i="5"/>
  <c r="H8" i="1"/>
  <c r="M8" i="1"/>
  <c r="C8" i="1"/>
  <c r="F23" i="1"/>
  <c r="F21" i="1"/>
  <c r="F20" i="1"/>
  <c r="F18" i="1"/>
  <c r="H51" i="2"/>
  <c r="H46" i="2"/>
  <c r="H35" i="2"/>
  <c r="F23" i="6"/>
  <c r="F22" i="6"/>
  <c r="F21" i="6"/>
  <c r="E20" i="6"/>
  <c r="F20" i="6" s="1"/>
  <c r="E19" i="6"/>
  <c r="F19" i="6" s="1"/>
  <c r="E18" i="6"/>
  <c r="E17" i="6"/>
  <c r="F17" i="6" s="1"/>
  <c r="E16" i="6"/>
  <c r="F16" i="6" s="1"/>
  <c r="D15" i="6"/>
  <c r="I29" i="1"/>
  <c r="K29" i="1" s="1"/>
  <c r="N21" i="4" l="1"/>
  <c r="N21" i="1"/>
  <c r="M22" i="1"/>
  <c r="N22" i="1" s="1"/>
  <c r="N23" i="1"/>
  <c r="C24" i="6"/>
  <c r="E15" i="6"/>
  <c r="J29" i="1"/>
  <c r="H30" i="1"/>
  <c r="F16" i="1"/>
  <c r="H17" i="2"/>
  <c r="F18" i="6"/>
  <c r="C25" i="6"/>
  <c r="J30" i="1" l="1"/>
  <c r="L29" i="1"/>
  <c r="C26" i="6"/>
  <c r="M29" i="1"/>
  <c r="L30" i="1"/>
  <c r="F15" i="6"/>
  <c r="E25" i="6"/>
  <c r="F25" i="6" s="1"/>
  <c r="E24" i="6"/>
  <c r="H15" i="1" l="1"/>
  <c r="E26" i="6"/>
  <c r="I15" i="1" s="1"/>
  <c r="M30" i="1"/>
  <c r="N30" i="1"/>
  <c r="F24" i="6"/>
  <c r="F26" i="6" s="1"/>
  <c r="N8" i="5" l="1"/>
  <c r="L21" i="4"/>
  <c r="C16" i="1" s="1"/>
  <c r="H16" i="1" l="1"/>
  <c r="J16" i="1" s="1"/>
  <c r="L16" i="1" s="1"/>
  <c r="M16" i="1" s="1"/>
  <c r="N16" i="1" s="1"/>
  <c r="C25" i="1"/>
  <c r="C30" i="1" s="1"/>
  <c r="O8" i="5"/>
  <c r="I23" i="1"/>
  <c r="I22" i="1"/>
  <c r="I21" i="1"/>
  <c r="I20" i="1"/>
  <c r="I19" i="1"/>
  <c r="I18" i="1"/>
  <c r="I17" i="1"/>
  <c r="I16" i="1"/>
  <c r="F15" i="1" l="1"/>
  <c r="G15" i="1" s="1"/>
  <c r="H10" i="2" l="1"/>
  <c r="D25" i="1" l="1"/>
  <c r="E35" i="2" l="1"/>
  <c r="E51" i="2" l="1"/>
  <c r="E46" i="2" l="1"/>
  <c r="E23" i="2"/>
  <c r="H29" i="2" l="1"/>
  <c r="H23" i="2"/>
  <c r="H41" i="2"/>
  <c r="L15" i="1"/>
  <c r="M15" i="1" s="1"/>
  <c r="N17" i="1"/>
  <c r="K25" i="1" l="1"/>
  <c r="H25" i="1" l="1"/>
  <c r="N15" i="1"/>
  <c r="N20" i="1"/>
  <c r="J25" i="1" l="1"/>
  <c r="M25" i="1" l="1"/>
  <c r="L25" i="1"/>
  <c r="N25" i="1" l="1"/>
  <c r="N32" i="1" l="1"/>
  <c r="C11" i="1" l="1"/>
  <c r="N3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tc={BF811D27-BDE1-49BF-8C07-8B3A7499E158}</author>
  </authors>
  <commentList>
    <comment ref="C16" authorId="0" shapeId="0" xr:uid="{BF811D27-BDE1-49BF-8C07-8B3A7499E158}">
      <text>
        <t>[Threaded comment]
Your version of Excel allows you to read this threaded comment; however, any edits to it will get removed if the file is opened in a newer version of Excel. Learn more: https://go.microsoft.com/fwlink/?linkid=870924
Comment:
    Se propone hacer modificacion de valores de mercado de dos )2) vehículos marca FAW de placas OCK-407 y OBI-294.
El valor asegurado total se incrementa a $ 1,015,955,540.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tc={8804CC77-FE13-4E46-956B-86D74D376937}</author>
    <author>tc={77D7B6F2-8BD8-4724-9CD8-C30796C657CB}</author>
  </authors>
  <commentList>
    <comment ref="L6" authorId="0" shapeId="0" xr:uid="{8804CC77-FE13-4E46-956B-86D74D376937}">
      <text>
        <t>[Threaded comment]
Your version of Excel allows you to read this threaded comment; however, any edits to it will get removed if the file is opened in a newer version of Excel. Learn more: https://go.microsoft.com/fwlink/?linkid=870924
Comment:
    Valor acordado
Reply:
    Valor acordado</t>
      </text>
    </comment>
    <comment ref="L19" authorId="1" shapeId="0" xr:uid="{77D7B6F2-8BD8-4724-9CD8-C30796C657CB}">
      <text>
        <t>[Threaded comment]
Your version of Excel allows you to read this threaded comment; however, any edits to it will get removed if the file is opened in a newer version of Excel. Learn more: https://go.microsoft.com/fwlink/?linkid=870924
Comment:
    Valor acordado</t>
      </text>
    </comment>
  </commentList>
</comments>
</file>

<file path=xl/sharedStrings.xml><?xml version="1.0" encoding="utf-8"?>
<sst xmlns="http://schemas.openxmlformats.org/spreadsheetml/2006/main" count="391" uniqueCount="228">
  <si>
    <t>DEPARTAMENTO ADMINISTRATIVO PARA LA PROSPERIDAD SOCIAL - PROSPERIDAD SOCIAL</t>
  </si>
  <si>
    <t>ESTUDIO DE MERCADO 2026</t>
  </si>
  <si>
    <t>CALCULO VALORES APROXIMADOS DE PRIMA</t>
  </si>
  <si>
    <t xml:space="preserve">GRUPO I. PROGRAMA DE SEGUROS GENERALES </t>
  </si>
  <si>
    <t xml:space="preserve">GRUPO I. PROGRAMA DE SEGUROS GENERALES AUTOMÓVILES </t>
  </si>
  <si>
    <t>GRUPO II. R.C RIESGO CIBERNETICO CYBER</t>
  </si>
  <si>
    <t>VIGENCIA DESDE 00:00 HORAS</t>
  </si>
  <si>
    <t>VIGENCIA HASTA 00:00 HORAS</t>
  </si>
  <si>
    <t>DIAS DE COBERTURA</t>
  </si>
  <si>
    <t>PRESUPUESTO</t>
  </si>
  <si>
    <t>GRUPO 1</t>
  </si>
  <si>
    <t>ESTUDIO DE MERCADO</t>
  </si>
  <si>
    <t>RAMO</t>
  </si>
  <si>
    <t>VALOR ASEGURADO</t>
  </si>
  <si>
    <t>VALOR ASEGURADO INDICE VARIABLE
PERIODO</t>
  </si>
  <si>
    <t>TIPO TASA</t>
  </si>
  <si>
    <t>TASA ANUAL</t>
  </si>
  <si>
    <t>TASA IND. VAR.</t>
  </si>
  <si>
    <t>PRIMA ANUAL</t>
  </si>
  <si>
    <t>PRIMA IND. VAR. PERIODO</t>
  </si>
  <si>
    <t>PRIMA PERIODO</t>
  </si>
  <si>
    <t>SUBTOTAL</t>
  </si>
  <si>
    <t>IVA</t>
  </si>
  <si>
    <t>TOTAL</t>
  </si>
  <si>
    <t>TODO RIESGO DAÑOS MATERIALES</t>
  </si>
  <si>
    <r>
      <t>%</t>
    </r>
    <r>
      <rPr>
        <sz val="8"/>
        <color theme="1"/>
        <rFont val="Arial Narrow"/>
        <family val="2"/>
      </rPr>
      <t>o</t>
    </r>
  </si>
  <si>
    <t>AUTOMOVILES</t>
  </si>
  <si>
    <t>%</t>
  </si>
  <si>
    <t>SOAT</t>
  </si>
  <si>
    <t>SEGÚN LEY</t>
  </si>
  <si>
    <t>N/A</t>
  </si>
  <si>
    <t>TRANSPORTE DE VALORES</t>
  </si>
  <si>
    <t>TRANSPORTE DE MERCANCÍAS</t>
  </si>
  <si>
    <t>MANEJO GLOBAL ENTIDADES ESTATALES</t>
  </si>
  <si>
    <t>INFIDELIDAD Y RIESGOS FINANCIEROS</t>
  </si>
  <si>
    <t>RESPONSABILIDAD CIVIL EXTRACONTRACTUAL</t>
  </si>
  <si>
    <t>RESPONSABILIDAD CIVIL SERVIDORES PUBLICOS</t>
  </si>
  <si>
    <t>VALOR FIJO INCLUSIONES</t>
  </si>
  <si>
    <t>TOTAL GRUPO 1</t>
  </si>
  <si>
    <t>GRUPO 2</t>
  </si>
  <si>
    <t xml:space="preserve">R.C. RIESGO CIBERNÉTICO CYBER </t>
  </si>
  <si>
    <t>TOTAL GRUPO 2</t>
  </si>
  <si>
    <t>TOTAL ESTUDIO</t>
  </si>
  <si>
    <t>DIFERENCIA CON VALOR PRESUPUESTADO</t>
  </si>
  <si>
    <t>TASAS PROMEDIO 2026</t>
  </si>
  <si>
    <t>ENTIDAD</t>
  </si>
  <si>
    <t>PROCESO</t>
  </si>
  <si>
    <t>TASAS</t>
  </si>
  <si>
    <t>PROMEDIO TASAS</t>
  </si>
  <si>
    <t>PROMERIO TASA MERCADO (A)</t>
  </si>
  <si>
    <t>TIPO DE TASA % - %o</t>
  </si>
  <si>
    <t>SAMC No. 10 DE 2023</t>
  </si>
  <si>
    <t>Todo Riesgo Daños Materiales</t>
  </si>
  <si>
    <t>%o</t>
  </si>
  <si>
    <t>DIRECCION NACIONAL DE INTELIGENCIA - DNI</t>
  </si>
  <si>
    <t xml:space="preserve">CONTRATACION DIRECTA   2-2025-2336 </t>
  </si>
  <si>
    <t>PERSONERIA MUNICIPAL DE SOACHA</t>
  </si>
  <si>
    <t>MC-008-2025</t>
  </si>
  <si>
    <t>SECRETARIA DISTRITAL DE HACIENDA</t>
  </si>
  <si>
    <t xml:space="preserve">LICITACIÓN PÚBLICA  No. SDH-LP-0001-2025 </t>
  </si>
  <si>
    <t>UNIDAD DE PLANEACIÓN DE INFRAESTRUCTURA DE TRANSPORTE</t>
  </si>
  <si>
    <t>UPIT-CA-002-2026</t>
  </si>
  <si>
    <t>MUNICIPIO DE QUEBRADANEGRA</t>
  </si>
  <si>
    <t>SAMC-014-2025</t>
  </si>
  <si>
    <t xml:space="preserve">INSTITUTO DE VIVIENDA DE INTERES SOCIAL Y REFORMA URBANA BUCARAMANGA </t>
  </si>
  <si>
    <t>SA-001-2026 </t>
  </si>
  <si>
    <t>Automóviles</t>
  </si>
  <si>
    <t>AGENCIA NACIONAL DEL ESPECTRO - ANE</t>
  </si>
  <si>
    <t>LICITACIÓN PÚBLICA No. 89 DE 2025</t>
  </si>
  <si>
    <t>DEPARTAMENTO ADMINISTRATIVO DEL SERVICIO CIVIL – DASC.</t>
  </si>
  <si>
    <t>DASCD-LP-002-2025</t>
  </si>
  <si>
    <t>AGENCIA DE DESARROLLO RURAL</t>
  </si>
  <si>
    <t>SELECCION ABREVIADA DE MENOR CUANTIA SAMC-03-2026</t>
  </si>
  <si>
    <t>Transporte de Valores</t>
  </si>
  <si>
    <t>DEPARTAMENTO DE CUNDINAMARCA</t>
  </si>
  <si>
    <t>LICITACIÓN PÚBLICA SG-LP-001-2025</t>
  </si>
  <si>
    <t>BENEFICENCIA DE CUNDINAMARCA</t>
  </si>
  <si>
    <t>LICITACION PUBLICA 001 DE  2025</t>
  </si>
  <si>
    <t>ARTESANIAS DE COLOMBIA</t>
  </si>
  <si>
    <t xml:space="preserve"> INVITACIÓN ABIERTA ADC-004-2026</t>
  </si>
  <si>
    <t>AGENCIA LOGISTICA DE LAS FUERZA MILITARES</t>
  </si>
  <si>
    <t>LICITACIÓN PÚBLICA No. 002-046-2026</t>
  </si>
  <si>
    <t>Transporte de Mercancías</t>
  </si>
  <si>
    <t>Manejo Global Entidades Estatales</t>
  </si>
  <si>
    <t>COMPUTADORES PARA EDUCAR</t>
  </si>
  <si>
    <t>LICITACIÓN PÚBLICA No. 01 DE 2025</t>
  </si>
  <si>
    <t>Responsabilidad Civil Extracontractual</t>
  </si>
  <si>
    <t>CONTRALORIA DE BOGOTA</t>
  </si>
  <si>
    <t>LICITACIÓN PÚBLICA No. CB-LP-001-2026</t>
  </si>
  <si>
    <t>Responsabilidad Civil Servidores Públicos</t>
  </si>
  <si>
    <t>DIRECCION NACIONAL DE DERECHO DE AUTOR</t>
  </si>
  <si>
    <t>MC DNDA-028-2026</t>
  </si>
  <si>
    <t>CONTRALORIA GENERAL DE CALDAS -CGC</t>
  </si>
  <si>
    <t xml:space="preserve">SELECCIÓN ABREVIADA DE MENOR CUANTÍA No. SAMC-CGC-02-2025 </t>
  </si>
  <si>
    <t>SUPERINTENDENCIA DE INDUSTRIA Y COMERCIO - SIC</t>
  </si>
  <si>
    <t>LICITACIÓN PÚBLICA SIC 8 DE 2026</t>
  </si>
  <si>
    <t>Infidelidad y Riesgos Financieros</t>
  </si>
  <si>
    <t>UNIDAD DE INFORMACIÓN Y ANÁLISIS FINANCIERO - UIAF</t>
  </si>
  <si>
    <t>CONTRATACIÓN DIRECTA DE BIENES Y SERVICIOS QUE REQUIEREN DE RESERVA</t>
  </si>
  <si>
    <t>Responsabilidad Civil Riesgo Cibernetico Cyber</t>
  </si>
  <si>
    <t>INSTITUTO NACIONAL DE VIGILANGIA DE MEDICAMENTOS Y ALIMENTOS - INVIMA</t>
  </si>
  <si>
    <t>LICITACIÓN PÚBLICA No. LP-003-2025</t>
  </si>
  <si>
    <t>CONCEJO DE BOGOTA</t>
  </si>
  <si>
    <t xml:space="preserve"> SELECCIÓN ABREVIADA DE MENOR CUANTIA No. SDH-SAMC-0001-2026 </t>
  </si>
  <si>
    <t>RELACION DE BIENES 2026</t>
  </si>
  <si>
    <t>EDIFICACIONES</t>
  </si>
  <si>
    <t>DEPENDENCIA</t>
  </si>
  <si>
    <t>DIRECCION</t>
  </si>
  <si>
    <t>DESCRIPCION</t>
  </si>
  <si>
    <t>SEDE FONTIBÓN (Almacén General - Bodega No. 6 y 8)</t>
  </si>
  <si>
    <t>Carrera 98 Nº 25g-10</t>
  </si>
  <si>
    <t>USO PROPIO</t>
  </si>
  <si>
    <t>SEDE DIRECCIÓN REGIONAL CHOCÓ</t>
  </si>
  <si>
    <t>Carrera 2 Nº 24A-82</t>
  </si>
  <si>
    <t>INMUEBLE COMODATO PEREIRA</t>
  </si>
  <si>
    <t>Calle  25 Carrera 7 y 8</t>
  </si>
  <si>
    <t>COMODATO</t>
  </si>
  <si>
    <t>INDICE VARIABLE</t>
  </si>
  <si>
    <t>DETALLE</t>
  </si>
  <si>
    <t>VALOR INDICE VARIABLE (5%)</t>
  </si>
  <si>
    <t>VALOR INDICE
PERIODO</t>
  </si>
  <si>
    <t>VALOR TOTAL</t>
  </si>
  <si>
    <t>MUEBLES Y ENSERES</t>
  </si>
  <si>
    <t>EQUIPO Y MAQUINARIA</t>
  </si>
  <si>
    <t>EQUIPO ELÉCTRICOS, ELECTRÓNICOS Y DE COMUNICACIÓN (INCLUIDOS EQUIPOS MÓVILES Y PORTÁTILES, SOFTWARE Y LICENCIAS)</t>
  </si>
  <si>
    <t>BIENES DEVOLUTIVOS</t>
  </si>
  <si>
    <t>EQUIPO DE TRANSPORTE TRACCION Y ELEVACION</t>
  </si>
  <si>
    <t>DINERO Y TITULOS VALORES</t>
  </si>
  <si>
    <t xml:space="preserve">DONACIONES </t>
  </si>
  <si>
    <t xml:space="preserve">PAPELERIA Y CONSUMIBLES </t>
  </si>
  <si>
    <t>ADECUACIÓN DE CONSTRUCCIONES A LAS NORMAS DE SISMORESISTENCIA</t>
  </si>
  <si>
    <t>ADECUACIÓN DE TERRENOS</t>
  </si>
  <si>
    <t xml:space="preserve">RELACION DE VEHICULOS AUTOMÓVILES </t>
  </si>
  <si>
    <t xml:space="preserve">No </t>
  </si>
  <si>
    <t>PLACA</t>
  </si>
  <si>
    <t>MARCA</t>
  </si>
  <si>
    <t>CLASE</t>
  </si>
  <si>
    <t>TIPO</t>
  </si>
  <si>
    <t>MODELO</t>
  </si>
  <si>
    <t>CC</t>
  </si>
  <si>
    <t>PASAJ / TON</t>
  </si>
  <si>
    <t xml:space="preserve">MOTOR </t>
  </si>
  <si>
    <t>CHASIS</t>
  </si>
  <si>
    <t>CODIGO FASECOLDA</t>
  </si>
  <si>
    <t>VALOR ASEGURADO
GUIA FASEOLDA</t>
  </si>
  <si>
    <t>Vr.PROPUESTO</t>
  </si>
  <si>
    <t>OCK081</t>
  </si>
  <si>
    <t>HONGOI</t>
  </si>
  <si>
    <t>BESTU RN B70</t>
  </si>
  <si>
    <t>AUTOMOVIL</t>
  </si>
  <si>
    <t>L380004578</t>
  </si>
  <si>
    <t>LFPH5ACC5B1E16786</t>
  </si>
  <si>
    <t>09701663</t>
  </si>
  <si>
    <t>OCK079</t>
  </si>
  <si>
    <t>L380004594</t>
  </si>
  <si>
    <t>LFPH5ACC3B1E16835</t>
  </si>
  <si>
    <t>OCK085</t>
  </si>
  <si>
    <t>L380004585</t>
  </si>
  <si>
    <t>LFPH5ACC3B1E16995</t>
  </si>
  <si>
    <t>OCK087</t>
  </si>
  <si>
    <t>L380004611</t>
  </si>
  <si>
    <t>LFPH5ACC3B1E17024</t>
  </si>
  <si>
    <t>OCK086</t>
  </si>
  <si>
    <t>L380004587</t>
  </si>
  <si>
    <t>LFPH5ACC3B1E16944</t>
  </si>
  <si>
    <t>OCK078</t>
  </si>
  <si>
    <t>L380004579</t>
  </si>
  <si>
    <t>LFPH5ACC3B1E16818</t>
  </si>
  <si>
    <t>OCK080</t>
  </si>
  <si>
    <t>L380004557</t>
  </si>
  <si>
    <t>LFPH5ACC3B1E16780</t>
  </si>
  <si>
    <t>OCK111</t>
  </si>
  <si>
    <t>HYUNDAI</t>
  </si>
  <si>
    <t>TUCSON IX 35</t>
  </si>
  <si>
    <t>CAMIONETA</t>
  </si>
  <si>
    <t>G4KDCU662704</t>
  </si>
  <si>
    <t>KMHJT81BADU460947</t>
  </si>
  <si>
    <t>03206065</t>
  </si>
  <si>
    <t>OBE866</t>
  </si>
  <si>
    <t>CHEVROLET</t>
  </si>
  <si>
    <t>LUV STD (TFS)</t>
  </si>
  <si>
    <t>CAMIONETA PICK UP SEN</t>
  </si>
  <si>
    <t>C22NE25029914</t>
  </si>
  <si>
    <t>FR30F1B358021</t>
  </si>
  <si>
    <t>01620041</t>
  </si>
  <si>
    <t>OBF528</t>
  </si>
  <si>
    <t>LUV GLS (TFS)</t>
  </si>
  <si>
    <t>CAMIONETA PICK UP DOBE CA</t>
  </si>
  <si>
    <t>8GGTFSF374A132882</t>
  </si>
  <si>
    <t>01621024</t>
  </si>
  <si>
    <t>OBF588</t>
  </si>
  <si>
    <t>8GGTFSF384A132745</t>
  </si>
  <si>
    <t>IZW555</t>
  </si>
  <si>
    <t>TOYOTA</t>
  </si>
  <si>
    <t>PRADO (LC 150) TX-L</t>
  </si>
  <si>
    <t>CAMPERO</t>
  </si>
  <si>
    <t>1GRB373701</t>
  </si>
  <si>
    <t>JTEBU3FJ5HK115171</t>
  </si>
  <si>
    <t>09008188</t>
  </si>
  <si>
    <t>IZM928</t>
  </si>
  <si>
    <t>4RUNNER (5) SR5 FL</t>
  </si>
  <si>
    <t>1GRB296110</t>
  </si>
  <si>
    <t>JTEBU4JR1G5318364</t>
  </si>
  <si>
    <t>09008205</t>
  </si>
  <si>
    <t>OBI294</t>
  </si>
  <si>
    <t>FAW AMI</t>
  </si>
  <si>
    <t>R7 CA7167R MT</t>
  </si>
  <si>
    <t>CA6GV1000068</t>
  </si>
  <si>
    <t>LFBH6BCN5C1L00232</t>
  </si>
  <si>
    <t>25706004</t>
  </si>
  <si>
    <t>OCK407</t>
  </si>
  <si>
    <t>CA6GV1000067</t>
  </si>
  <si>
    <t>LFBH6BCN5C1L00237</t>
  </si>
  <si>
    <t>NOTA: LOS VALORES ASEGURADOS CORRESPONDEN A LA GUIA DE VALORES COMERCIALES DE FASECOLDA DEL 15 DE JUNIO DE 2026.</t>
  </si>
  <si>
    <t>INFORMACIÓN TARJETA PCT - APLICATIVO DE BIENES</t>
  </si>
  <si>
    <t>PLACA INVENTARIO</t>
  </si>
  <si>
    <r>
      <t xml:space="preserve">AUTOMOVIL FAW </t>
    </r>
    <r>
      <rPr>
        <sz val="11"/>
        <color rgb="FFFF0000"/>
        <rFont val="Aptos"/>
        <family val="2"/>
      </rPr>
      <t>H7 2.993 C.C</t>
    </r>
    <r>
      <rPr>
        <sz val="11"/>
        <rFont val="Aptos"/>
        <family val="2"/>
      </rPr>
      <t>. PLACA OBI 294; MOTOR CA6GV1000068; CHASIS LFPH6BCN3C1L00232</t>
    </r>
  </si>
  <si>
    <r>
      <t xml:space="preserve">AUTOMOVIL FAW </t>
    </r>
    <r>
      <rPr>
        <sz val="11"/>
        <color rgb="FFFF0000"/>
        <rFont val="Aptos"/>
        <family val="2"/>
      </rPr>
      <t>H7 2.993 C.C</t>
    </r>
    <r>
      <rPr>
        <sz val="11"/>
        <color rgb="FF000000"/>
        <rFont val="Aptos"/>
        <family val="2"/>
      </rPr>
      <t xml:space="preserve">. PLACA OCK 407; MOTOR </t>
    </r>
    <r>
      <rPr>
        <sz val="11"/>
        <color rgb="FFFF0000"/>
        <rFont val="Aptos"/>
        <family val="2"/>
      </rPr>
      <t>CA6GV1000087</t>
    </r>
    <r>
      <rPr>
        <sz val="11"/>
        <color rgb="FF000000"/>
        <rFont val="Aptos"/>
        <family val="2"/>
      </rPr>
      <t>; CHASIS LFPH6BCN2C1L00237</t>
    </r>
  </si>
  <si>
    <t>ANEXO - RELACION DE VEHICULOS SOAT</t>
  </si>
  <si>
    <t>PASAJEROS</t>
  </si>
  <si>
    <t>TONELADAS</t>
  </si>
  <si>
    <t>CODIGO TARIFA</t>
  </si>
  <si>
    <t>FECHA DE VENCIMIENTO SOAT</t>
  </si>
  <si>
    <t>PRIMA 2026</t>
  </si>
  <si>
    <t>PRIMA ESTIMADA
2027</t>
  </si>
  <si>
    <t>Nota: Tarifa de Soat 2026 incrementada al 2027 en el 10%.</t>
  </si>
  <si>
    <t>INSTITUTO COLOMBIANO DE ANTROPOLOGÍA E HISTORIA ICANH</t>
  </si>
  <si>
    <t>DETERMINACION TASAS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</si>
</sst>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d/mm/yyyy;@"/>
    <numFmt numFmtId="169" formatCode="_-* #,##0_-;\-* #,##0_-;_-* &quot;-&quot;??_-;_-@_-"/>
    <numFmt numFmtId="170" formatCode="_ &quot;$&quot;\ * #,##0.00_ ;_ &quot;$&quot;\ * \-#,##0.00_ ;_ &quot;$&quot;\ * &quot;-&quot;??_ ;_ @_ "/>
    <numFmt numFmtId="171" formatCode="&quot;$ &quot;#,##0"/>
    <numFmt numFmtId="172" formatCode="&quot;$&quot;\ #,##0"/>
    <numFmt numFmtId="173" formatCode="[$$-240A]#,##0;[Red]\-[$$-240A]#,##0"/>
    <numFmt numFmtId="174" formatCode="_(* #,##0_);_(* \(#,##0\);_(* &quot;-&quot;??_);_(@_)"/>
    <numFmt numFmtId="175" formatCode="[$$-240A]\ #,##0;[Red]\-[$$-240A]\ #,##0"/>
    <numFmt numFmtId="176" formatCode="[$$-240A]\ #,##0;\-[$$-240A]\ #,##0"/>
    <numFmt numFmtId="177" formatCode="&quot;$&quot;#,##0"/>
    <numFmt numFmtId="178" formatCode="_-&quot;$&quot;\ * #,##0_-;\-&quot;$&quot;\ * #,##0_-;_-&quot;$&quot;\ * &quot;-&quot;??_-;_-@_-"/>
    <numFmt numFmtId="179" formatCode="_-[$$-240A]\ * #,##0.0_-;\-[$$-240A]\ * #,##0.0_-;_-[$$-240A]\ * &quot;-&quot;??_-;_-@_-"/>
    <numFmt numFmtId="180" formatCode="_-[$$-240A]\ * #,##0_-;\-[$$-240A]\ * #,##0_-;_-[$$-240A]\ * &quot;-&quot;??_-;_-@_-"/>
    <numFmt numFmtId="181" formatCode="_-[$$-240A]\ * #,##0.00_-;\-[$$-240A]\ * #,##0.00_-;_-[$$-240A]\ * &quot;-&quot;??_-;_-@_-"/>
    <numFmt numFmtId="182" formatCode="[$$-240A]\ #,##0.00;\-[$$-240A]\ #,##0.00"/>
    <numFmt numFmtId="183" formatCode="[$$-240A]\ #,##0.00;[Red]\-[$$-240A]\ #,##0.00"/>
    <numFmt numFmtId="184" formatCode="_-* #,##0.00_-;\-* #,##0.00_-;_-* &quot;-&quot;_-;_-@_-"/>
  </numFmts>
  <fonts count="40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12"/>
      <name val="Arial Narrow"/>
      <family val="2"/>
      <charset val="1"/>
    </font>
    <font>
      <sz val="12"/>
      <name val="Arial Narrow"/>
      <family val="2"/>
      <charset val="1"/>
    </font>
    <font>
      <sz val="11"/>
      <color indexed="8"/>
      <name val="Calibri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2"/>
      <color indexed="8"/>
      <name val="Arial Narrow"/>
      <family val="2"/>
      <charset val="1"/>
    </font>
    <font>
      <b/>
      <sz val="12"/>
      <color indexed="8"/>
      <name val="Arial Narrow"/>
      <family val="2"/>
      <charset val="1"/>
    </font>
    <font>
      <b/>
      <sz val="12"/>
      <color theme="1"/>
      <name val="Arial Narrow"/>
      <family val="2"/>
    </font>
    <font>
      <b/>
      <sz val="10"/>
      <color rgb="FFFF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sz val="10"/>
      <color indexed="8"/>
      <name val="Arial Narrow"/>
      <family val="2"/>
    </font>
    <font>
      <b/>
      <sz val="11"/>
      <color indexed="8"/>
      <name val="Arial Narrow"/>
      <family val="2"/>
    </font>
    <font>
      <sz val="8"/>
      <color theme="1"/>
      <name val="Arial Narrow"/>
      <family val="2"/>
    </font>
    <font>
      <b/>
      <sz val="13"/>
      <name val="Arial Narrow"/>
      <family val="2"/>
    </font>
    <font>
      <sz val="12"/>
      <name val="Arial Narrow"/>
      <family val="2"/>
    </font>
    <font>
      <sz val="10"/>
      <color theme="1"/>
      <name val="Aptos Narrow"/>
      <family val="2"/>
    </font>
    <font>
      <sz val="11"/>
      <name val="Arial Narrow"/>
      <family val="2"/>
    </font>
    <font>
      <sz val="12"/>
      <color rgb="FFFF0000"/>
      <name val="Arial Narrow"/>
      <family val="2"/>
      <charset val="1"/>
    </font>
    <font>
      <b/>
      <sz val="11"/>
      <name val="Arial Narrow"/>
      <family val="2"/>
    </font>
    <font>
      <b/>
      <sz val="20"/>
      <color theme="1"/>
      <name val="Arial Narrow"/>
      <family val="2"/>
    </font>
    <font>
      <b/>
      <sz val="20"/>
      <color rgb="FF0070C0"/>
      <name val="Arial Narrow"/>
      <family val="2"/>
    </font>
    <font>
      <b/>
      <sz val="20"/>
      <color rgb="FFFF0000"/>
      <name val="Arial Narrow"/>
      <family val="2"/>
    </font>
    <font>
      <b/>
      <sz val="12"/>
      <color rgb="FFFF0000"/>
      <name val="Arial Narrow"/>
      <family val="2"/>
    </font>
    <font>
      <sz val="11"/>
      <color rgb="FFFF0000"/>
      <name val="Arial Narrow"/>
      <family val="2"/>
    </font>
    <font>
      <sz val="11"/>
      <name val="Aptos"/>
      <family val="2"/>
    </font>
    <font>
      <sz val="11"/>
      <color rgb="FF000000"/>
      <name val="Aptos"/>
      <family val="2"/>
    </font>
    <font>
      <sz val="11"/>
      <color rgb="FFFF0000"/>
      <name val="Aptos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9"/>
      </patternFill>
    </fill>
    <fill>
      <patternFill patternType="solid">
        <fgColor rgb="FF92D050"/>
        <bgColor indexed="3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theme="7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3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7">
    <xf numFmtId="0" fontId="0" fillId="0" borderId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70" fontId="10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3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</cellStyleXfs>
  <cellXfs count="250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41" fontId="8" fillId="0" borderId="0" xfId="2" applyFont="1"/>
    <xf numFmtId="41" fontId="8" fillId="0" borderId="0" xfId="0" applyNumberFormat="1" applyFont="1"/>
    <xf numFmtId="0" fontId="12" fillId="0" borderId="0" xfId="161" applyNumberFormat="1" applyFont="1" applyAlignment="1">
      <alignment horizontal="center" vertical="center"/>
    </xf>
    <xf numFmtId="0" fontId="12" fillId="2" borderId="0" xfId="161" applyNumberFormat="1" applyFont="1" applyFill="1" applyAlignment="1">
      <alignment horizontal="center" vertical="center"/>
    </xf>
    <xf numFmtId="0" fontId="15" fillId="0" borderId="0" xfId="0" applyFont="1"/>
    <xf numFmtId="0" fontId="16" fillId="0" borderId="0" xfId="161" applyNumberFormat="1" applyFont="1" applyAlignment="1">
      <alignment horizontal="center" vertical="center"/>
    </xf>
    <xf numFmtId="173" fontId="16" fillId="0" borderId="0" xfId="161" applyNumberFormat="1" applyFont="1" applyAlignment="1">
      <alignment horizontal="right" vertical="center"/>
    </xf>
    <xf numFmtId="169" fontId="12" fillId="0" borderId="0" xfId="161" applyNumberFormat="1" applyFont="1" applyAlignment="1">
      <alignment horizontal="center" vertical="center"/>
    </xf>
    <xf numFmtId="14" fontId="8" fillId="0" borderId="0" xfId="0" applyNumberFormat="1" applyFont="1"/>
    <xf numFmtId="0" fontId="20" fillId="0" borderId="0" xfId="0" applyFont="1"/>
    <xf numFmtId="168" fontId="20" fillId="0" borderId="0" xfId="0" applyNumberFormat="1" applyFont="1" applyAlignment="1">
      <alignment horizontal="center" vertical="center"/>
    </xf>
    <xf numFmtId="1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41" fontId="20" fillId="0" borderId="0" xfId="2" applyFont="1"/>
    <xf numFmtId="0" fontId="18" fillId="4" borderId="2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41" fontId="18" fillId="4" borderId="2" xfId="2" applyFont="1" applyFill="1" applyBorder="1" applyAlignment="1">
      <alignment horizontal="center" vertical="center" wrapText="1"/>
    </xf>
    <xf numFmtId="41" fontId="18" fillId="4" borderId="8" xfId="2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2" fontId="20" fillId="0" borderId="12" xfId="0" applyNumberFormat="1" applyFont="1" applyBorder="1" applyAlignment="1">
      <alignment horizontal="center" vertical="center"/>
    </xf>
    <xf numFmtId="0" fontId="23" fillId="0" borderId="15" xfId="161" applyNumberFormat="1" applyFont="1" applyBorder="1" applyAlignment="1">
      <alignment horizontal="left" vertical="center"/>
    </xf>
    <xf numFmtId="178" fontId="8" fillId="0" borderId="15" xfId="169" applyNumberFormat="1" applyFont="1" applyBorder="1" applyAlignment="1">
      <alignment horizontal="right" vertical="center" wrapText="1" shrinkToFit="1"/>
    </xf>
    <xf numFmtId="178" fontId="24" fillId="4" borderId="15" xfId="169" applyNumberFormat="1" applyFont="1" applyFill="1" applyBorder="1" applyAlignment="1">
      <alignment horizontal="right" vertical="center"/>
    </xf>
    <xf numFmtId="0" fontId="24" fillId="4" borderId="15" xfId="161" applyNumberFormat="1" applyFont="1" applyFill="1" applyBorder="1" applyAlignment="1">
      <alignment horizontal="center" vertical="center"/>
    </xf>
    <xf numFmtId="0" fontId="24" fillId="4" borderId="15" xfId="16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178" fontId="8" fillId="0" borderId="0" xfId="169" applyNumberFormat="1" applyFont="1" applyFill="1" applyBorder="1" applyAlignment="1">
      <alignment horizontal="center" vertical="center"/>
    </xf>
    <xf numFmtId="178" fontId="9" fillId="0" borderId="0" xfId="169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4" fontId="8" fillId="0" borderId="14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4" fontId="20" fillId="0" borderId="14" xfId="0" applyNumberFormat="1" applyFont="1" applyBorder="1" applyAlignment="1">
      <alignment horizontal="center" vertical="center"/>
    </xf>
    <xf numFmtId="2" fontId="20" fillId="0" borderId="14" xfId="0" applyNumberFormat="1" applyFont="1" applyBorder="1" applyAlignment="1">
      <alignment horizontal="center" vertical="center"/>
    </xf>
    <xf numFmtId="174" fontId="21" fillId="4" borderId="15" xfId="166" applyNumberFormat="1" applyFont="1" applyFill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 wrapText="1"/>
    </xf>
    <xf numFmtId="175" fontId="23" fillId="0" borderId="15" xfId="161" applyNumberFormat="1" applyFont="1" applyBorder="1" applyAlignment="1">
      <alignment horizontal="right" vertical="center"/>
    </xf>
    <xf numFmtId="9" fontId="23" fillId="0" borderId="15" xfId="168" applyFont="1" applyBorder="1" applyAlignment="1">
      <alignment horizontal="center" vertical="center"/>
    </xf>
    <xf numFmtId="175" fontId="24" fillId="4" borderId="15" xfId="161" applyNumberFormat="1" applyFont="1" applyFill="1" applyBorder="1" applyAlignment="1">
      <alignment horizontal="right" vertical="center"/>
    </xf>
    <xf numFmtId="0" fontId="22" fillId="4" borderId="15" xfId="161" applyNumberFormat="1" applyFont="1" applyFill="1" applyBorder="1" applyAlignment="1">
      <alignment horizontal="center" vertical="center"/>
    </xf>
    <xf numFmtId="3" fontId="11" fillId="6" borderId="15" xfId="161" applyNumberFormat="1" applyFont="1" applyFill="1" applyBorder="1" applyAlignment="1">
      <alignment horizontal="center" vertical="center" wrapText="1"/>
    </xf>
    <xf numFmtId="0" fontId="11" fillId="6" borderId="15" xfId="161" applyNumberFormat="1" applyFont="1" applyFill="1" applyBorder="1" applyAlignment="1">
      <alignment horizontal="center" vertical="center" wrapText="1"/>
    </xf>
    <xf numFmtId="3" fontId="12" fillId="2" borderId="15" xfId="161" applyNumberFormat="1" applyFont="1" applyFill="1" applyBorder="1" applyAlignment="1">
      <alignment horizontal="center" vertical="center"/>
    </xf>
    <xf numFmtId="0" fontId="12" fillId="3" borderId="15" xfId="161" applyNumberFormat="1" applyFont="1" applyFill="1" applyBorder="1" applyAlignment="1">
      <alignment horizontal="center" vertical="center"/>
    </xf>
    <xf numFmtId="0" fontId="12" fillId="2" borderId="15" xfId="161" applyNumberFormat="1" applyFont="1" applyFill="1" applyBorder="1" applyAlignment="1" applyProtection="1">
      <alignment horizontal="center" vertical="center" wrapText="1"/>
    </xf>
    <xf numFmtId="3" fontId="12" fillId="3" borderId="15" xfId="161" applyNumberFormat="1" applyFont="1" applyFill="1" applyBorder="1" applyAlignment="1">
      <alignment horizontal="center" vertical="center"/>
    </xf>
    <xf numFmtId="0" fontId="12" fillId="2" borderId="15" xfId="161" applyNumberFormat="1" applyFont="1" applyFill="1" applyBorder="1" applyAlignment="1">
      <alignment horizontal="center" vertical="center"/>
    </xf>
    <xf numFmtId="171" fontId="12" fillId="2" borderId="15" xfId="161" applyNumberFormat="1" applyFont="1" applyFill="1" applyBorder="1" applyAlignment="1">
      <alignment horizontal="right" vertical="center" indent="1"/>
    </xf>
    <xf numFmtId="171" fontId="11" fillId="7" borderId="15" xfId="161" applyNumberFormat="1" applyFont="1" applyFill="1" applyBorder="1" applyAlignment="1">
      <alignment horizontal="right" vertical="center" indent="1"/>
    </xf>
    <xf numFmtId="176" fontId="18" fillId="4" borderId="5" xfId="2" applyNumberFormat="1" applyFont="1" applyFill="1" applyBorder="1" applyAlignment="1"/>
    <xf numFmtId="176" fontId="18" fillId="4" borderId="6" xfId="2" applyNumberFormat="1" applyFont="1" applyFill="1" applyBorder="1" applyAlignment="1"/>
    <xf numFmtId="0" fontId="23" fillId="0" borderId="15" xfId="161" applyNumberFormat="1" applyFont="1" applyBorder="1" applyAlignment="1">
      <alignment vertical="center"/>
    </xf>
    <xf numFmtId="2" fontId="7" fillId="4" borderId="12" xfId="0" applyNumberFormat="1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19" fillId="0" borderId="21" xfId="0" applyFont="1" applyBorder="1" applyAlignment="1">
      <alignment vertical="center" wrapText="1"/>
    </xf>
    <xf numFmtId="0" fontId="19" fillId="0" borderId="23" xfId="0" applyFont="1" applyBorder="1" applyAlignment="1">
      <alignment vertical="center" wrapText="1"/>
    </xf>
    <xf numFmtId="4" fontId="8" fillId="0" borderId="12" xfId="0" applyNumberFormat="1" applyFont="1" applyBorder="1" applyAlignment="1">
      <alignment horizontal="center" vertical="center" wrapText="1"/>
    </xf>
    <xf numFmtId="2" fontId="8" fillId="0" borderId="14" xfId="0" applyNumberFormat="1" applyFont="1" applyBorder="1" applyAlignment="1">
      <alignment horizontal="center" vertical="center" wrapText="1"/>
    </xf>
    <xf numFmtId="2" fontId="8" fillId="0" borderId="12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1" fontId="12" fillId="2" borderId="15" xfId="161" applyNumberFormat="1" applyFont="1" applyFill="1" applyBorder="1" applyAlignment="1">
      <alignment horizontal="center" vertical="center"/>
    </xf>
    <xf numFmtId="3" fontId="14" fillId="4" borderId="15" xfId="0" applyNumberFormat="1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textRotation="90" wrapText="1"/>
    </xf>
    <xf numFmtId="0" fontId="14" fillId="4" borderId="15" xfId="0" applyFont="1" applyFill="1" applyBorder="1" applyAlignment="1">
      <alignment horizontal="center" vertical="center"/>
    </xf>
    <xf numFmtId="172" fontId="14" fillId="4" borderId="15" xfId="0" applyNumberFormat="1" applyFont="1" applyFill="1" applyBorder="1" applyAlignment="1">
      <alignment vertical="center"/>
    </xf>
    <xf numFmtId="0" fontId="23" fillId="0" borderId="15" xfId="161" applyNumberFormat="1" applyFont="1" applyBorder="1" applyAlignment="1">
      <alignment horizontal="justify" vertical="center" wrapText="1"/>
    </xf>
    <xf numFmtId="1" fontId="8" fillId="0" borderId="0" xfId="0" applyNumberFormat="1" applyFont="1"/>
    <xf numFmtId="43" fontId="8" fillId="0" borderId="0" xfId="1" applyFont="1"/>
    <xf numFmtId="43" fontId="8" fillId="0" borderId="0" xfId="0" applyNumberFormat="1" applyFont="1"/>
    <xf numFmtId="49" fontId="12" fillId="8" borderId="15" xfId="162" applyNumberFormat="1" applyFont="1" applyFill="1" applyBorder="1" applyAlignment="1" applyProtection="1">
      <alignment horizontal="center" vertical="center"/>
    </xf>
    <xf numFmtId="0" fontId="23" fillId="0" borderId="15" xfId="161" applyNumberFormat="1" applyFont="1" applyBorder="1" applyAlignment="1">
      <alignment horizontal="left" vertical="center" wrapText="1"/>
    </xf>
    <xf numFmtId="0" fontId="16" fillId="2" borderId="0" xfId="161" applyNumberFormat="1" applyFont="1" applyFill="1" applyAlignment="1">
      <alignment horizontal="center" vertical="center"/>
    </xf>
    <xf numFmtId="173" fontId="16" fillId="2" borderId="0" xfId="161" applyNumberFormat="1" applyFont="1" applyFill="1" applyAlignment="1">
      <alignment horizontal="right" vertical="center"/>
    </xf>
    <xf numFmtId="0" fontId="17" fillId="2" borderId="0" xfId="161" applyNumberFormat="1" applyFont="1" applyFill="1" applyAlignment="1">
      <alignment vertical="center"/>
    </xf>
    <xf numFmtId="0" fontId="8" fillId="2" borderId="14" xfId="0" applyFont="1" applyFill="1" applyBorder="1"/>
    <xf numFmtId="0" fontId="8" fillId="0" borderId="14" xfId="0" applyFont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wrapText="1"/>
    </xf>
    <xf numFmtId="0" fontId="8" fillId="2" borderId="14" xfId="0" applyFont="1" applyFill="1" applyBorder="1" applyAlignment="1">
      <alignment vertical="center"/>
    </xf>
    <xf numFmtId="0" fontId="8" fillId="9" borderId="14" xfId="0" applyFont="1" applyFill="1" applyBorder="1"/>
    <xf numFmtId="0" fontId="8" fillId="0" borderId="14" xfId="0" applyFont="1" applyBorder="1"/>
    <xf numFmtId="0" fontId="28" fillId="2" borderId="14" xfId="0" applyFont="1" applyFill="1" applyBorder="1"/>
    <xf numFmtId="4" fontId="19" fillId="0" borderId="23" xfId="0" applyNumberFormat="1" applyFont="1" applyBorder="1" applyAlignment="1">
      <alignment horizontal="center" vertical="center" wrapText="1"/>
    </xf>
    <xf numFmtId="2" fontId="8" fillId="0" borderId="22" xfId="0" applyNumberFormat="1" applyFont="1" applyBorder="1" applyAlignment="1">
      <alignment vertical="center" wrapText="1"/>
    </xf>
    <xf numFmtId="2" fontId="8" fillId="0" borderId="19" xfId="0" applyNumberFormat="1" applyFont="1" applyBorder="1" applyAlignment="1">
      <alignment vertical="center" wrapText="1"/>
    </xf>
    <xf numFmtId="2" fontId="8" fillId="0" borderId="25" xfId="0" applyNumberFormat="1" applyFont="1" applyBorder="1" applyAlignment="1">
      <alignment vertical="center" wrapText="1"/>
    </xf>
    <xf numFmtId="2" fontId="8" fillId="0" borderId="23" xfId="0" applyNumberFormat="1" applyFont="1" applyBorder="1" applyAlignment="1">
      <alignment vertical="center" wrapText="1"/>
    </xf>
    <xf numFmtId="2" fontId="8" fillId="0" borderId="14" xfId="0" applyNumberFormat="1" applyFont="1" applyBorder="1" applyAlignment="1">
      <alignment vertical="center" wrapText="1"/>
    </xf>
    <xf numFmtId="2" fontId="8" fillId="0" borderId="3" xfId="0" applyNumberFormat="1" applyFont="1" applyBorder="1" applyAlignment="1">
      <alignment vertical="center" wrapText="1"/>
    </xf>
    <xf numFmtId="2" fontId="8" fillId="0" borderId="12" xfId="0" applyNumberFormat="1" applyFont="1" applyBorder="1" applyAlignment="1">
      <alignment vertical="center" wrapText="1"/>
    </xf>
    <xf numFmtId="176" fontId="8" fillId="0" borderId="0" xfId="0" applyNumberFormat="1" applyFont="1"/>
    <xf numFmtId="4" fontId="0" fillId="0" borderId="0" xfId="0" applyNumberFormat="1"/>
    <xf numFmtId="0" fontId="28" fillId="2" borderId="4" xfId="0" applyFont="1" applyFill="1" applyBorder="1"/>
    <xf numFmtId="0" fontId="28" fillId="2" borderId="11" xfId="0" applyFont="1" applyFill="1" applyBorder="1"/>
    <xf numFmtId="0" fontId="28" fillId="2" borderId="12" xfId="0" applyFont="1" applyFill="1" applyBorder="1"/>
    <xf numFmtId="171" fontId="27" fillId="2" borderId="15" xfId="161" applyNumberFormat="1" applyFont="1" applyFill="1" applyBorder="1" applyAlignment="1">
      <alignment horizontal="right" vertical="center" indent="1"/>
    </xf>
    <xf numFmtId="2" fontId="0" fillId="0" borderId="0" xfId="0" applyNumberFormat="1"/>
    <xf numFmtId="4" fontId="20" fillId="2" borderId="0" xfId="0" applyNumberFormat="1" applyFont="1" applyFill="1" applyAlignment="1">
      <alignment horizontal="center" vertical="center"/>
    </xf>
    <xf numFmtId="4" fontId="29" fillId="2" borderId="0" xfId="0" applyNumberFormat="1" applyFont="1" applyFill="1" applyAlignment="1">
      <alignment horizontal="center" vertical="center"/>
    </xf>
    <xf numFmtId="0" fontId="7" fillId="0" borderId="0" xfId="0" applyFont="1"/>
    <xf numFmtId="179" fontId="8" fillId="0" borderId="0" xfId="0" applyNumberFormat="1" applyFont="1"/>
    <xf numFmtId="180" fontId="8" fillId="0" borderId="0" xfId="0" applyNumberFormat="1" applyFont="1"/>
    <xf numFmtId="0" fontId="18" fillId="4" borderId="22" xfId="0" applyFont="1" applyFill="1" applyBorder="1" applyAlignment="1">
      <alignment horizontal="center" vertical="center" wrapText="1"/>
    </xf>
    <xf numFmtId="41" fontId="18" fillId="4" borderId="22" xfId="2" applyFont="1" applyFill="1" applyBorder="1" applyAlignment="1">
      <alignment horizontal="center" vertical="center" wrapText="1"/>
    </xf>
    <xf numFmtId="41" fontId="18" fillId="4" borderId="27" xfId="2" applyFont="1" applyFill="1" applyBorder="1" applyAlignment="1">
      <alignment horizontal="center" vertical="center" wrapText="1"/>
    </xf>
    <xf numFmtId="0" fontId="18" fillId="4" borderId="21" xfId="0" applyFont="1" applyFill="1" applyBorder="1" applyAlignment="1">
      <alignment horizontal="center" vertical="center" wrapText="1"/>
    </xf>
    <xf numFmtId="4" fontId="8" fillId="2" borderId="14" xfId="0" applyNumberFormat="1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4" fontId="8" fillId="2" borderId="12" xfId="0" applyNumberFormat="1" applyFont="1" applyFill="1" applyBorder="1" applyAlignment="1">
      <alignment horizontal="center" vertical="center" wrapText="1"/>
    </xf>
    <xf numFmtId="2" fontId="8" fillId="2" borderId="14" xfId="0" applyNumberFormat="1" applyFont="1" applyFill="1" applyBorder="1" applyAlignment="1">
      <alignment horizontal="center" vertical="center" wrapText="1"/>
    </xf>
    <xf numFmtId="0" fontId="0" fillId="2" borderId="0" xfId="0" applyFill="1"/>
    <xf numFmtId="180" fontId="20" fillId="2" borderId="0" xfId="0" applyNumberFormat="1" applyFont="1" applyFill="1" applyAlignment="1">
      <alignment horizontal="center" vertical="center"/>
    </xf>
    <xf numFmtId="168" fontId="29" fillId="0" borderId="0" xfId="0" applyNumberFormat="1" applyFont="1" applyAlignment="1">
      <alignment horizontal="center" vertical="center"/>
    </xf>
    <xf numFmtId="1" fontId="31" fillId="0" borderId="0" xfId="0" applyNumberFormat="1" applyFont="1" applyAlignment="1">
      <alignment horizontal="center" vertical="center"/>
    </xf>
    <xf numFmtId="175" fontId="23" fillId="2" borderId="15" xfId="161" applyNumberFormat="1" applyFont="1" applyFill="1" applyBorder="1" applyAlignment="1">
      <alignment horizontal="right" vertical="center"/>
    </xf>
    <xf numFmtId="0" fontId="32" fillId="2" borderId="0" xfId="163" applyFont="1" applyFill="1" applyAlignment="1">
      <alignment horizontal="center"/>
    </xf>
    <xf numFmtId="0" fontId="8" fillId="2" borderId="0" xfId="163" applyFont="1" applyFill="1"/>
    <xf numFmtId="0" fontId="10" fillId="2" borderId="0" xfId="163" applyFill="1"/>
    <xf numFmtId="172" fontId="15" fillId="0" borderId="0" xfId="0" applyNumberFormat="1" applyFont="1"/>
    <xf numFmtId="49" fontId="30" fillId="3" borderId="15" xfId="162" applyNumberFormat="1" applyFont="1" applyFill="1" applyBorder="1" applyAlignment="1" applyProtection="1">
      <alignment horizontal="center" vertical="center"/>
    </xf>
    <xf numFmtId="181" fontId="8" fillId="0" borderId="0" xfId="0" applyNumberFormat="1" applyFont="1"/>
    <xf numFmtId="0" fontId="12" fillId="2" borderId="15" xfId="161" applyNumberFormat="1" applyFont="1" applyFill="1" applyBorder="1" applyAlignment="1" applyProtection="1">
      <alignment horizontal="center" vertical="center"/>
    </xf>
    <xf numFmtId="172" fontId="27" fillId="2" borderId="15" xfId="164" applyNumberFormat="1" applyFont="1" applyFill="1" applyBorder="1" applyAlignment="1">
      <alignment horizontal="left"/>
    </xf>
    <xf numFmtId="0" fontId="27" fillId="2" borderId="15" xfId="0" applyFont="1" applyFill="1" applyBorder="1" applyAlignment="1">
      <alignment horizontal="center" vertical="center"/>
    </xf>
    <xf numFmtId="3" fontId="27" fillId="2" borderId="15" xfId="0" applyNumberFormat="1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/>
    </xf>
    <xf numFmtId="49" fontId="27" fillId="2" borderId="15" xfId="0" applyNumberFormat="1" applyFont="1" applyFill="1" applyBorder="1" applyAlignment="1">
      <alignment horizontal="left" vertical="center"/>
    </xf>
    <xf numFmtId="3" fontId="27" fillId="2" borderId="15" xfId="0" applyNumberFormat="1" applyFont="1" applyFill="1" applyBorder="1" applyAlignment="1">
      <alignment horizontal="left" vertical="center"/>
    </xf>
    <xf numFmtId="14" fontId="27" fillId="2" borderId="15" xfId="0" applyNumberFormat="1" applyFont="1" applyFill="1" applyBorder="1" applyAlignment="1">
      <alignment horizontal="center"/>
    </xf>
    <xf numFmtId="172" fontId="27" fillId="2" borderId="15" xfId="0" applyNumberFormat="1" applyFont="1" applyFill="1" applyBorder="1"/>
    <xf numFmtId="182" fontId="20" fillId="0" borderId="13" xfId="2" applyNumberFormat="1" applyFont="1" applyBorder="1" applyAlignment="1">
      <alignment vertical="center"/>
    </xf>
    <xf numFmtId="182" fontId="20" fillId="0" borderId="10" xfId="2" applyNumberFormat="1" applyFont="1" applyBorder="1" applyAlignment="1">
      <alignment vertical="center"/>
    </xf>
    <xf numFmtId="182" fontId="20" fillId="0" borderId="14" xfId="2" applyNumberFormat="1" applyFont="1" applyBorder="1" applyAlignment="1">
      <alignment vertical="center"/>
    </xf>
    <xf numFmtId="182" fontId="20" fillId="0" borderId="20" xfId="2" applyNumberFormat="1" applyFont="1" applyBorder="1" applyAlignment="1">
      <alignment vertical="center"/>
    </xf>
    <xf numFmtId="182" fontId="20" fillId="0" borderId="12" xfId="2" applyNumberFormat="1" applyFont="1" applyBorder="1" applyAlignment="1">
      <alignment vertical="center"/>
    </xf>
    <xf numFmtId="182" fontId="21" fillId="0" borderId="12" xfId="2" applyNumberFormat="1" applyFont="1" applyBorder="1" applyAlignment="1">
      <alignment vertical="center"/>
    </xf>
    <xf numFmtId="182" fontId="21" fillId="0" borderId="20" xfId="2" applyNumberFormat="1" applyFont="1" applyBorder="1" applyAlignment="1">
      <alignment vertical="center"/>
    </xf>
    <xf numFmtId="0" fontId="20" fillId="2" borderId="4" xfId="0" applyFont="1" applyFill="1" applyBorder="1" applyAlignment="1">
      <alignment vertical="center"/>
    </xf>
    <xf numFmtId="0" fontId="20" fillId="2" borderId="14" xfId="0" applyFont="1" applyFill="1" applyBorder="1" applyAlignment="1">
      <alignment horizontal="center" vertical="center"/>
    </xf>
    <xf numFmtId="182" fontId="20" fillId="2" borderId="13" xfId="2" applyNumberFormat="1" applyFont="1" applyFill="1" applyBorder="1" applyAlignment="1">
      <alignment vertical="center"/>
    </xf>
    <xf numFmtId="182" fontId="20" fillId="2" borderId="14" xfId="2" applyNumberFormat="1" applyFont="1" applyFill="1" applyBorder="1" applyAlignment="1">
      <alignment vertical="center"/>
    </xf>
    <xf numFmtId="182" fontId="20" fillId="2" borderId="20" xfId="2" applyNumberFormat="1" applyFont="1" applyFill="1" applyBorder="1" applyAlignment="1">
      <alignment vertical="center"/>
    </xf>
    <xf numFmtId="182" fontId="29" fillId="0" borderId="13" xfId="2" applyNumberFormat="1" applyFont="1" applyBorder="1" applyAlignment="1">
      <alignment vertical="center"/>
    </xf>
    <xf numFmtId="0" fontId="15" fillId="2" borderId="15" xfId="161" applyNumberFormat="1" applyFont="1" applyFill="1" applyBorder="1" applyAlignment="1">
      <alignment horizontal="center" vertical="center" wrapText="1"/>
    </xf>
    <xf numFmtId="182" fontId="18" fillId="4" borderId="6" xfId="2" applyNumberFormat="1" applyFont="1" applyFill="1" applyBorder="1" applyAlignment="1">
      <alignment vertical="center"/>
    </xf>
    <xf numFmtId="3" fontId="14" fillId="0" borderId="0" xfId="161" applyNumberFormat="1" applyFont="1" applyFill="1" applyBorder="1" applyAlignment="1">
      <alignment horizontal="left" vertical="center"/>
    </xf>
    <xf numFmtId="183" fontId="29" fillId="2" borderId="13" xfId="0" applyNumberFormat="1" applyFont="1" applyFill="1" applyBorder="1" applyAlignment="1">
      <alignment vertical="center"/>
    </xf>
    <xf numFmtId="183" fontId="20" fillId="0" borderId="14" xfId="0" applyNumberFormat="1" applyFont="1" applyBorder="1" applyAlignment="1">
      <alignment vertical="center"/>
    </xf>
    <xf numFmtId="183" fontId="20" fillId="2" borderId="14" xfId="0" applyNumberFormat="1" applyFont="1" applyFill="1" applyBorder="1" applyAlignment="1">
      <alignment horizontal="center" vertical="center"/>
    </xf>
    <xf numFmtId="183" fontId="20" fillId="2" borderId="14" xfId="0" applyNumberFormat="1" applyFont="1" applyFill="1" applyBorder="1" applyAlignment="1">
      <alignment vertical="center"/>
    </xf>
    <xf numFmtId="183" fontId="29" fillId="2" borderId="14" xfId="0" applyNumberFormat="1" applyFont="1" applyFill="1" applyBorder="1" applyAlignment="1">
      <alignment vertical="center"/>
    </xf>
    <xf numFmtId="183" fontId="20" fillId="0" borderId="12" xfId="0" applyNumberFormat="1" applyFont="1" applyBorder="1" applyAlignment="1">
      <alignment vertical="center"/>
    </xf>
    <xf numFmtId="183" fontId="18" fillId="4" borderId="6" xfId="2" applyNumberFormat="1" applyFont="1" applyFill="1" applyBorder="1" applyAlignment="1">
      <alignment vertical="center"/>
    </xf>
    <xf numFmtId="182" fontId="18" fillId="5" borderId="8" xfId="2" applyNumberFormat="1" applyFont="1" applyFill="1" applyBorder="1" applyAlignment="1">
      <alignment horizontal="right" vertical="center"/>
    </xf>
    <xf numFmtId="183" fontId="20" fillId="0" borderId="36" xfId="0" applyNumberFormat="1" applyFont="1" applyBorder="1" applyAlignment="1">
      <alignment horizontal="left" vertical="center" wrapText="1"/>
    </xf>
    <xf numFmtId="183" fontId="29" fillId="2" borderId="12" xfId="0" applyNumberFormat="1" applyFont="1" applyFill="1" applyBorder="1" applyAlignment="1">
      <alignment vertical="center"/>
    </xf>
    <xf numFmtId="183" fontId="20" fillId="0" borderId="12" xfId="0" applyNumberFormat="1" applyFont="1" applyBorder="1" applyAlignment="1">
      <alignment horizontal="center" vertical="center"/>
    </xf>
    <xf numFmtId="183" fontId="20" fillId="0" borderId="12" xfId="2" applyNumberFormat="1" applyFont="1" applyBorder="1" applyAlignment="1">
      <alignment vertical="center"/>
    </xf>
    <xf numFmtId="183" fontId="20" fillId="0" borderId="26" xfId="2" applyNumberFormat="1" applyFont="1" applyBorder="1" applyAlignment="1">
      <alignment vertical="center"/>
    </xf>
    <xf numFmtId="183" fontId="18" fillId="4" borderId="35" xfId="2" applyNumberFormat="1" applyFont="1" applyFill="1" applyBorder="1" applyAlignment="1"/>
    <xf numFmtId="183" fontId="18" fillId="4" borderId="6" xfId="2" applyNumberFormat="1" applyFont="1" applyFill="1" applyBorder="1" applyAlignment="1"/>
    <xf numFmtId="183" fontId="18" fillId="5" borderId="8" xfId="2" applyNumberFormat="1" applyFont="1" applyFill="1" applyBorder="1" applyAlignment="1">
      <alignment horizontal="right" vertical="center"/>
    </xf>
    <xf numFmtId="183" fontId="8" fillId="0" borderId="0" xfId="0" applyNumberFormat="1" applyFont="1"/>
    <xf numFmtId="183" fontId="8" fillId="0" borderId="0" xfId="0" applyNumberFormat="1" applyFont="1" applyAlignment="1">
      <alignment horizontal="center"/>
    </xf>
    <xf numFmtId="183" fontId="8" fillId="0" borderId="0" xfId="2" applyNumberFormat="1" applyFont="1"/>
    <xf numFmtId="183" fontId="18" fillId="5" borderId="34" xfId="2" applyNumberFormat="1" applyFont="1" applyFill="1" applyBorder="1" applyAlignment="1">
      <alignment horizontal="right" vertical="center"/>
    </xf>
    <xf numFmtId="171" fontId="12" fillId="10" borderId="0" xfId="161" applyNumberFormat="1" applyFont="1" applyFill="1" applyAlignment="1">
      <alignment horizontal="center" vertical="center"/>
    </xf>
    <xf numFmtId="171" fontId="30" fillId="10" borderId="0" xfId="161" applyNumberFormat="1" applyFont="1" applyFill="1" applyAlignment="1">
      <alignment horizontal="center" vertical="center"/>
    </xf>
    <xf numFmtId="171" fontId="11" fillId="11" borderId="15" xfId="161" applyNumberFormat="1" applyFont="1" applyFill="1" applyBorder="1" applyAlignment="1">
      <alignment horizontal="right" vertical="center" indent="1"/>
    </xf>
    <xf numFmtId="0" fontId="35" fillId="12" borderId="0" xfId="161" applyNumberFormat="1" applyFont="1" applyFill="1" applyAlignment="1">
      <alignment horizontal="center" vertical="center"/>
    </xf>
    <xf numFmtId="184" fontId="19" fillId="13" borderId="14" xfId="2" applyNumberFormat="1" applyFont="1" applyFill="1" applyBorder="1" applyAlignment="1"/>
    <xf numFmtId="183" fontId="36" fillId="13" borderId="14" xfId="0" applyNumberFormat="1" applyFont="1" applyFill="1" applyBorder="1" applyAlignment="1">
      <alignment vertical="center"/>
    </xf>
    <xf numFmtId="0" fontId="37" fillId="0" borderId="14" xfId="161" applyNumberFormat="1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0" fillId="3" borderId="15" xfId="161" applyNumberFormat="1" applyFont="1" applyFill="1" applyBorder="1" applyAlignment="1">
      <alignment horizontal="center" vertical="center"/>
    </xf>
    <xf numFmtId="0" fontId="14" fillId="14" borderId="14" xfId="161" applyNumberFormat="1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top"/>
    </xf>
    <xf numFmtId="0" fontId="14" fillId="14" borderId="14" xfId="161" applyNumberFormat="1" applyFont="1" applyFill="1" applyBorder="1" applyAlignment="1">
      <alignment horizontal="center" vertical="center" wrapText="1"/>
    </xf>
    <xf numFmtId="3" fontId="35" fillId="0" borderId="37" xfId="161" applyNumberFormat="1" applyFont="1" applyFill="1" applyBorder="1" applyAlignment="1">
      <alignment horizontal="center" vertical="center"/>
    </xf>
    <xf numFmtId="3" fontId="14" fillId="0" borderId="0" xfId="161" applyNumberFormat="1" applyFont="1" applyFill="1" applyBorder="1" applyAlignment="1">
      <alignment horizontal="left" vertical="center"/>
    </xf>
    <xf numFmtId="0" fontId="11" fillId="6" borderId="15" xfId="161" applyNumberFormat="1" applyFont="1" applyFill="1" applyBorder="1" applyAlignment="1">
      <alignment horizontal="center" vertical="center"/>
    </xf>
    <xf numFmtId="0" fontId="11" fillId="0" borderId="0" xfId="161" applyNumberFormat="1" applyFont="1" applyFill="1" applyBorder="1" applyAlignment="1">
      <alignment horizontal="center" vertical="center"/>
    </xf>
    <xf numFmtId="0" fontId="37" fillId="0" borderId="14" xfId="161" applyNumberFormat="1" applyFont="1" applyBorder="1" applyAlignment="1">
      <alignment horizontal="center" vertical="top"/>
    </xf>
    <xf numFmtId="41" fontId="19" fillId="0" borderId="14" xfId="2" applyFont="1" applyBorder="1" applyAlignment="1">
      <alignment horizontal="center"/>
    </xf>
    <xf numFmtId="0" fontId="18" fillId="4" borderId="5" xfId="0" applyFont="1" applyFill="1" applyBorder="1" applyAlignment="1">
      <alignment horizontal="center"/>
    </xf>
    <xf numFmtId="0" fontId="18" fillId="4" borderId="6" xfId="0" applyFont="1" applyFill="1" applyBorder="1" applyAlignment="1">
      <alignment horizontal="center"/>
    </xf>
    <xf numFmtId="0" fontId="18" fillId="4" borderId="7" xfId="0" applyFont="1" applyFill="1" applyBorder="1" applyAlignment="1">
      <alignment horizontal="center"/>
    </xf>
    <xf numFmtId="183" fontId="18" fillId="4" borderId="31" xfId="0" applyNumberFormat="1" applyFont="1" applyFill="1" applyBorder="1" applyAlignment="1">
      <alignment horizontal="center"/>
    </xf>
    <xf numFmtId="183" fontId="18" fillId="4" borderId="32" xfId="0" applyNumberFormat="1" applyFont="1" applyFill="1" applyBorder="1" applyAlignment="1">
      <alignment horizontal="center"/>
    </xf>
    <xf numFmtId="183" fontId="18" fillId="4" borderId="33" xfId="0" applyNumberFormat="1" applyFont="1" applyFill="1" applyBorder="1" applyAlignment="1">
      <alignment horizontal="center"/>
    </xf>
    <xf numFmtId="0" fontId="26" fillId="2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8" fillId="0" borderId="2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43" fontId="7" fillId="4" borderId="21" xfId="1" applyFont="1" applyFill="1" applyBorder="1" applyAlignment="1">
      <alignment horizontal="center" vertical="center" wrapText="1"/>
    </xf>
    <xf numFmtId="43" fontId="7" fillId="4" borderId="11" xfId="1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2" fontId="7" fillId="4" borderId="23" xfId="0" applyNumberFormat="1" applyFont="1" applyFill="1" applyBorder="1" applyAlignment="1">
      <alignment horizontal="center" vertical="center" wrapText="1"/>
    </xf>
    <xf numFmtId="2" fontId="7" fillId="4" borderId="12" xfId="0" applyNumberFormat="1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43" fontId="7" fillId="4" borderId="22" xfId="1" applyFont="1" applyFill="1" applyBorder="1" applyAlignment="1">
      <alignment horizontal="center" vertical="center" wrapText="1"/>
    </xf>
    <xf numFmtId="43" fontId="7" fillId="4" borderId="25" xfId="1" applyFont="1" applyFill="1" applyBorder="1" applyAlignment="1">
      <alignment horizontal="center" vertical="center" wrapText="1"/>
    </xf>
    <xf numFmtId="9" fontId="8" fillId="0" borderId="24" xfId="0" applyNumberFormat="1" applyFont="1" applyBorder="1" applyAlignment="1">
      <alignment horizontal="center" vertical="center" wrapText="1"/>
    </xf>
    <xf numFmtId="9" fontId="8" fillId="0" borderId="20" xfId="0" applyNumberFormat="1" applyFont="1" applyBorder="1" applyAlignment="1">
      <alignment horizontal="center" vertical="center" wrapText="1"/>
    </xf>
    <xf numFmtId="9" fontId="8" fillId="0" borderId="26" xfId="0" applyNumberFormat="1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0" fontId="11" fillId="2" borderId="0" xfId="161" applyNumberFormat="1" applyFont="1" applyFill="1" applyBorder="1" applyAlignment="1">
      <alignment horizontal="center" vertical="center"/>
    </xf>
    <xf numFmtId="0" fontId="24" fillId="4" borderId="16" xfId="161" applyNumberFormat="1" applyFont="1" applyFill="1" applyBorder="1" applyAlignment="1">
      <alignment horizontal="center" vertical="center"/>
    </xf>
    <xf numFmtId="0" fontId="24" fillId="4" borderId="18" xfId="161" applyNumberFormat="1" applyFont="1" applyFill="1" applyBorder="1" applyAlignment="1">
      <alignment horizontal="center" vertical="center"/>
    </xf>
    <xf numFmtId="0" fontId="24" fillId="4" borderId="15" xfId="161" applyNumberFormat="1" applyFont="1" applyFill="1" applyBorder="1" applyAlignment="1">
      <alignment horizontal="center" vertical="center"/>
    </xf>
    <xf numFmtId="0" fontId="23" fillId="0" borderId="16" xfId="161" applyNumberFormat="1" applyFont="1" applyBorder="1" applyAlignment="1">
      <alignment horizontal="left" vertical="center"/>
    </xf>
    <xf numFmtId="0" fontId="23" fillId="0" borderId="18" xfId="161" applyNumberFormat="1" applyFont="1" applyBorder="1" applyAlignment="1">
      <alignment horizontal="left" vertical="center"/>
    </xf>
    <xf numFmtId="0" fontId="23" fillId="0" borderId="17" xfId="161" applyNumberFormat="1" applyFont="1" applyBorder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32" fillId="2" borderId="0" xfId="163" applyFont="1" applyFill="1" applyAlignment="1">
      <alignment horizontal="center"/>
    </xf>
    <xf numFmtId="0" fontId="33" fillId="2" borderId="0" xfId="163" applyFont="1" applyFill="1" applyAlignment="1">
      <alignment horizontal="center" vertical="center"/>
    </xf>
    <xf numFmtId="0" fontId="34" fillId="2" borderId="0" xfId="163" applyFont="1" applyFill="1" applyAlignment="1">
      <alignment horizontal="center"/>
    </xf>
    <xf numFmtId="177" fontId="18" fillId="4" borderId="1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77">
    <cellStyle name="Hipervínculo" xfId="69" builtinId="8" hidden="1"/>
    <cellStyle name="Hipervínculo" xfId="73" builtinId="8" hidden="1"/>
    <cellStyle name="Hipervínculo" xfId="77" builtinId="8" hidden="1"/>
    <cellStyle name="Hipervínculo" xfId="81" builtinId="8" hidden="1"/>
    <cellStyle name="Hipervínculo" xfId="85" builtinId="8" hidden="1"/>
    <cellStyle name="Hipervínculo" xfId="89" builtinId="8" hidden="1"/>
    <cellStyle name="Hipervínculo" xfId="93" builtinId="8" hidden="1"/>
    <cellStyle name="Hipervínculo" xfId="97" builtinId="8" hidden="1"/>
    <cellStyle name="Hipervínculo" xfId="101" builtinId="8" hidden="1"/>
    <cellStyle name="Hipervínculo" xfId="105" builtinId="8" hidden="1"/>
    <cellStyle name="Hipervínculo" xfId="109" builtinId="8" hidden="1"/>
    <cellStyle name="Hipervínculo" xfId="113" builtinId="8" hidden="1"/>
    <cellStyle name="Hipervínculo" xfId="117" builtinId="8" hidden="1"/>
    <cellStyle name="Hipervínculo" xfId="121" builtinId="8" hidden="1"/>
    <cellStyle name="Hipervínculo" xfId="125" builtinId="8" hidden="1"/>
    <cellStyle name="Hipervínculo" xfId="129" builtinId="8" hidden="1"/>
    <cellStyle name="Hipervínculo" xfId="133" builtinId="8" hidden="1"/>
    <cellStyle name="Hipervínculo" xfId="137" builtinId="8" hidden="1"/>
    <cellStyle name="Hipervínculo" xfId="141" builtinId="8" hidden="1"/>
    <cellStyle name="Hipervínculo" xfId="145" builtinId="8" hidden="1"/>
    <cellStyle name="Hipervínculo" xfId="149" builtinId="8" hidden="1"/>
    <cellStyle name="Hipervínculo" xfId="153" builtinId="8" hidden="1"/>
    <cellStyle name="Hipervínculo" xfId="157" builtinId="8" hidden="1"/>
    <cellStyle name="Hipervínculo" xfId="159" builtinId="8" hidden="1"/>
    <cellStyle name="Hipervínculo" xfId="155" builtinId="8" hidden="1"/>
    <cellStyle name="Hipervínculo" xfId="151" builtinId="8" hidden="1"/>
    <cellStyle name="Hipervínculo" xfId="147" builtinId="8" hidden="1"/>
    <cellStyle name="Hipervínculo" xfId="143" builtinId="8" hidden="1"/>
    <cellStyle name="Hipervínculo" xfId="139" builtinId="8" hidden="1"/>
    <cellStyle name="Hipervínculo" xfId="135" builtinId="8" hidden="1"/>
    <cellStyle name="Hipervínculo" xfId="131" builtinId="8" hidden="1"/>
    <cellStyle name="Hipervínculo" xfId="127" builtinId="8" hidden="1"/>
    <cellStyle name="Hipervínculo" xfId="123" builtinId="8" hidden="1"/>
    <cellStyle name="Hipervínculo" xfId="119" builtinId="8" hidden="1"/>
    <cellStyle name="Hipervínculo" xfId="115" builtinId="8" hidden="1"/>
    <cellStyle name="Hipervínculo" xfId="111" builtinId="8" hidden="1"/>
    <cellStyle name="Hipervínculo" xfId="107" builtinId="8" hidden="1"/>
    <cellStyle name="Hipervínculo" xfId="103" builtinId="8" hidden="1"/>
    <cellStyle name="Hipervínculo" xfId="99" builtinId="8" hidden="1"/>
    <cellStyle name="Hipervínculo" xfId="95" builtinId="8" hidden="1"/>
    <cellStyle name="Hipervínculo" xfId="91" builtinId="8" hidden="1"/>
    <cellStyle name="Hipervínculo" xfId="87" builtinId="8" hidden="1"/>
    <cellStyle name="Hipervínculo" xfId="83" builtinId="8" hidden="1"/>
    <cellStyle name="Hipervínculo" xfId="79" builtinId="8" hidden="1"/>
    <cellStyle name="Hipervínculo" xfId="75" builtinId="8" hidden="1"/>
    <cellStyle name="Hipervínculo" xfId="71" builtinId="8" hidden="1"/>
    <cellStyle name="Hipervínculo" xfId="67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5" builtinId="8" hidden="1"/>
    <cellStyle name="Hipervínculo" xfId="63" builtinId="8" hidden="1"/>
    <cellStyle name="Hipervínculo" xfId="55" builtinId="8" hidden="1"/>
    <cellStyle name="Hipervínculo" xfId="47" builtinId="8" hidden="1"/>
    <cellStyle name="Hipervínculo" xfId="39" builtinId="8" hidden="1"/>
    <cellStyle name="Hipervínculo" xfId="31" builtinId="8" hidden="1"/>
    <cellStyle name="Hipervínculo" xfId="23" builtinId="8" hidden="1"/>
    <cellStyle name="Hipervínculo" xfId="11" builtinId="8" hidden="1"/>
    <cellStyle name="Hipervínculo" xfId="13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15" builtinId="8" hidden="1"/>
    <cellStyle name="Hipervínculo" xfId="7" builtinId="8" hidden="1"/>
    <cellStyle name="Hipervínculo" xfId="9" builtinId="8" hidden="1"/>
    <cellStyle name="Hipervínculo" xfId="5" builtinId="8" hidden="1"/>
    <cellStyle name="Hipervínculo" xfId="3" builtinId="8" hidden="1"/>
    <cellStyle name="Hipervínculo visitado" xfId="78" builtinId="9" hidden="1"/>
    <cellStyle name="Hipervínculo visitado" xfId="80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Hipervínculo visitado" xfId="154" builtinId="9" hidden="1"/>
    <cellStyle name="Hipervínculo visitado" xfId="146" builtinId="9" hidden="1"/>
    <cellStyle name="Hipervínculo visitado" xfId="138" builtinId="9" hidden="1"/>
    <cellStyle name="Hipervínculo visitado" xfId="130" builtinId="9" hidden="1"/>
    <cellStyle name="Hipervínculo visitado" xfId="122" builtinId="9" hidden="1"/>
    <cellStyle name="Hipervínculo visitado" xfId="114" builtinId="9" hidden="1"/>
    <cellStyle name="Hipervínculo visitado" xfId="106" builtinId="9" hidden="1"/>
    <cellStyle name="Hipervínculo visitado" xfId="98" builtinId="9" hidden="1"/>
    <cellStyle name="Hipervínculo visitado" xfId="90" builtinId="9" hidden="1"/>
    <cellStyle name="Hipervínculo visitado" xfId="82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66" builtinId="9" hidden="1"/>
    <cellStyle name="Hipervínculo visitado" xfId="50" builtinId="9" hidden="1"/>
    <cellStyle name="Hipervínculo visitado" xfId="34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6" builtinId="9" hidden="1"/>
    <cellStyle name="Hipervínculo visitado" xfId="8" builtinId="9" hidden="1"/>
    <cellStyle name="Hipervínculo visitado" xfId="4" builtinId="9" hidden="1"/>
    <cellStyle name="Millares" xfId="1" builtinId="3"/>
    <cellStyle name="Millares [0]" xfId="2" builtinId="6"/>
    <cellStyle name="Millares 10" xfId="162" xr:uid="{00000000-0005-0000-0000-0000A0000000}"/>
    <cellStyle name="Millares 10 3" xfId="166" xr:uid="{00000000-0005-0000-0000-0000A1000000}"/>
    <cellStyle name="Millares 2" xfId="175" xr:uid="{00000000-0005-0000-0000-0000A2000000}"/>
    <cellStyle name="Millares 2 10" xfId="165" xr:uid="{00000000-0005-0000-0000-0000A3000000}"/>
    <cellStyle name="Moneda" xfId="169" builtinId="4"/>
    <cellStyle name="Moneda [0] 2" xfId="172" xr:uid="{00000000-0005-0000-0000-0000A5000000}"/>
    <cellStyle name="Moneda 2" xfId="171" xr:uid="{00000000-0005-0000-0000-0000A6000000}"/>
    <cellStyle name="Moneda 3" xfId="174" xr:uid="{00000000-0005-0000-0000-0000A7000000}"/>
    <cellStyle name="Moneda 3 4 21" xfId="161" xr:uid="{00000000-0005-0000-0000-0000A8000000}"/>
    <cellStyle name="Normal" xfId="0" builtinId="0"/>
    <cellStyle name="Normal 11 2" xfId="164" xr:uid="{00000000-0005-0000-0000-0000AA000000}"/>
    <cellStyle name="Normal 2" xfId="163" xr:uid="{00000000-0005-0000-0000-0000AB000000}"/>
    <cellStyle name="Normal 2 28" xfId="176" xr:uid="{4E6FCFB8-5CA5-4690-A4BE-7B073E83FD3D}"/>
    <cellStyle name="Normal 3" xfId="167" xr:uid="{00000000-0005-0000-0000-0000AC000000}"/>
    <cellStyle name="Normal 4" xfId="170" xr:uid="{00000000-0005-0000-0000-0000AD000000}"/>
    <cellStyle name="Normal 5" xfId="173" xr:uid="{00000000-0005-0000-0000-0000AE000000}"/>
    <cellStyle name="Porcentaje" xfId="168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457200</xdr:colOff>
      <xdr:row>0</xdr:row>
      <xdr:rowOff>114300</xdr:rowOff>
    </xdr:from>
    <xdr:to>
      <xdr:col>12</xdr:col>
      <xdr:colOff>257175</xdr:colOff>
      <xdr:row>4</xdr:row>
      <xdr:rowOff>10160</xdr:rowOff>
    </xdr:to>
    <xdr:pic>
      <xdr:nvPicPr>
        <xdr:cNvPr id="6" name="Imagen 5" descr="jargu papel phaser c100 m30">
          <a:extLst>
            <a:ext uri="{FF2B5EF4-FFF2-40B4-BE49-F238E27FC236}">
              <a16:creationId xmlns:a16="http://schemas.microsoft.com/office/drawing/2014/main" id="{4FE5FD97-1B70-458D-A58D-9B73FC498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114300"/>
          <a:ext cx="1828800" cy="71501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223660</xdr:colOff>
      <xdr:row>0</xdr:row>
      <xdr:rowOff>76200</xdr:rowOff>
    </xdr:from>
    <xdr:to>
      <xdr:col>1</xdr:col>
      <xdr:colOff>1900183</xdr:colOff>
      <xdr:row>2</xdr:row>
      <xdr:rowOff>165042</xdr:rowOff>
    </xdr:to>
    <xdr:pic>
      <xdr:nvPicPr>
        <xdr:cNvPr id="2" name="Imagen 1" descr="Logo prosperidad social">
          <a:extLst>
            <a:ext uri="{FF2B5EF4-FFF2-40B4-BE49-F238E27FC236}">
              <a16:creationId xmlns:a16="http://schemas.microsoft.com/office/drawing/2014/main" id="{7B2ED05C-77B1-46DA-A7DD-76E6CC48B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810" y="76200"/>
          <a:ext cx="1676523" cy="5079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1095375</xdr:colOff>
      <xdr:row>1</xdr:row>
      <xdr:rowOff>28575</xdr:rowOff>
    </xdr:from>
    <xdr:to>
      <xdr:col>4</xdr:col>
      <xdr:colOff>600075</xdr:colOff>
      <xdr:row>4</xdr:row>
      <xdr:rowOff>143510</xdr:rowOff>
    </xdr:to>
    <xdr:pic>
      <xdr:nvPicPr>
        <xdr:cNvPr id="4" name="Imagen 3" descr="jargu papel phaser c100 m30">
          <a:extLst>
            <a:ext uri="{FF2B5EF4-FFF2-40B4-BE49-F238E27FC236}">
              <a16:creationId xmlns:a16="http://schemas.microsoft.com/office/drawing/2014/main" id="{24A84731-6179-439E-BE9D-2B73BB75B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48925" y="228600"/>
          <a:ext cx="1828800" cy="71501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742950</xdr:colOff>
      <xdr:row>0</xdr:row>
      <xdr:rowOff>190500</xdr:rowOff>
    </xdr:from>
    <xdr:to>
      <xdr:col>0</xdr:col>
      <xdr:colOff>2771542</xdr:colOff>
      <xdr:row>4</xdr:row>
      <xdr:rowOff>5010</xdr:rowOff>
    </xdr:to>
    <xdr:pic>
      <xdr:nvPicPr>
        <xdr:cNvPr id="5" name="Imagen 4" descr="Logo prosperidad social">
          <a:extLst>
            <a:ext uri="{FF2B5EF4-FFF2-40B4-BE49-F238E27FC236}">
              <a16:creationId xmlns:a16="http://schemas.microsoft.com/office/drawing/2014/main" id="{3737B8B3-C746-490B-8AB8-A01F6DEFD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0"/>
          <a:ext cx="2028592" cy="61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196852</xdr:rowOff>
    </xdr:from>
    <xdr:to>
      <xdr:col>6</xdr:col>
      <xdr:colOff>337361</xdr:colOff>
      <xdr:row>4</xdr:row>
      <xdr:rowOff>76200</xdr:rowOff>
    </xdr:to>
    <xdr:pic>
      <xdr:nvPicPr>
        <xdr:cNvPr id="2" name="Imagen 1" descr="jargu papel phaser c100 m30">
          <a:extLst>
            <a:ext uri="{FF2B5EF4-FFF2-40B4-BE49-F238E27FC236}">
              <a16:creationId xmlns:a16="http://schemas.microsoft.com/office/drawing/2014/main" id="{EA93518E-3BB5-428B-9BB6-32990BB6F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8975" y="396877"/>
          <a:ext cx="1461311" cy="479423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59575</xdr:colOff>
      <xdr:row>1</xdr:row>
      <xdr:rowOff>180975</xdr:rowOff>
    </xdr:from>
    <xdr:to>
      <xdr:col>1</xdr:col>
      <xdr:colOff>1368931</xdr:colOff>
      <xdr:row>4</xdr:row>
      <xdr:rowOff>3861</xdr:rowOff>
    </xdr:to>
    <xdr:pic>
      <xdr:nvPicPr>
        <xdr:cNvPr id="3" name="Imagen 2" descr="Logo prosperidad social">
          <a:extLst>
            <a:ext uri="{FF2B5EF4-FFF2-40B4-BE49-F238E27FC236}">
              <a16:creationId xmlns:a16="http://schemas.microsoft.com/office/drawing/2014/main" id="{0C12CAEB-8CDD-4B38-9160-C1F93B1C0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000" y="381000"/>
          <a:ext cx="1309356" cy="422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323850</xdr:colOff>
      <xdr:row>0</xdr:row>
      <xdr:rowOff>0</xdr:rowOff>
    </xdr:from>
    <xdr:to>
      <xdr:col>11</xdr:col>
      <xdr:colOff>1323975</xdr:colOff>
      <xdr:row>3</xdr:row>
      <xdr:rowOff>114935</xdr:rowOff>
    </xdr:to>
    <xdr:pic>
      <xdr:nvPicPr>
        <xdr:cNvPr id="5" name="Imagen 4" descr="jargu papel phaser c100 m30">
          <a:extLst>
            <a:ext uri="{FF2B5EF4-FFF2-40B4-BE49-F238E27FC236}">
              <a16:creationId xmlns:a16="http://schemas.microsoft.com/office/drawing/2014/main" id="{57E19FFD-7827-4BDC-A36C-F46E92B33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9825" y="0"/>
          <a:ext cx="1828800" cy="71501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193103</xdr:colOff>
      <xdr:row>0</xdr:row>
      <xdr:rowOff>144814</xdr:rowOff>
    </xdr:from>
    <xdr:to>
      <xdr:col>3</xdr:col>
      <xdr:colOff>235634</xdr:colOff>
      <xdr:row>2</xdr:row>
      <xdr:rowOff>164550</xdr:rowOff>
    </xdr:to>
    <xdr:pic>
      <xdr:nvPicPr>
        <xdr:cNvPr id="6" name="Imagen 5" descr="Logo prosperidad social">
          <a:extLst>
            <a:ext uri="{FF2B5EF4-FFF2-40B4-BE49-F238E27FC236}">
              <a16:creationId xmlns:a16="http://schemas.microsoft.com/office/drawing/2014/main" id="{0B82BE74-1423-439E-A05F-47FC9F6CF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703" y="144814"/>
          <a:ext cx="1385556" cy="419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285750</xdr:colOff>
      <xdr:row>0</xdr:row>
      <xdr:rowOff>28575</xdr:rowOff>
    </xdr:from>
    <xdr:to>
      <xdr:col>14</xdr:col>
      <xdr:colOff>292551</xdr:colOff>
      <xdr:row>3</xdr:row>
      <xdr:rowOff>114300</xdr:rowOff>
    </xdr:to>
    <xdr:pic>
      <xdr:nvPicPr>
        <xdr:cNvPr id="5" name="Imagen 4" descr="jargu papel phaser c100 m30">
          <a:extLst>
            <a:ext uri="{FF2B5EF4-FFF2-40B4-BE49-F238E27FC236}">
              <a16:creationId xmlns:a16="http://schemas.microsoft.com/office/drawing/2014/main" id="{8315C67E-0821-48BB-8D29-C1C989AEC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28575"/>
          <a:ext cx="1778451" cy="6953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323850</xdr:colOff>
      <xdr:row>0</xdr:row>
      <xdr:rowOff>133350</xdr:rowOff>
    </xdr:from>
    <xdr:to>
      <xdr:col>3</xdr:col>
      <xdr:colOff>504937</xdr:colOff>
      <xdr:row>2</xdr:row>
      <xdr:rowOff>233165</xdr:rowOff>
    </xdr:to>
    <xdr:pic>
      <xdr:nvPicPr>
        <xdr:cNvPr id="2" name="Imagen 1" descr="Logo prosperidad social">
          <a:extLst>
            <a:ext uri="{FF2B5EF4-FFF2-40B4-BE49-F238E27FC236}">
              <a16:creationId xmlns:a16="http://schemas.microsoft.com/office/drawing/2014/main" id="{3A95C4A3-F42D-46F8-BC97-6DB233C89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33350"/>
          <a:ext cx="1524112" cy="4617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92075</xdr:colOff>
      <xdr:row>4</xdr:row>
      <xdr:rowOff>91015</xdr:rowOff>
    </xdr:from>
    <xdr:to>
      <xdr:col>10</xdr:col>
      <xdr:colOff>633128</xdr:colOff>
      <xdr:row>43</xdr:row>
      <xdr:rowOff>138640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BF7C46-4FBA-4437-9EBD-02AFB72CF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075" y="1386415"/>
          <a:ext cx="8923053" cy="78486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dgar Mauricio Hernández Velásquez" id="{62532958-84E3-49D0-9969-2B4EB4A98507}" userId="S::edgar.hernandez@jargu.com::d986ef6a-faea-4655-917e-a59846143cce" providerId="AD"/>
  <person displayName="Luis Fernando Uchima Gaspar" id="{2AA7BA8D-4D44-4ADF-A1EC-197E0F297E15}" userId="S::luis.uchima@prosperidadsocial.gov.co::65aa9b37-800d-4385-907d-4fba1aac25b3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6" dT="2026-07-10T15:52:53.60" personId="{2AA7BA8D-4D44-4ADF-A1EC-197E0F297E15}" id="{BF811D27-BDE1-49BF-8C07-8B3A7499E158}">
    <text>Se propone hacer modificacion de valores de mercado de dos )2) vehículos marca FAW de placas OCK-407 y OBI-294.
El valor asegurado total se incrementa a $ 1,015,955,540.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L6" dT="2026-07-02T22:00:27.35" personId="{62532958-84E3-49D0-9969-2B4EB4A98507}" id="{8804CC77-FE13-4E46-956B-86D74D376937}">
    <text>Valor acordado</text>
  </threadedComment>
  <threadedComment ref="L6" dT="2026-07-02T22:00:50.79" personId="{62532958-84E3-49D0-9969-2B4EB4A98507}" id="{359C0FB4-0315-4CEF-96FF-09FBAD1D38A1}" parentId="{8804CC77-FE13-4E46-956B-86D74D376937}">
    <text>Valor acordado</text>
  </threadedComment>
  <threadedComment ref="L19" dT="2026-07-02T22:01:10.30" personId="{62532958-84E3-49D0-9969-2B4EB4A98507}" id="{77D7B6F2-8BD8-4724-9CD8-C30796C657CB}">
    <text>Valor acordado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B2:Y34"/>
  <sheetViews>
    <sheetView showGridLines="0" topLeftCell="A26" workbookViewId="0">
      <selection activeCell="I20" sqref="I20"/>
    </sheetView>
  </sheetViews>
  <sheetFormatPr defaultColWidth="10.875" defaultRowHeight="12.75"/>
  <cols>
    <col min="1" max="1" width="4" style="1" customWidth="1"/>
    <col min="2" max="2" width="38.375" style="1" customWidth="1"/>
    <col min="3" max="3" width="17" style="1" customWidth="1"/>
    <col min="4" max="4" width="17.25" style="1" customWidth="1"/>
    <col min="5" max="5" width="5.5" style="2" customWidth="1"/>
    <col min="6" max="6" width="6.125" style="2" customWidth="1"/>
    <col min="7" max="7" width="13" style="2" customWidth="1"/>
    <col min="8" max="8" width="16.375" style="4" customWidth="1"/>
    <col min="9" max="9" width="15.75" style="4" bestFit="1" customWidth="1"/>
    <col min="10" max="10" width="15.125" style="4" bestFit="1" customWidth="1"/>
    <col min="11" max="11" width="13.25" style="4" bestFit="1" customWidth="1"/>
    <col min="12" max="13" width="13.375" style="4" bestFit="1" customWidth="1"/>
    <col min="14" max="14" width="14" style="4" bestFit="1" customWidth="1"/>
    <col min="15" max="16" width="11.625" style="1" customWidth="1"/>
    <col min="17" max="17" width="15" style="1" customWidth="1"/>
    <col min="18" max="18" width="12.375" style="1" customWidth="1"/>
    <col min="19" max="19" width="13" style="1" customWidth="1"/>
    <col min="20" max="20" width="10.875" style="1" customWidth="1"/>
    <col min="21" max="21" width="11.625" style="1" customWidth="1"/>
    <col min="22" max="22" width="11" style="1" customWidth="1"/>
    <col min="23" max="25" width="11.625" style="1" customWidth="1"/>
    <col min="26" max="26" width="10.875" style="1" customWidth="1"/>
    <col min="27" max="16384" width="10.875" style="1"/>
  </cols>
  <sheetData>
    <row r="2" spans="2:25" ht="20.25" customHeight="1">
      <c r="B2" s="200" t="s">
        <v>0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</row>
    <row r="3" spans="2:25" ht="15.75">
      <c r="B3" s="201" t="s">
        <v>1</v>
      </c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</row>
    <row r="4" spans="2:25" ht="15.75">
      <c r="B4" s="201" t="s">
        <v>2</v>
      </c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</row>
    <row r="5" spans="2:25" ht="15.7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2:25" ht="15.75">
      <c r="B6" s="201" t="s">
        <v>3</v>
      </c>
      <c r="C6" s="201"/>
      <c r="D6" s="36"/>
      <c r="E6" s="201" t="s">
        <v>4</v>
      </c>
      <c r="F6" s="201"/>
      <c r="G6" s="201"/>
      <c r="H6" s="201"/>
      <c r="I6" s="201"/>
      <c r="J6" s="201" t="s">
        <v>5</v>
      </c>
      <c r="K6" s="201"/>
      <c r="L6" s="201"/>
      <c r="M6" s="201"/>
      <c r="N6" s="36"/>
    </row>
    <row r="7" spans="2:25" ht="16.5">
      <c r="B7" s="16" t="s">
        <v>6</v>
      </c>
      <c r="C7" s="122">
        <v>46281</v>
      </c>
      <c r="E7" s="16" t="s">
        <v>6</v>
      </c>
      <c r="F7" s="14"/>
      <c r="H7" s="122">
        <v>46294</v>
      </c>
      <c r="J7" s="16" t="s">
        <v>6</v>
      </c>
      <c r="K7" s="14"/>
      <c r="L7" s="2"/>
      <c r="M7" s="122">
        <v>46387</v>
      </c>
    </row>
    <row r="8" spans="2:25" ht="16.5">
      <c r="B8" s="16" t="s">
        <v>7</v>
      </c>
      <c r="C8" s="122">
        <f>+C7+C9</f>
        <v>46733</v>
      </c>
      <c r="D8" s="12"/>
      <c r="E8" s="16" t="s">
        <v>7</v>
      </c>
      <c r="F8" s="14"/>
      <c r="H8" s="122">
        <f>+H7+H9</f>
        <v>46746</v>
      </c>
      <c r="J8" s="16" t="s">
        <v>7</v>
      </c>
      <c r="K8" s="14"/>
      <c r="L8" s="2"/>
      <c r="M8" s="122">
        <f>+M7+M9</f>
        <v>46839</v>
      </c>
    </row>
    <row r="9" spans="2:25" ht="16.5">
      <c r="B9" s="16" t="s">
        <v>8</v>
      </c>
      <c r="C9" s="123">
        <v>452</v>
      </c>
      <c r="D9" s="76"/>
      <c r="E9" s="16" t="s">
        <v>8</v>
      </c>
      <c r="F9" s="15"/>
      <c r="H9" s="123">
        <v>452</v>
      </c>
      <c r="I9" s="14"/>
      <c r="J9" s="16" t="s">
        <v>8</v>
      </c>
      <c r="K9" s="15"/>
      <c r="L9" s="2"/>
      <c r="M9" s="123">
        <v>452</v>
      </c>
      <c r="P9" s="5"/>
    </row>
    <row r="10" spans="2:25" ht="16.5">
      <c r="B10" s="16" t="s">
        <v>9</v>
      </c>
      <c r="C10" s="247">
        <v>879000000</v>
      </c>
      <c r="D10" s="14"/>
      <c r="E10" s="4"/>
      <c r="F10" s="4"/>
      <c r="G10" s="4"/>
      <c r="O10" s="5"/>
    </row>
    <row r="11" spans="2:25" ht="17.25" thickBot="1">
      <c r="B11" s="16"/>
      <c r="C11" s="4">
        <f>+C10-N32</f>
        <v>-1.4499999284744263</v>
      </c>
      <c r="D11" s="4"/>
      <c r="E11" s="4"/>
      <c r="F11" s="4"/>
      <c r="G11" s="4"/>
    </row>
    <row r="12" spans="2:25" ht="16.5" thickBot="1">
      <c r="B12" s="194" t="s">
        <v>10</v>
      </c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6"/>
    </row>
    <row r="13" spans="2:25" ht="16.5" thickBot="1">
      <c r="B13" s="194" t="s">
        <v>11</v>
      </c>
      <c r="C13" s="195"/>
      <c r="D13" s="195"/>
      <c r="E13" s="195"/>
      <c r="F13" s="195"/>
      <c r="G13" s="195"/>
      <c r="H13" s="195"/>
      <c r="I13" s="195"/>
      <c r="J13" s="195"/>
      <c r="K13" s="195"/>
      <c r="L13" s="195"/>
      <c r="M13" s="195"/>
      <c r="N13" s="196"/>
    </row>
    <row r="14" spans="2:25" s="3" customFormat="1" ht="55.5" customHeight="1" thickBot="1">
      <c r="B14" s="20" t="s">
        <v>12</v>
      </c>
      <c r="C14" s="19" t="s">
        <v>13</v>
      </c>
      <c r="D14" s="19" t="s">
        <v>14</v>
      </c>
      <c r="E14" s="19" t="s">
        <v>15</v>
      </c>
      <c r="F14" s="19" t="s">
        <v>16</v>
      </c>
      <c r="G14" s="19" t="s">
        <v>17</v>
      </c>
      <c r="H14" s="21" t="s">
        <v>18</v>
      </c>
      <c r="I14" s="21" t="s">
        <v>19</v>
      </c>
      <c r="J14" s="21" t="s">
        <v>20</v>
      </c>
      <c r="K14" s="21" t="s">
        <v>19</v>
      </c>
      <c r="L14" s="21" t="s">
        <v>21</v>
      </c>
      <c r="M14" s="21" t="s">
        <v>22</v>
      </c>
      <c r="N14" s="22" t="s">
        <v>23</v>
      </c>
    </row>
    <row r="15" spans="2:25" ht="16.5">
      <c r="B15" s="24" t="s">
        <v>24</v>
      </c>
      <c r="C15" s="156">
        <f>+'3. ANEXO TRDM-2026'!C26</f>
        <v>76625844707.090073</v>
      </c>
      <c r="D15" s="156">
        <f>+'3. ANEXO TRDM-2026'!E26</f>
        <v>2440502273.9275031</v>
      </c>
      <c r="E15" s="38" t="s">
        <v>25</v>
      </c>
      <c r="F15" s="39">
        <f>+'2. TASAS PROMEDIO'!E10</f>
        <v>1.9514285714285715</v>
      </c>
      <c r="G15" s="39">
        <f>+F15/2</f>
        <v>0.97571428571428576</v>
      </c>
      <c r="H15" s="152">
        <f>ROUND(C15*F15/1000,2)</f>
        <v>149529862.66999999</v>
      </c>
      <c r="I15" s="140">
        <f>ROUND(+D15*G15/1000,2)</f>
        <v>2381232.9300000002</v>
      </c>
      <c r="J15" s="140">
        <f>ROUND((+(H15/365)*$C$9),2)</f>
        <v>185171227.19999999</v>
      </c>
      <c r="K15" s="140">
        <f>ROUND((I15),2)</f>
        <v>2381232.9300000002</v>
      </c>
      <c r="L15" s="140">
        <f>ROUND(+J15+K15,2)</f>
        <v>187552460.13</v>
      </c>
      <c r="M15" s="140">
        <f>ROUND((+L15*0.19),2)</f>
        <v>35634967.420000002</v>
      </c>
      <c r="N15" s="141">
        <f>ROUND(+L15+M15,2)</f>
        <v>223187427.55000001</v>
      </c>
      <c r="O15" s="5"/>
      <c r="P15" s="77"/>
      <c r="Q15" s="121"/>
      <c r="R15" s="121"/>
      <c r="S15" s="121"/>
      <c r="T15" s="13"/>
      <c r="U15" s="110"/>
      <c r="V15" s="110"/>
      <c r="W15" s="110"/>
      <c r="X15" s="110"/>
      <c r="Y15" s="110"/>
    </row>
    <row r="16" spans="2:25" ht="16.5">
      <c r="B16" s="25" t="s">
        <v>26</v>
      </c>
      <c r="C16" s="181">
        <f>+'4. AUTOS'!L21</f>
        <v>956014180</v>
      </c>
      <c r="D16" s="157">
        <v>0</v>
      </c>
      <c r="E16" s="40" t="s">
        <v>27</v>
      </c>
      <c r="F16" s="41">
        <f>+'2. TASAS PROMEDIO'!E17</f>
        <v>3.9149999999999996</v>
      </c>
      <c r="G16" s="40">
        <v>0</v>
      </c>
      <c r="H16" s="140">
        <f>ROUND(+C16*F16/100,2)</f>
        <v>37427955.149999999</v>
      </c>
      <c r="I16" s="140">
        <f t="shared" ref="I16:I23" si="0">+D16*G16/1000</f>
        <v>0</v>
      </c>
      <c r="J16" s="140">
        <f t="shared" ref="J16:J23" si="1">ROUND((+(H16/365)*$C$9),2)</f>
        <v>46349138.979999997</v>
      </c>
      <c r="K16" s="140">
        <f t="shared" ref="K16:K23" si="2">ROUND((I16),2)</f>
        <v>0</v>
      </c>
      <c r="L16" s="142">
        <f>ROUND(+J16+K16,2)</f>
        <v>46349138.979999997</v>
      </c>
      <c r="M16" s="140">
        <f>ROUND((+L16*0.19),2)</f>
        <v>8806336.4100000001</v>
      </c>
      <c r="N16" s="143">
        <f>ROUND(+L16+M16,2)</f>
        <v>55155475.390000001</v>
      </c>
      <c r="O16" s="5"/>
      <c r="P16" s="77"/>
      <c r="Q16" s="108"/>
    </row>
    <row r="17" spans="2:20" ht="16.5">
      <c r="B17" s="147" t="s">
        <v>28</v>
      </c>
      <c r="C17" s="158" t="s">
        <v>29</v>
      </c>
      <c r="D17" s="159">
        <v>0</v>
      </c>
      <c r="E17" s="148" t="s">
        <v>30</v>
      </c>
      <c r="F17" s="148" t="s">
        <v>30</v>
      </c>
      <c r="G17" s="148">
        <v>0</v>
      </c>
      <c r="H17" s="140">
        <f>ROUND(+'5. SOAT'!O8,2)</f>
        <v>1174030</v>
      </c>
      <c r="I17" s="149">
        <f t="shared" si="0"/>
        <v>0</v>
      </c>
      <c r="J17" s="140">
        <f>+H17</f>
        <v>1174030</v>
      </c>
      <c r="K17" s="140">
        <f t="shared" si="2"/>
        <v>0</v>
      </c>
      <c r="L17" s="150">
        <v>0</v>
      </c>
      <c r="M17" s="150">
        <v>0</v>
      </c>
      <c r="N17" s="151">
        <f>+J17</f>
        <v>1174030</v>
      </c>
      <c r="O17" s="5"/>
      <c r="P17" s="77"/>
      <c r="Q17" s="107"/>
    </row>
    <row r="18" spans="2:20" ht="16.5">
      <c r="B18" s="25" t="s">
        <v>31</v>
      </c>
      <c r="C18" s="160">
        <v>150000000</v>
      </c>
      <c r="D18" s="157">
        <v>0</v>
      </c>
      <c r="E18" s="40" t="s">
        <v>27</v>
      </c>
      <c r="F18" s="42">
        <f>+'2. TASAS PROMEDIO'!E23</f>
        <v>0.12333333333333334</v>
      </c>
      <c r="G18" s="40">
        <v>0</v>
      </c>
      <c r="H18" s="140">
        <f>ROUND(+C18*F18/100,2)</f>
        <v>185000</v>
      </c>
      <c r="I18" s="140">
        <f t="shared" si="0"/>
        <v>0</v>
      </c>
      <c r="J18" s="140">
        <f t="shared" si="1"/>
        <v>229095.89</v>
      </c>
      <c r="K18" s="140">
        <f t="shared" si="2"/>
        <v>0</v>
      </c>
      <c r="L18" s="142">
        <f t="shared" ref="L18:L23" si="3">ROUND(+J18+K18,2)</f>
        <v>229095.89</v>
      </c>
      <c r="M18" s="140">
        <f t="shared" ref="M18:M23" si="4">ROUND((+L18*0.19),2)</f>
        <v>43528.22</v>
      </c>
      <c r="N18" s="143">
        <f t="shared" ref="N18:N24" si="5">ROUND(+L18+M18,2)</f>
        <v>272624.11</v>
      </c>
      <c r="O18" s="5"/>
      <c r="P18" s="77"/>
      <c r="Q18" s="107"/>
    </row>
    <row r="19" spans="2:20" ht="16.5">
      <c r="B19" s="25" t="s">
        <v>32</v>
      </c>
      <c r="C19" s="160">
        <v>500000000</v>
      </c>
      <c r="D19" s="157">
        <v>0</v>
      </c>
      <c r="E19" s="40" t="s">
        <v>27</v>
      </c>
      <c r="F19" s="42">
        <f>+'2. TASAS PROMEDIO'!E29</f>
        <v>0.12333333333333334</v>
      </c>
      <c r="G19" s="40">
        <v>0</v>
      </c>
      <c r="H19" s="140">
        <f>ROUND(+C19*F19/100,2)</f>
        <v>616666.67000000004</v>
      </c>
      <c r="I19" s="140">
        <f t="shared" si="0"/>
        <v>0</v>
      </c>
      <c r="J19" s="140">
        <f t="shared" si="1"/>
        <v>763652.97</v>
      </c>
      <c r="K19" s="140">
        <f t="shared" si="2"/>
        <v>0</v>
      </c>
      <c r="L19" s="142">
        <f t="shared" si="3"/>
        <v>763652.97</v>
      </c>
      <c r="M19" s="140">
        <f t="shared" si="4"/>
        <v>145094.06</v>
      </c>
      <c r="N19" s="143">
        <f t="shared" si="5"/>
        <v>908747.03</v>
      </c>
      <c r="O19" s="5"/>
      <c r="P19" s="77"/>
      <c r="Q19" s="108"/>
    </row>
    <row r="20" spans="2:20" ht="16.5">
      <c r="B20" s="25" t="s">
        <v>33</v>
      </c>
      <c r="C20" s="160">
        <v>680000001</v>
      </c>
      <c r="D20" s="157">
        <v>0</v>
      </c>
      <c r="E20" s="40" t="s">
        <v>27</v>
      </c>
      <c r="F20" s="42">
        <f>+'2. TASAS PROMEDIO'!E35</f>
        <v>3.6383333333333336</v>
      </c>
      <c r="G20" s="40">
        <v>0</v>
      </c>
      <c r="H20" s="140">
        <f>ROUND(+C20*F20/100,2)</f>
        <v>24740666.699999999</v>
      </c>
      <c r="I20" s="140">
        <f t="shared" si="0"/>
        <v>0</v>
      </c>
      <c r="J20" s="140">
        <f t="shared" si="1"/>
        <v>30637757.120000001</v>
      </c>
      <c r="K20" s="140">
        <f t="shared" si="2"/>
        <v>0</v>
      </c>
      <c r="L20" s="142">
        <f t="shared" si="3"/>
        <v>30637757.120000001</v>
      </c>
      <c r="M20" s="140">
        <f t="shared" si="4"/>
        <v>5821173.8499999996</v>
      </c>
      <c r="N20" s="143">
        <f t="shared" si="5"/>
        <v>36458930.969999999</v>
      </c>
      <c r="O20" s="5"/>
      <c r="P20" s="77"/>
      <c r="Q20" s="108"/>
    </row>
    <row r="21" spans="2:20" ht="16.5">
      <c r="B21" s="25" t="s">
        <v>34</v>
      </c>
      <c r="C21" s="160">
        <v>4000000000</v>
      </c>
      <c r="D21" s="157">
        <v>0</v>
      </c>
      <c r="E21" s="40" t="s">
        <v>27</v>
      </c>
      <c r="F21" s="42">
        <f>+'2. TASAS PROMEDIO'!E51</f>
        <v>2.6579999999999999</v>
      </c>
      <c r="G21" s="40">
        <v>0</v>
      </c>
      <c r="H21" s="140">
        <f>ROUND(+C21*F21/100,2)</f>
        <v>106320000</v>
      </c>
      <c r="I21" s="140">
        <f t="shared" si="0"/>
        <v>0</v>
      </c>
      <c r="J21" s="140">
        <f t="shared" si="1"/>
        <v>131662027.40000001</v>
      </c>
      <c r="K21" s="140">
        <f t="shared" si="2"/>
        <v>0</v>
      </c>
      <c r="L21" s="142">
        <f t="shared" si="3"/>
        <v>131662027.40000001</v>
      </c>
      <c r="M21" s="140">
        <f t="shared" si="4"/>
        <v>25015785.210000001</v>
      </c>
      <c r="N21" s="143">
        <f t="shared" si="5"/>
        <v>156677812.61000001</v>
      </c>
      <c r="O21" s="5"/>
      <c r="P21" s="77"/>
      <c r="Q21" s="108"/>
    </row>
    <row r="22" spans="2:20" ht="16.5">
      <c r="B22" s="25" t="s">
        <v>35</v>
      </c>
      <c r="C22" s="160">
        <v>6000000001</v>
      </c>
      <c r="D22" s="157">
        <v>0</v>
      </c>
      <c r="E22" s="38" t="s">
        <v>25</v>
      </c>
      <c r="F22" s="42">
        <f>+'2. TASAS PROMEDIO'!E41</f>
        <v>0.19400000000000001</v>
      </c>
      <c r="G22" s="40">
        <v>0</v>
      </c>
      <c r="H22" s="140">
        <f>ROUND(+C22*F22/1000,2)</f>
        <v>1164000</v>
      </c>
      <c r="I22" s="140">
        <f t="shared" si="0"/>
        <v>0</v>
      </c>
      <c r="J22" s="140">
        <f t="shared" si="1"/>
        <v>1441446.58</v>
      </c>
      <c r="K22" s="140">
        <f t="shared" si="2"/>
        <v>0</v>
      </c>
      <c r="L22" s="142">
        <f t="shared" si="3"/>
        <v>1441446.58</v>
      </c>
      <c r="M22" s="140">
        <f t="shared" si="4"/>
        <v>273874.84999999998</v>
      </c>
      <c r="N22" s="143">
        <f t="shared" si="5"/>
        <v>1715321.43</v>
      </c>
      <c r="O22" s="5"/>
      <c r="P22" s="77"/>
      <c r="Q22" s="108"/>
    </row>
    <row r="23" spans="2:20" ht="16.5">
      <c r="B23" s="25" t="s">
        <v>36</v>
      </c>
      <c r="C23" s="160">
        <v>3400000001</v>
      </c>
      <c r="D23" s="157">
        <v>0</v>
      </c>
      <c r="E23" s="40" t="s">
        <v>27</v>
      </c>
      <c r="F23" s="42">
        <f>+'2. TASAS PROMEDIO'!E46</f>
        <v>4.8620000000000001</v>
      </c>
      <c r="G23" s="40">
        <v>0</v>
      </c>
      <c r="H23" s="140">
        <f>ROUND(+C23*F23/100,2)</f>
        <v>165308000.05000001</v>
      </c>
      <c r="I23" s="140">
        <f t="shared" si="0"/>
        <v>0</v>
      </c>
      <c r="J23" s="140">
        <f t="shared" si="1"/>
        <v>204710180.88</v>
      </c>
      <c r="K23" s="140">
        <f t="shared" si="2"/>
        <v>0</v>
      </c>
      <c r="L23" s="142">
        <f t="shared" si="3"/>
        <v>204710180.88</v>
      </c>
      <c r="M23" s="140">
        <f t="shared" si="4"/>
        <v>38894934.369999997</v>
      </c>
      <c r="N23" s="143">
        <f t="shared" si="5"/>
        <v>243605115.25</v>
      </c>
      <c r="P23" s="77"/>
      <c r="Q23" s="77"/>
    </row>
    <row r="24" spans="2:20" ht="13.5" customHeight="1" thickBot="1">
      <c r="B24" s="23" t="s">
        <v>37</v>
      </c>
      <c r="C24" s="161"/>
      <c r="D24" s="161"/>
      <c r="E24" s="26"/>
      <c r="F24" s="27"/>
      <c r="G24" s="26"/>
      <c r="H24" s="144"/>
      <c r="I24" s="144"/>
      <c r="J24" s="144"/>
      <c r="K24" s="144"/>
      <c r="L24" s="145">
        <v>22871069</v>
      </c>
      <c r="M24" s="145">
        <f>ROUND(L24*19%,2)</f>
        <v>4345503.1100000003</v>
      </c>
      <c r="N24" s="146">
        <f t="shared" si="5"/>
        <v>27216572.109999999</v>
      </c>
      <c r="P24" s="100"/>
      <c r="Q24" s="78"/>
      <c r="T24" s="100"/>
    </row>
    <row r="25" spans="2:20" ht="18.75" customHeight="1" thickBot="1">
      <c r="B25" s="58" t="s">
        <v>38</v>
      </c>
      <c r="C25" s="162">
        <f>SUM(C15:C24)</f>
        <v>92311858890.090073</v>
      </c>
      <c r="D25" s="162">
        <f>SUM(D15:D24)</f>
        <v>2440502273.9275031</v>
      </c>
      <c r="E25" s="59"/>
      <c r="F25" s="59"/>
      <c r="G25" s="59"/>
      <c r="H25" s="154">
        <f t="shared" ref="H25:M25" si="6">SUM(H15:H24)</f>
        <v>486466181.23999995</v>
      </c>
      <c r="I25" s="154">
        <f>SUM(I15:I24)</f>
        <v>2381232.9300000002</v>
      </c>
      <c r="J25" s="154">
        <f t="shared" si="6"/>
        <v>602138557.01999998</v>
      </c>
      <c r="K25" s="154">
        <f>SUM(K15:K24)</f>
        <v>2381232.9300000002</v>
      </c>
      <c r="L25" s="154">
        <f t="shared" si="6"/>
        <v>626216828.95000005</v>
      </c>
      <c r="M25" s="154">
        <f t="shared" si="6"/>
        <v>118981197.49999999</v>
      </c>
      <c r="N25" s="163">
        <f>SUM(N15:N24)</f>
        <v>746372056.44999993</v>
      </c>
      <c r="P25" s="111"/>
      <c r="Q25" s="130"/>
    </row>
    <row r="26" spans="2:20" ht="17.25" thickBot="1">
      <c r="B26" s="13"/>
      <c r="C26" s="13"/>
      <c r="D26" s="13"/>
      <c r="E26" s="17"/>
      <c r="F26" s="17"/>
      <c r="G26" s="17"/>
      <c r="H26" s="18"/>
      <c r="I26" s="18"/>
      <c r="J26" s="18"/>
      <c r="K26" s="18"/>
      <c r="L26" s="18"/>
      <c r="M26" s="18"/>
      <c r="N26" s="18"/>
      <c r="P26" s="111"/>
      <c r="Q26" s="78"/>
    </row>
    <row r="27" spans="2:20" ht="16.5" thickBot="1">
      <c r="B27" s="194" t="s">
        <v>39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6"/>
      <c r="P27" s="111"/>
    </row>
    <row r="28" spans="2:20" ht="63">
      <c r="B28" s="115" t="s">
        <v>12</v>
      </c>
      <c r="C28" s="112" t="s">
        <v>13</v>
      </c>
      <c r="D28" s="112" t="s">
        <v>14</v>
      </c>
      <c r="E28" s="112" t="s">
        <v>15</v>
      </c>
      <c r="F28" s="112" t="s">
        <v>16</v>
      </c>
      <c r="G28" s="112" t="s">
        <v>17</v>
      </c>
      <c r="H28" s="113" t="s">
        <v>18</v>
      </c>
      <c r="I28" s="113" t="s">
        <v>19</v>
      </c>
      <c r="J28" s="113" t="s">
        <v>20</v>
      </c>
      <c r="K28" s="113" t="s">
        <v>19</v>
      </c>
      <c r="L28" s="113" t="s">
        <v>21</v>
      </c>
      <c r="M28" s="113" t="s">
        <v>22</v>
      </c>
      <c r="N28" s="114" t="s">
        <v>23</v>
      </c>
    </row>
    <row r="29" spans="2:20" ht="17.25" thickBot="1">
      <c r="B29" s="164" t="s">
        <v>40</v>
      </c>
      <c r="C29" s="165">
        <v>1000000000</v>
      </c>
      <c r="D29" s="161">
        <v>0</v>
      </c>
      <c r="E29" s="166" t="s">
        <v>27</v>
      </c>
      <c r="F29" s="166">
        <v>9</v>
      </c>
      <c r="G29" s="166">
        <v>0</v>
      </c>
      <c r="H29" s="167">
        <f>ROUND(+C29*F29/100,2)</f>
        <v>90000000</v>
      </c>
      <c r="I29" s="167">
        <f t="shared" ref="I29" si="7">+D29*G29/1000</f>
        <v>0</v>
      </c>
      <c r="J29" s="167">
        <f>ROUND((+(H29/365)*$M$9),0)</f>
        <v>111452055</v>
      </c>
      <c r="K29" s="167">
        <f t="shared" ref="K29" si="8">+I29/365*$C$9</f>
        <v>0</v>
      </c>
      <c r="L29" s="167">
        <f t="shared" ref="L29" si="9">+J29+K29</f>
        <v>111452055</v>
      </c>
      <c r="M29" s="167">
        <f t="shared" ref="M29" si="10">ROUND((+L29*0.19),0)</f>
        <v>21175890</v>
      </c>
      <c r="N29" s="168">
        <f>ROUND(+L29+M29,2)</f>
        <v>132627945</v>
      </c>
    </row>
    <row r="30" spans="2:20" ht="16.5" thickBot="1">
      <c r="B30" s="169" t="s">
        <v>41</v>
      </c>
      <c r="C30" s="170">
        <f>+C25+C29</f>
        <v>93311858890.090073</v>
      </c>
      <c r="D30" s="170">
        <v>0</v>
      </c>
      <c r="E30" s="170"/>
      <c r="F30" s="170"/>
      <c r="G30" s="170"/>
      <c r="H30" s="170">
        <f>+H29</f>
        <v>90000000</v>
      </c>
      <c r="I30" s="170">
        <v>0</v>
      </c>
      <c r="J30" s="170">
        <f>+J29</f>
        <v>111452055</v>
      </c>
      <c r="K30" s="170">
        <v>0</v>
      </c>
      <c r="L30" s="170">
        <f>+L29</f>
        <v>111452055</v>
      </c>
      <c r="M30" s="170">
        <f>+M29</f>
        <v>21175890</v>
      </c>
      <c r="N30" s="171">
        <f>+N29</f>
        <v>132627945</v>
      </c>
    </row>
    <row r="31" spans="2:20" ht="13.5" thickBot="1">
      <c r="B31" s="172"/>
      <c r="C31" s="172"/>
      <c r="D31" s="172"/>
      <c r="E31" s="173"/>
      <c r="F31" s="173"/>
      <c r="G31" s="173"/>
      <c r="H31" s="174"/>
      <c r="I31" s="174"/>
      <c r="J31" s="174"/>
      <c r="K31" s="174"/>
      <c r="L31" s="174"/>
      <c r="M31" s="174"/>
      <c r="N31" s="174"/>
    </row>
    <row r="32" spans="2:20" ht="17.25" thickTop="1" thickBot="1">
      <c r="B32" s="197" t="s">
        <v>42</v>
      </c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9"/>
      <c r="N32" s="175">
        <f>+N30+N25</f>
        <v>879000001.44999993</v>
      </c>
      <c r="P32" s="100"/>
    </row>
    <row r="33" spans="11:14" ht="13.5" thickTop="1"/>
    <row r="34" spans="11:14" ht="23.25" customHeight="1">
      <c r="K34" s="193" t="s">
        <v>43</v>
      </c>
      <c r="L34" s="193"/>
      <c r="M34" s="193"/>
      <c r="N34" s="180">
        <f>+C10-N32</f>
        <v>-1.4499999284744263</v>
      </c>
    </row>
  </sheetData>
  <mergeCells count="11">
    <mergeCell ref="K34:M34"/>
    <mergeCell ref="B27:N27"/>
    <mergeCell ref="B32:M32"/>
    <mergeCell ref="B12:N12"/>
    <mergeCell ref="B2:N2"/>
    <mergeCell ref="B3:N3"/>
    <mergeCell ref="B4:N4"/>
    <mergeCell ref="B13:N13"/>
    <mergeCell ref="B6:C6"/>
    <mergeCell ref="J6:M6"/>
    <mergeCell ref="E6:I6"/>
  </mergeCells>
  <pageMargins left="0.74803149606299213" right="0.74803149606299213" top="0.98425196850393704" bottom="0.98425196850393704" header="0.51181102362204722" footer="0.51181102362204722"/>
  <pageSetup scale="60" orientation="landscape" horizontalDpi="4294967292" verticalDpi="4294967292" r:id="rId1"/>
  <ignoredErrors>
    <ignoredError sqref="N17" formula="1"/>
  </ignoredErrors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2:J60"/>
  <sheetViews>
    <sheetView showGridLines="0" view="pageBreakPreview" zoomScaleNormal="100" zoomScaleSheetLayoutView="100" workbookViewId="0">
      <selection activeCell="D56" sqref="D56"/>
    </sheetView>
  </sheetViews>
  <sheetFormatPr defaultColWidth="11" defaultRowHeight="15.75"/>
  <cols>
    <col min="1" max="1" width="69.5" customWidth="1"/>
    <col min="2" max="2" width="53.25" customWidth="1"/>
    <col min="3" max="3" width="19.5" customWidth="1"/>
    <col min="7" max="7" width="10.5" customWidth="1"/>
    <col min="8" max="8" width="11" hidden="1" customWidth="1"/>
    <col min="9" max="9" width="23.375" bestFit="1" customWidth="1"/>
    <col min="10" max="10" width="12.375" bestFit="1" customWidth="1"/>
    <col min="11" max="11" width="11.125" bestFit="1" customWidth="1"/>
  </cols>
  <sheetData>
    <row r="2" spans="1:10">
      <c r="A2" s="215" t="s">
        <v>0</v>
      </c>
      <c r="B2" s="215"/>
      <c r="C2" s="215"/>
      <c r="D2" s="215"/>
      <c r="E2" s="215"/>
      <c r="F2" s="215"/>
    </row>
    <row r="3" spans="1:10">
      <c r="A3" s="215" t="s">
        <v>11</v>
      </c>
      <c r="B3" s="215"/>
      <c r="C3" s="215"/>
      <c r="D3" s="215"/>
      <c r="E3" s="215"/>
      <c r="F3" s="215"/>
    </row>
    <row r="4" spans="1:10">
      <c r="A4" s="215" t="s">
        <v>44</v>
      </c>
      <c r="B4" s="215"/>
      <c r="C4" s="215"/>
      <c r="D4" s="215"/>
      <c r="E4" s="215"/>
      <c r="F4" s="215"/>
    </row>
    <row r="6" spans="1:10">
      <c r="A6" s="1"/>
      <c r="B6" s="1"/>
      <c r="C6" s="1"/>
      <c r="D6" s="1"/>
      <c r="E6" s="1"/>
      <c r="F6" s="1"/>
    </row>
    <row r="7" spans="1:10" ht="16.5" thickBot="1">
      <c r="A7" s="1"/>
      <c r="B7" s="1"/>
      <c r="C7" s="1"/>
      <c r="D7" s="1"/>
      <c r="E7" s="1"/>
      <c r="F7" s="1"/>
    </row>
    <row r="8" spans="1:10">
      <c r="A8" s="216" t="s">
        <v>45</v>
      </c>
      <c r="B8" s="223" t="s">
        <v>46</v>
      </c>
      <c r="C8" s="218" t="s">
        <v>12</v>
      </c>
      <c r="D8" s="220" t="s">
        <v>47</v>
      </c>
      <c r="E8" s="218" t="s">
        <v>48</v>
      </c>
      <c r="F8" s="222"/>
    </row>
    <row r="9" spans="1:10" ht="39" thickBot="1">
      <c r="A9" s="217"/>
      <c r="B9" s="224"/>
      <c r="C9" s="219"/>
      <c r="D9" s="221"/>
      <c r="E9" s="61" t="s">
        <v>49</v>
      </c>
      <c r="F9" s="62" t="s">
        <v>50</v>
      </c>
      <c r="J9" s="107"/>
    </row>
    <row r="10" spans="1:10" ht="15.75" customHeight="1">
      <c r="A10" s="63" t="s">
        <v>0</v>
      </c>
      <c r="B10" s="64" t="s">
        <v>51</v>
      </c>
      <c r="C10" s="209" t="s">
        <v>52</v>
      </c>
      <c r="D10" s="92">
        <v>1.91</v>
      </c>
      <c r="E10" s="93">
        <f>+AVERAGE(D10:D16)</f>
        <v>1.9514285714285715</v>
      </c>
      <c r="F10" s="212" t="s">
        <v>53</v>
      </c>
      <c r="H10" s="101">
        <f>+E10-D10</f>
        <v>4.1428571428571592E-2</v>
      </c>
      <c r="I10" s="106"/>
      <c r="J10" s="108"/>
    </row>
    <row r="11" spans="1:10" ht="16.5">
      <c r="A11" s="89" t="s">
        <v>54</v>
      </c>
      <c r="B11" s="89" t="s">
        <v>55</v>
      </c>
      <c r="C11" s="210"/>
      <c r="D11" s="116">
        <v>1.8</v>
      </c>
      <c r="E11" s="94"/>
      <c r="F11" s="213"/>
      <c r="J11" s="107"/>
    </row>
    <row r="12" spans="1:10" ht="16.5">
      <c r="A12" s="88" t="s">
        <v>56</v>
      </c>
      <c r="B12" s="85" t="s">
        <v>57</v>
      </c>
      <c r="C12" s="210"/>
      <c r="D12" s="37">
        <v>2</v>
      </c>
      <c r="E12" s="94"/>
      <c r="F12" s="213"/>
      <c r="J12" s="107"/>
    </row>
    <row r="13" spans="1:10" ht="16.5">
      <c r="A13" s="88" t="s">
        <v>58</v>
      </c>
      <c r="B13" s="86" t="s">
        <v>59</v>
      </c>
      <c r="C13" s="210"/>
      <c r="D13" s="37">
        <v>2.04</v>
      </c>
      <c r="E13" s="94"/>
      <c r="F13" s="213"/>
      <c r="J13" s="108"/>
    </row>
    <row r="14" spans="1:10" ht="16.5">
      <c r="A14" s="84" t="s">
        <v>60</v>
      </c>
      <c r="B14" s="84" t="s">
        <v>61</v>
      </c>
      <c r="C14" s="210"/>
      <c r="D14" s="116">
        <v>2.1</v>
      </c>
      <c r="E14" s="94"/>
      <c r="F14" s="213"/>
      <c r="J14" s="108"/>
    </row>
    <row r="15" spans="1:10" ht="16.5">
      <c r="A15" s="90" t="s">
        <v>62</v>
      </c>
      <c r="B15" s="90" t="s">
        <v>63</v>
      </c>
      <c r="C15" s="210"/>
      <c r="D15" s="117">
        <v>1.75</v>
      </c>
      <c r="E15" s="94"/>
      <c r="F15" s="213"/>
      <c r="J15" s="108"/>
    </row>
    <row r="16" spans="1:10" ht="17.25" thickBot="1">
      <c r="A16" s="88" t="s">
        <v>64</v>
      </c>
      <c r="B16" s="86" t="s">
        <v>65</v>
      </c>
      <c r="C16" s="211"/>
      <c r="D16" s="118">
        <v>2.06</v>
      </c>
      <c r="E16" s="95"/>
      <c r="F16" s="214"/>
      <c r="J16" s="108"/>
    </row>
    <row r="17" spans="1:9">
      <c r="A17" s="63" t="s">
        <v>0</v>
      </c>
      <c r="B17" s="64" t="s">
        <v>51</v>
      </c>
      <c r="C17" s="205" t="s">
        <v>66</v>
      </c>
      <c r="D17" s="92">
        <v>3.87</v>
      </c>
      <c r="E17" s="96">
        <f>+AVERAGE(D17:D22)</f>
        <v>3.9149999999999996</v>
      </c>
      <c r="F17" s="202" t="s">
        <v>27</v>
      </c>
      <c r="H17" s="101">
        <f>+E17-D17</f>
        <v>4.4999999999999485E-2</v>
      </c>
      <c r="I17" s="106"/>
    </row>
    <row r="18" spans="1:9">
      <c r="A18" s="84" t="s">
        <v>67</v>
      </c>
      <c r="B18" s="84" t="s">
        <v>68</v>
      </c>
      <c r="C18" s="206"/>
      <c r="D18" s="37">
        <v>4</v>
      </c>
      <c r="E18" s="97"/>
      <c r="F18" s="203"/>
    </row>
    <row r="19" spans="1:9">
      <c r="A19" s="89" t="s">
        <v>69</v>
      </c>
      <c r="B19" s="89" t="s">
        <v>70</v>
      </c>
      <c r="C19" s="206"/>
      <c r="D19" s="37">
        <v>3.87</v>
      </c>
      <c r="E19" s="97"/>
      <c r="F19" s="203"/>
    </row>
    <row r="20" spans="1:9">
      <c r="A20" s="90" t="s">
        <v>56</v>
      </c>
      <c r="B20" s="90" t="s">
        <v>57</v>
      </c>
      <c r="C20" s="206"/>
      <c r="D20" s="37">
        <v>3.9</v>
      </c>
      <c r="E20" s="97"/>
      <c r="F20" s="203"/>
    </row>
    <row r="21" spans="1:9">
      <c r="A21" s="90" t="s">
        <v>71</v>
      </c>
      <c r="B21" s="90" t="s">
        <v>72</v>
      </c>
      <c r="C21" s="207"/>
      <c r="D21" s="68">
        <v>3.65</v>
      </c>
      <c r="E21" s="98"/>
      <c r="F21" s="228"/>
    </row>
    <row r="22" spans="1:9" ht="16.5" thickBot="1">
      <c r="A22" s="90" t="s">
        <v>67</v>
      </c>
      <c r="B22" s="90" t="s">
        <v>68</v>
      </c>
      <c r="C22" s="208"/>
      <c r="D22" s="65">
        <v>4.2</v>
      </c>
      <c r="E22" s="99"/>
      <c r="F22" s="204"/>
    </row>
    <row r="23" spans="1:9">
      <c r="A23" s="63" t="s">
        <v>0</v>
      </c>
      <c r="B23" s="64" t="s">
        <v>51</v>
      </c>
      <c r="C23" s="205" t="s">
        <v>73</v>
      </c>
      <c r="D23" s="92">
        <v>0.11</v>
      </c>
      <c r="E23" s="96">
        <f>+AVERAGE(D23:D28)</f>
        <v>0.12333333333333334</v>
      </c>
      <c r="F23" s="202" t="s">
        <v>27</v>
      </c>
      <c r="H23" s="101">
        <f>+E23-D23</f>
        <v>1.3333333333333336E-2</v>
      </c>
      <c r="I23" s="106"/>
    </row>
    <row r="24" spans="1:9">
      <c r="A24" s="89" t="s">
        <v>74</v>
      </c>
      <c r="B24" s="89" t="s">
        <v>75</v>
      </c>
      <c r="C24" s="206"/>
      <c r="D24" s="116">
        <v>0.1</v>
      </c>
      <c r="E24" s="97"/>
      <c r="F24" s="203"/>
    </row>
    <row r="25" spans="1:9">
      <c r="A25" s="89" t="s">
        <v>76</v>
      </c>
      <c r="B25" s="89" t="s">
        <v>77</v>
      </c>
      <c r="C25" s="206"/>
      <c r="D25" s="116">
        <v>0.1</v>
      </c>
      <c r="E25" s="97"/>
      <c r="F25" s="203"/>
    </row>
    <row r="26" spans="1:9">
      <c r="A26" s="90" t="s">
        <v>78</v>
      </c>
      <c r="B26" s="90" t="s">
        <v>79</v>
      </c>
      <c r="C26" s="206"/>
      <c r="D26" s="116">
        <v>0.12</v>
      </c>
      <c r="E26" s="97"/>
      <c r="F26" s="203"/>
    </row>
    <row r="27" spans="1:9">
      <c r="A27" s="84" t="s">
        <v>80</v>
      </c>
      <c r="B27" s="84" t="s">
        <v>81</v>
      </c>
      <c r="C27" s="206"/>
      <c r="D27" s="116">
        <v>0.11</v>
      </c>
      <c r="E27" s="97"/>
      <c r="F27" s="203"/>
    </row>
    <row r="28" spans="1:9" ht="16.5" thickBot="1">
      <c r="A28" s="90" t="s">
        <v>69</v>
      </c>
      <c r="B28" s="90" t="s">
        <v>70</v>
      </c>
      <c r="C28" s="208"/>
      <c r="D28" s="118">
        <v>0.2</v>
      </c>
      <c r="E28" s="99"/>
      <c r="F28" s="204"/>
    </row>
    <row r="29" spans="1:9">
      <c r="A29" s="63" t="s">
        <v>0</v>
      </c>
      <c r="B29" s="64" t="s">
        <v>51</v>
      </c>
      <c r="C29" s="205" t="s">
        <v>82</v>
      </c>
      <c r="D29" s="92">
        <v>0.11</v>
      </c>
      <c r="E29" s="96">
        <f>+AVERAGE(D29:D34)</f>
        <v>0.12333333333333334</v>
      </c>
      <c r="F29" s="202" t="s">
        <v>27</v>
      </c>
      <c r="H29" s="101">
        <f>+E29-D29</f>
        <v>1.3333333333333336E-2</v>
      </c>
      <c r="I29" s="106"/>
    </row>
    <row r="30" spans="1:9">
      <c r="A30" s="89" t="s">
        <v>74</v>
      </c>
      <c r="B30" s="89" t="s">
        <v>75</v>
      </c>
      <c r="C30" s="206"/>
      <c r="D30" s="116">
        <v>0.1</v>
      </c>
      <c r="E30" s="97"/>
      <c r="F30" s="203"/>
    </row>
    <row r="31" spans="1:9">
      <c r="A31" s="89" t="s">
        <v>76</v>
      </c>
      <c r="B31" s="89" t="s">
        <v>77</v>
      </c>
      <c r="C31" s="206"/>
      <c r="D31" s="116">
        <v>0.1</v>
      </c>
      <c r="E31" s="97"/>
      <c r="F31" s="203"/>
    </row>
    <row r="32" spans="1:9">
      <c r="A32" s="90" t="s">
        <v>78</v>
      </c>
      <c r="B32" s="90" t="s">
        <v>79</v>
      </c>
      <c r="C32" s="206"/>
      <c r="D32" s="116">
        <v>0.12</v>
      </c>
      <c r="E32" s="97"/>
      <c r="F32" s="203"/>
    </row>
    <row r="33" spans="1:10">
      <c r="A33" s="84" t="s">
        <v>80</v>
      </c>
      <c r="B33" s="84" t="s">
        <v>81</v>
      </c>
      <c r="C33" s="206"/>
      <c r="D33" s="116">
        <v>0.11</v>
      </c>
      <c r="E33" s="97"/>
      <c r="F33" s="203"/>
    </row>
    <row r="34" spans="1:10" ht="16.5" thickBot="1">
      <c r="A34" s="90" t="s">
        <v>69</v>
      </c>
      <c r="B34" s="90" t="s">
        <v>70</v>
      </c>
      <c r="C34" s="208"/>
      <c r="D34" s="118">
        <v>0.2</v>
      </c>
      <c r="E34" s="99"/>
      <c r="F34" s="204"/>
    </row>
    <row r="35" spans="1:10">
      <c r="A35" s="63" t="s">
        <v>0</v>
      </c>
      <c r="B35" s="64" t="s">
        <v>51</v>
      </c>
      <c r="C35" s="205" t="s">
        <v>83</v>
      </c>
      <c r="D35" s="92">
        <v>3.4</v>
      </c>
      <c r="E35" s="96">
        <f>+AVERAGE(D35:D40)</f>
        <v>3.6383333333333336</v>
      </c>
      <c r="F35" s="202" t="s">
        <v>27</v>
      </c>
      <c r="H35" s="101">
        <f>+E35-D35</f>
        <v>0.23833333333333373</v>
      </c>
      <c r="I35" s="106"/>
    </row>
    <row r="36" spans="1:10">
      <c r="A36" s="84" t="s">
        <v>84</v>
      </c>
      <c r="B36" s="84" t="s">
        <v>85</v>
      </c>
      <c r="C36" s="206"/>
      <c r="D36" s="37">
        <v>3.2</v>
      </c>
      <c r="E36" s="97"/>
      <c r="F36" s="203"/>
    </row>
    <row r="37" spans="1:10">
      <c r="A37" s="89" t="s">
        <v>76</v>
      </c>
      <c r="B37" s="89" t="s">
        <v>77</v>
      </c>
      <c r="C37" s="206"/>
      <c r="D37" s="37">
        <v>3.65</v>
      </c>
      <c r="E37" s="97"/>
      <c r="F37" s="203"/>
    </row>
    <row r="38" spans="1:10">
      <c r="A38" s="91" t="s">
        <v>67</v>
      </c>
      <c r="B38" s="91" t="s">
        <v>68</v>
      </c>
      <c r="C38" s="206"/>
      <c r="D38" s="37">
        <v>3.21</v>
      </c>
      <c r="E38" s="97"/>
      <c r="F38" s="203"/>
    </row>
    <row r="39" spans="1:10">
      <c r="A39" s="91" t="s">
        <v>71</v>
      </c>
      <c r="B39" s="91" t="s">
        <v>72</v>
      </c>
      <c r="C39" s="207"/>
      <c r="D39" s="68">
        <v>4</v>
      </c>
      <c r="E39" s="98"/>
      <c r="F39" s="228"/>
    </row>
    <row r="40" spans="1:10" ht="16.5" thickBot="1">
      <c r="A40" s="90" t="s">
        <v>78</v>
      </c>
      <c r="B40" s="90" t="s">
        <v>79</v>
      </c>
      <c r="C40" s="208"/>
      <c r="D40" s="65">
        <v>4.37</v>
      </c>
      <c r="E40" s="99"/>
      <c r="F40" s="204"/>
    </row>
    <row r="41" spans="1:10">
      <c r="A41" s="63" t="s">
        <v>0</v>
      </c>
      <c r="B41" s="64" t="s">
        <v>51</v>
      </c>
      <c r="C41" s="205" t="s">
        <v>86</v>
      </c>
      <c r="D41" s="92">
        <v>0.18</v>
      </c>
      <c r="E41" s="96">
        <f>+AVERAGE(D41:D45)</f>
        <v>0.19400000000000001</v>
      </c>
      <c r="F41" s="202" t="s">
        <v>53</v>
      </c>
      <c r="H41" s="101">
        <f>+E41-D41</f>
        <v>1.4000000000000012E-2</v>
      </c>
      <c r="I41" s="106"/>
    </row>
    <row r="42" spans="1:10">
      <c r="A42" s="84" t="s">
        <v>71</v>
      </c>
      <c r="B42" s="84" t="s">
        <v>72</v>
      </c>
      <c r="C42" s="206"/>
      <c r="D42" s="37">
        <v>0.2</v>
      </c>
      <c r="E42" s="97"/>
      <c r="F42" s="203"/>
    </row>
    <row r="43" spans="1:10">
      <c r="A43" s="89" t="s">
        <v>76</v>
      </c>
      <c r="B43" s="89" t="s">
        <v>77</v>
      </c>
      <c r="C43" s="206"/>
      <c r="D43" s="119">
        <v>0.21</v>
      </c>
      <c r="E43" s="97"/>
      <c r="F43" s="203"/>
    </row>
    <row r="44" spans="1:10">
      <c r="A44" s="84" t="s">
        <v>67</v>
      </c>
      <c r="B44" s="84" t="s">
        <v>68</v>
      </c>
      <c r="C44" s="206"/>
      <c r="D44" s="66">
        <v>0.16</v>
      </c>
      <c r="E44" s="97"/>
      <c r="F44" s="203"/>
    </row>
    <row r="45" spans="1:10" ht="16.5" thickBot="1">
      <c r="A45" s="84" t="s">
        <v>87</v>
      </c>
      <c r="B45" s="84" t="s">
        <v>88</v>
      </c>
      <c r="C45" s="208"/>
      <c r="D45" s="67">
        <v>0.22</v>
      </c>
      <c r="E45" s="99"/>
      <c r="F45" s="204"/>
    </row>
    <row r="46" spans="1:10">
      <c r="A46" s="63" t="s">
        <v>0</v>
      </c>
      <c r="B46" s="64" t="s">
        <v>51</v>
      </c>
      <c r="C46" s="205" t="s">
        <v>89</v>
      </c>
      <c r="D46" s="92">
        <v>4.5</v>
      </c>
      <c r="E46" s="96">
        <f>+AVERAGE(D46:D50)</f>
        <v>4.8620000000000001</v>
      </c>
      <c r="F46" s="225" t="s">
        <v>27</v>
      </c>
      <c r="H46" s="101">
        <f>+E46-D46</f>
        <v>0.3620000000000001</v>
      </c>
      <c r="I46" s="106"/>
    </row>
    <row r="47" spans="1:10">
      <c r="A47" s="89" t="s">
        <v>90</v>
      </c>
      <c r="B47" s="89" t="s">
        <v>91</v>
      </c>
      <c r="C47" s="206"/>
      <c r="D47" s="37">
        <v>4.45</v>
      </c>
      <c r="E47" s="97"/>
      <c r="F47" s="226"/>
    </row>
    <row r="48" spans="1:10">
      <c r="A48" s="90" t="s">
        <v>54</v>
      </c>
      <c r="B48" s="90" t="s">
        <v>55</v>
      </c>
      <c r="C48" s="206"/>
      <c r="D48" s="37">
        <v>4.9000000000000004</v>
      </c>
      <c r="E48" s="97"/>
      <c r="F48" s="226"/>
      <c r="I48" s="3"/>
      <c r="J48" s="3"/>
    </row>
    <row r="49" spans="1:10">
      <c r="A49" s="84" t="s">
        <v>92</v>
      </c>
      <c r="B49" s="84" t="s">
        <v>93</v>
      </c>
      <c r="C49" s="206"/>
      <c r="D49" s="37">
        <v>5.2</v>
      </c>
      <c r="E49" s="97"/>
      <c r="F49" s="226"/>
      <c r="I49" s="33"/>
      <c r="J49" s="34"/>
    </row>
    <row r="50" spans="1:10" ht="16.5" thickBot="1">
      <c r="A50" s="84" t="s">
        <v>94</v>
      </c>
      <c r="B50" s="84" t="s">
        <v>95</v>
      </c>
      <c r="C50" s="208"/>
      <c r="D50" s="65">
        <v>5.26</v>
      </c>
      <c r="E50" s="99"/>
      <c r="F50" s="227"/>
      <c r="I50" s="33"/>
      <c r="J50" s="34"/>
    </row>
    <row r="51" spans="1:10">
      <c r="A51" s="63" t="s">
        <v>0</v>
      </c>
      <c r="B51" s="64" t="s">
        <v>51</v>
      </c>
      <c r="C51" s="205" t="s">
        <v>96</v>
      </c>
      <c r="D51" s="92">
        <v>2.2400000000000002</v>
      </c>
      <c r="E51" s="96">
        <f>+AVERAGE(D51:D55)</f>
        <v>2.6579999999999999</v>
      </c>
      <c r="F51" s="225" t="s">
        <v>27</v>
      </c>
      <c r="H51" s="101">
        <f>+E51-D51</f>
        <v>0.41799999999999971</v>
      </c>
      <c r="I51" s="106"/>
      <c r="J51" s="35"/>
    </row>
    <row r="52" spans="1:10">
      <c r="A52" s="84" t="s">
        <v>67</v>
      </c>
      <c r="B52" s="84" t="s">
        <v>68</v>
      </c>
      <c r="C52" s="206"/>
      <c r="D52" s="37">
        <v>2.91</v>
      </c>
      <c r="E52" s="97"/>
      <c r="F52" s="226"/>
    </row>
    <row r="53" spans="1:10">
      <c r="A53" s="89" t="s">
        <v>74</v>
      </c>
      <c r="B53" s="89" t="s">
        <v>75</v>
      </c>
      <c r="C53" s="206"/>
      <c r="D53" s="37">
        <v>2.42</v>
      </c>
      <c r="E53" s="97"/>
      <c r="F53" s="226"/>
    </row>
    <row r="54" spans="1:10">
      <c r="A54" s="84" t="s">
        <v>90</v>
      </c>
      <c r="B54" s="84" t="s">
        <v>91</v>
      </c>
      <c r="C54" s="206"/>
      <c r="D54" s="37">
        <v>2.95</v>
      </c>
      <c r="E54" s="97"/>
      <c r="F54" s="226"/>
    </row>
    <row r="55" spans="1:10" ht="27" thickBot="1">
      <c r="A55" s="84" t="s">
        <v>97</v>
      </c>
      <c r="B55" s="87" t="s">
        <v>98</v>
      </c>
      <c r="C55" s="208"/>
      <c r="D55" s="65">
        <v>2.77</v>
      </c>
      <c r="E55" s="99"/>
      <c r="F55" s="227"/>
    </row>
    <row r="56" spans="1:10">
      <c r="A56" s="63" t="s">
        <v>0</v>
      </c>
      <c r="B56" s="64"/>
      <c r="C56" s="205" t="s">
        <v>99</v>
      </c>
      <c r="D56" s="92">
        <v>11.7492</v>
      </c>
      <c r="E56" s="96">
        <f>+AVERAGE(D56:D60)</f>
        <v>9.7118400000000005</v>
      </c>
      <c r="F56" s="225" t="s">
        <v>27</v>
      </c>
      <c r="H56" s="101">
        <f>+E56-D56</f>
        <v>-2.0373599999999996</v>
      </c>
      <c r="I56" s="106"/>
    </row>
    <row r="57" spans="1:10">
      <c r="A57" s="102" t="s">
        <v>100</v>
      </c>
      <c r="B57" s="91" t="s">
        <v>101</v>
      </c>
      <c r="C57" s="206"/>
      <c r="D57" s="37">
        <v>9.57</v>
      </c>
      <c r="E57" s="97"/>
      <c r="F57" s="226"/>
      <c r="G57" s="120"/>
    </row>
    <row r="58" spans="1:10">
      <c r="A58" s="102" t="s">
        <v>87</v>
      </c>
      <c r="B58" s="91" t="s">
        <v>88</v>
      </c>
      <c r="C58" s="206"/>
      <c r="D58" s="37">
        <v>9.2200000000000006</v>
      </c>
      <c r="E58" s="97"/>
      <c r="F58" s="226"/>
    </row>
    <row r="59" spans="1:10">
      <c r="A59" s="102" t="s">
        <v>58</v>
      </c>
      <c r="B59" s="91" t="s">
        <v>59</v>
      </c>
      <c r="C59" s="206"/>
      <c r="D59" s="37">
        <v>9.02</v>
      </c>
      <c r="E59" s="97"/>
      <c r="F59" s="226"/>
      <c r="H59" s="101"/>
    </row>
    <row r="60" spans="1:10" ht="16.5" thickBot="1">
      <c r="A60" s="103" t="s">
        <v>102</v>
      </c>
      <c r="B60" s="104" t="s">
        <v>103</v>
      </c>
      <c r="C60" s="208"/>
      <c r="D60" s="65">
        <v>9</v>
      </c>
      <c r="E60" s="99"/>
      <c r="F60" s="227"/>
    </row>
  </sheetData>
  <mergeCells count="26">
    <mergeCell ref="C56:C60"/>
    <mergeCell ref="F56:F60"/>
    <mergeCell ref="A2:F2"/>
    <mergeCell ref="A3:F3"/>
    <mergeCell ref="F51:F55"/>
    <mergeCell ref="C29:C34"/>
    <mergeCell ref="C51:C55"/>
    <mergeCell ref="C35:C40"/>
    <mergeCell ref="F29:F34"/>
    <mergeCell ref="F35:F40"/>
    <mergeCell ref="C41:C45"/>
    <mergeCell ref="F41:F45"/>
    <mergeCell ref="C46:C50"/>
    <mergeCell ref="F46:F50"/>
    <mergeCell ref="F17:F22"/>
    <mergeCell ref="C23:C28"/>
    <mergeCell ref="F23:F28"/>
    <mergeCell ref="C17:C22"/>
    <mergeCell ref="C10:C16"/>
    <mergeCell ref="F10:F16"/>
    <mergeCell ref="A4:F4"/>
    <mergeCell ref="A8:A9"/>
    <mergeCell ref="C8:C9"/>
    <mergeCell ref="D8:D9"/>
    <mergeCell ref="E8:F8"/>
    <mergeCell ref="B8:B9"/>
  </mergeCells>
  <pageMargins left="0.75" right="0.75" top="1" bottom="1" header="0.5" footer="0.5"/>
  <pageSetup scale="46" orientation="portrait" horizontalDpi="4294967292" verticalDpi="4294967292" r:id="rId1"/>
  <colBreaks count="1" manualBreakCount="1">
    <brk id="6" max="1048575" man="1"/>
  </colBreaks>
  <ignoredErrors>
    <ignoredError sqref="E40 E26:E28 E32:E38 E18:E20 E22:E24 E30 E42:E55" formulaRange="1"/>
  </ignoredErrors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07840-E827-49AD-BF4D-055AEDD0BFFA}">
  <sheetPr>
    <tabColor theme="8"/>
  </sheetPr>
  <dimension ref="A1:H27"/>
  <sheetViews>
    <sheetView view="pageBreakPreview" zoomScaleNormal="100" zoomScaleSheetLayoutView="100" workbookViewId="0">
      <selection activeCell="E12" sqref="E12"/>
    </sheetView>
  </sheetViews>
  <sheetFormatPr defaultColWidth="10" defaultRowHeight="15.75"/>
  <cols>
    <col min="1" max="1" width="4.625" style="9" customWidth="1"/>
    <col min="2" max="2" width="38.875" style="9" customWidth="1"/>
    <col min="3" max="3" width="20.875" style="9" customWidth="1"/>
    <col min="4" max="4" width="13" style="9" bestFit="1" customWidth="1"/>
    <col min="5" max="5" width="15" style="9" customWidth="1"/>
    <col min="6" max="6" width="14.75" style="9" customWidth="1"/>
    <col min="7" max="7" width="6.125" style="9" customWidth="1"/>
    <col min="8" max="8" width="13.625" style="10" bestFit="1" customWidth="1"/>
    <col min="9" max="9" width="49.625" style="9" bestFit="1" customWidth="1"/>
    <col min="10" max="16384" width="10" style="9"/>
  </cols>
  <sheetData>
    <row r="1" spans="1:8">
      <c r="A1" s="81"/>
      <c r="B1" s="81"/>
      <c r="C1" s="81"/>
      <c r="D1" s="81"/>
      <c r="E1" s="81"/>
      <c r="F1" s="81"/>
      <c r="G1" s="81"/>
      <c r="H1" s="82"/>
    </row>
    <row r="2" spans="1:8">
      <c r="A2" s="81"/>
      <c r="B2" s="229" t="s">
        <v>0</v>
      </c>
      <c r="C2" s="229"/>
      <c r="D2" s="229"/>
      <c r="E2" s="229"/>
      <c r="F2" s="229"/>
      <c r="G2" s="229"/>
      <c r="H2" s="82"/>
    </row>
    <row r="3" spans="1:8">
      <c r="A3" s="81"/>
      <c r="B3" s="230" t="s">
        <v>104</v>
      </c>
      <c r="C3" s="230"/>
      <c r="D3" s="230"/>
      <c r="E3" s="230"/>
      <c r="F3" s="230"/>
      <c r="G3" s="230"/>
      <c r="H3" s="82"/>
    </row>
    <row r="4" spans="1:8">
      <c r="A4" s="81"/>
      <c r="B4" s="81"/>
      <c r="C4" s="81"/>
      <c r="D4" s="81"/>
      <c r="E4" s="81"/>
      <c r="F4" s="81"/>
      <c r="G4" s="81"/>
      <c r="H4" s="82"/>
    </row>
    <row r="5" spans="1:8" ht="16.5" thickBot="1">
      <c r="A5" s="81"/>
      <c r="B5" s="83"/>
      <c r="C5" s="83"/>
      <c r="D5" s="83"/>
      <c r="E5" s="81"/>
      <c r="F5" s="81"/>
      <c r="G5" s="81"/>
      <c r="H5" s="82"/>
    </row>
    <row r="6" spans="1:8" ht="17.25" thickBot="1">
      <c r="B6" s="231" t="s">
        <v>105</v>
      </c>
      <c r="C6" s="232"/>
      <c r="D6" s="232"/>
      <c r="E6" s="232"/>
      <c r="F6" s="10"/>
      <c r="G6" s="82"/>
      <c r="H6" s="82"/>
    </row>
    <row r="7" spans="1:8" ht="33.75" thickBot="1">
      <c r="A7" s="81"/>
      <c r="B7" s="31" t="s">
        <v>106</v>
      </c>
      <c r="C7" s="31" t="s">
        <v>107</v>
      </c>
      <c r="D7" s="31" t="s">
        <v>108</v>
      </c>
      <c r="E7" s="32" t="s">
        <v>13</v>
      </c>
      <c r="F7" s="82"/>
      <c r="G7" s="82"/>
      <c r="H7" s="82"/>
    </row>
    <row r="8" spans="1:8" ht="16.5" thickBot="1">
      <c r="A8" s="81"/>
      <c r="B8" s="28" t="s">
        <v>109</v>
      </c>
      <c r="C8" s="60" t="s">
        <v>110</v>
      </c>
      <c r="D8" s="153" t="s">
        <v>111</v>
      </c>
      <c r="E8" s="29">
        <v>4442262000</v>
      </c>
      <c r="F8" s="82"/>
      <c r="G8" s="82"/>
      <c r="H8" s="82"/>
    </row>
    <row r="9" spans="1:8" ht="16.5" thickBot="1">
      <c r="A9" s="81"/>
      <c r="B9" s="28" t="s">
        <v>112</v>
      </c>
      <c r="C9" s="28" t="s">
        <v>113</v>
      </c>
      <c r="D9" s="153" t="s">
        <v>111</v>
      </c>
      <c r="E9" s="29">
        <v>249400000</v>
      </c>
      <c r="F9" s="82"/>
      <c r="G9" s="82"/>
      <c r="H9" s="82"/>
    </row>
    <row r="10" spans="1:8" ht="16.5" thickBot="1">
      <c r="A10" s="81"/>
      <c r="B10" s="28" t="s">
        <v>114</v>
      </c>
      <c r="C10" s="28" t="s">
        <v>115</v>
      </c>
      <c r="D10" s="153" t="s">
        <v>116</v>
      </c>
      <c r="E10" s="29">
        <v>380000000</v>
      </c>
      <c r="F10" s="82"/>
      <c r="G10" s="82"/>
      <c r="H10" s="82"/>
    </row>
    <row r="11" spans="1:8" ht="16.5" thickBot="1">
      <c r="A11" s="81"/>
      <c r="B11" s="234" t="s">
        <v>117</v>
      </c>
      <c r="C11" s="235"/>
      <c r="D11" s="236"/>
      <c r="E11" s="29">
        <f>(+E8+E9+E10)*0.05</f>
        <v>253583100</v>
      </c>
      <c r="F11" s="82"/>
      <c r="G11" s="82"/>
      <c r="H11" s="82"/>
    </row>
    <row r="12" spans="1:8" ht="17.25" thickBot="1">
      <c r="A12" s="81"/>
      <c r="B12" s="233" t="s">
        <v>23</v>
      </c>
      <c r="C12" s="233"/>
      <c r="D12" s="233"/>
      <c r="E12" s="30">
        <f>+E8+E9+E10+E11</f>
        <v>5325245100</v>
      </c>
      <c r="F12" s="82"/>
      <c r="G12" s="82"/>
      <c r="H12" s="82"/>
    </row>
    <row r="13" spans="1:8" ht="16.5" thickBot="1">
      <c r="A13" s="81"/>
      <c r="F13" s="81"/>
      <c r="G13" s="81"/>
      <c r="H13" s="82"/>
    </row>
    <row r="14" spans="1:8" ht="33.75" thickBot="1">
      <c r="A14" s="81"/>
      <c r="B14" s="43" t="s">
        <v>118</v>
      </c>
      <c r="C14" s="43" t="s">
        <v>13</v>
      </c>
      <c r="D14" s="44" t="s">
        <v>119</v>
      </c>
      <c r="E14" s="44" t="s">
        <v>120</v>
      </c>
      <c r="F14" s="43" t="s">
        <v>121</v>
      </c>
      <c r="G14" s="81"/>
      <c r="H14" s="82"/>
    </row>
    <row r="15" spans="1:8" ht="16.5" thickBot="1">
      <c r="A15" s="81"/>
      <c r="B15" s="28" t="s">
        <v>105</v>
      </c>
      <c r="C15" s="124">
        <f>+E12</f>
        <v>5325245100</v>
      </c>
      <c r="D15" s="46">
        <f>+D16</f>
        <v>0.05</v>
      </c>
      <c r="E15" s="45">
        <f>+C15*0.05</f>
        <v>266262255</v>
      </c>
      <c r="F15" s="45">
        <f t="shared" ref="F15:F23" si="0">+C15+E15</f>
        <v>5591507355</v>
      </c>
      <c r="G15" s="81"/>
      <c r="H15" s="82"/>
    </row>
    <row r="16" spans="1:8" ht="16.5" thickBot="1">
      <c r="A16" s="81"/>
      <c r="B16" s="28" t="s">
        <v>122</v>
      </c>
      <c r="C16" s="124">
        <v>2138629354.49001</v>
      </c>
      <c r="D16" s="46">
        <v>0.05</v>
      </c>
      <c r="E16" s="45">
        <f t="shared" ref="E16:E20" si="1">+C16*5%</f>
        <v>106931467.72450051</v>
      </c>
      <c r="F16" s="45">
        <f t="shared" si="0"/>
        <v>2245560822.2145104</v>
      </c>
      <c r="G16" s="81"/>
      <c r="H16" s="82"/>
    </row>
    <row r="17" spans="1:8" ht="16.5" thickBot="1">
      <c r="A17" s="81"/>
      <c r="B17" s="28" t="s">
        <v>123</v>
      </c>
      <c r="C17" s="124">
        <v>838921061</v>
      </c>
      <c r="D17" s="46">
        <v>0.05</v>
      </c>
      <c r="E17" s="45">
        <f t="shared" si="1"/>
        <v>41946053.050000004</v>
      </c>
      <c r="F17" s="45">
        <f t="shared" si="0"/>
        <v>880867114.04999995</v>
      </c>
      <c r="G17" s="81"/>
      <c r="H17" s="82"/>
    </row>
    <row r="18" spans="1:8" ht="39" thickBot="1">
      <c r="A18" s="81"/>
      <c r="B18" s="75" t="s">
        <v>124</v>
      </c>
      <c r="C18" s="124">
        <v>36641073907.029999</v>
      </c>
      <c r="D18" s="46">
        <v>0.05</v>
      </c>
      <c r="E18" s="45">
        <f t="shared" si="1"/>
        <v>1832053695.3515</v>
      </c>
      <c r="F18" s="45">
        <f t="shared" si="0"/>
        <v>38473127602.3815</v>
      </c>
      <c r="G18" s="81"/>
      <c r="H18" s="82"/>
    </row>
    <row r="19" spans="1:8" ht="16.5" thickBot="1">
      <c r="A19" s="81"/>
      <c r="B19" s="28" t="s">
        <v>125</v>
      </c>
      <c r="C19" s="124">
        <v>2647455079.1400576</v>
      </c>
      <c r="D19" s="46">
        <v>0.05</v>
      </c>
      <c r="E19" s="45">
        <f t="shared" si="1"/>
        <v>132372753.95700288</v>
      </c>
      <c r="F19" s="45">
        <f t="shared" si="0"/>
        <v>2779827833.0970602</v>
      </c>
      <c r="G19" s="81"/>
      <c r="H19" s="82"/>
    </row>
    <row r="20" spans="1:8" ht="16.5" thickBot="1">
      <c r="A20" s="81"/>
      <c r="B20" s="28" t="s">
        <v>126</v>
      </c>
      <c r="C20" s="124">
        <v>1218720976.8900001</v>
      </c>
      <c r="D20" s="46">
        <v>0.05</v>
      </c>
      <c r="E20" s="45">
        <f t="shared" si="1"/>
        <v>60936048.844500005</v>
      </c>
      <c r="F20" s="45">
        <f t="shared" si="0"/>
        <v>1279657025.7345002</v>
      </c>
      <c r="G20" s="81"/>
      <c r="H20" s="82"/>
    </row>
    <row r="21" spans="1:8" ht="16.5" thickBot="1">
      <c r="A21" s="81"/>
      <c r="B21" s="28" t="s">
        <v>127</v>
      </c>
      <c r="C21" s="45">
        <v>2000000</v>
      </c>
      <c r="D21" s="46">
        <v>0</v>
      </c>
      <c r="E21" s="45">
        <v>0</v>
      </c>
      <c r="F21" s="45">
        <f t="shared" si="0"/>
        <v>2000000</v>
      </c>
      <c r="G21" s="81"/>
      <c r="H21" s="82"/>
    </row>
    <row r="22" spans="1:8" ht="16.5" thickBot="1">
      <c r="A22" s="81"/>
      <c r="B22" s="28" t="s">
        <v>128</v>
      </c>
      <c r="C22" s="45">
        <v>25619873072.650002</v>
      </c>
      <c r="D22" s="46">
        <v>0</v>
      </c>
      <c r="E22" s="45">
        <v>0</v>
      </c>
      <c r="F22" s="45">
        <f t="shared" si="0"/>
        <v>25619873072.650002</v>
      </c>
      <c r="G22" s="81"/>
      <c r="H22" s="82"/>
    </row>
    <row r="23" spans="1:8" ht="16.5" thickBot="1">
      <c r="A23" s="81"/>
      <c r="B23" s="28" t="s">
        <v>129</v>
      </c>
      <c r="C23" s="45">
        <v>1128877135.8900001</v>
      </c>
      <c r="D23" s="46">
        <v>0</v>
      </c>
      <c r="E23" s="45">
        <v>0</v>
      </c>
      <c r="F23" s="45">
        <f t="shared" si="0"/>
        <v>1128877135.8900001</v>
      </c>
      <c r="G23" s="81"/>
      <c r="H23" s="82"/>
    </row>
    <row r="24" spans="1:8" ht="26.25" thickBot="1">
      <c r="A24" s="81"/>
      <c r="B24" s="80" t="s">
        <v>130</v>
      </c>
      <c r="C24" s="45">
        <f>+C15*0.1</f>
        <v>532524510</v>
      </c>
      <c r="D24" s="46">
        <v>0</v>
      </c>
      <c r="E24" s="45">
        <f t="shared" ref="E24:E25" si="2">C24*D24</f>
        <v>0</v>
      </c>
      <c r="F24" s="45">
        <f t="shared" ref="F24:F25" si="3">+C24+E24</f>
        <v>532524510</v>
      </c>
      <c r="G24" s="81"/>
      <c r="H24" s="82"/>
    </row>
    <row r="25" spans="1:8" ht="16.5" thickBot="1">
      <c r="A25" s="81"/>
      <c r="B25" s="28" t="s">
        <v>131</v>
      </c>
      <c r="C25" s="45">
        <f>+C15*0.1</f>
        <v>532524510</v>
      </c>
      <c r="D25" s="46">
        <v>0</v>
      </c>
      <c r="E25" s="45">
        <f t="shared" si="2"/>
        <v>0</v>
      </c>
      <c r="F25" s="45">
        <f t="shared" si="3"/>
        <v>532524510</v>
      </c>
      <c r="G25" s="81"/>
      <c r="H25" s="82"/>
    </row>
    <row r="26" spans="1:8" ht="17.25" thickBot="1">
      <c r="A26" s="81"/>
      <c r="B26" s="31" t="s">
        <v>23</v>
      </c>
      <c r="C26" s="47">
        <f>SUM(C15:C25)</f>
        <v>76625844707.090073</v>
      </c>
      <c r="D26" s="48"/>
      <c r="E26" s="47">
        <f>SUM(E15:E25)</f>
        <v>2440502273.9275031</v>
      </c>
      <c r="F26" s="47">
        <f>SUM(F15:F25)</f>
        <v>79066346981.017563</v>
      </c>
      <c r="G26" s="81"/>
      <c r="H26" s="82"/>
    </row>
    <row r="27" spans="1:8">
      <c r="B27" s="81"/>
      <c r="C27" s="81"/>
      <c r="D27" s="81"/>
      <c r="E27" s="81"/>
      <c r="F27" s="81"/>
    </row>
  </sheetData>
  <mergeCells count="5">
    <mergeCell ref="B2:G2"/>
    <mergeCell ref="B3:G3"/>
    <mergeCell ref="B6:E6"/>
    <mergeCell ref="B12:D12"/>
    <mergeCell ref="B11:D11"/>
  </mergeCells>
  <pageMargins left="0.7" right="0.7" top="0.75" bottom="0.75" header="0.3" footer="0.3"/>
  <pageSetup scale="6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/>
  </sheetPr>
  <dimension ref="A2:N28"/>
  <sheetViews>
    <sheetView showGridLines="0" tabSelected="1" topLeftCell="A17" workbookViewId="0">
      <selection activeCell="L30" sqref="L30"/>
    </sheetView>
  </sheetViews>
  <sheetFormatPr defaultColWidth="10" defaultRowHeight="15.75"/>
  <cols>
    <col min="1" max="1" width="3" style="6" customWidth="1"/>
    <col min="2" max="2" width="7" style="6" customWidth="1"/>
    <col min="3" max="3" width="10.625" style="6" bestFit="1" customWidth="1"/>
    <col min="4" max="4" width="17.125" style="6" bestFit="1" customWidth="1"/>
    <col min="5" max="5" width="25.5" style="6" bestFit="1" customWidth="1"/>
    <col min="6" max="6" width="8" style="6" bestFit="1" customWidth="1"/>
    <col min="7" max="7" width="4.875" style="6" bestFit="1" customWidth="1"/>
    <col min="8" max="8" width="11.125" style="6" bestFit="1" customWidth="1"/>
    <col min="9" max="9" width="13" style="6" bestFit="1" customWidth="1"/>
    <col min="10" max="10" width="17.875" style="6" bestFit="1" customWidth="1"/>
    <col min="11" max="11" width="10.875" style="6" customWidth="1"/>
    <col min="12" max="12" width="17.5" style="6" customWidth="1"/>
    <col min="13" max="13" width="2.875" style="6" customWidth="1"/>
    <col min="14" max="14" width="14.375" style="6" customWidth="1"/>
    <col min="15" max="16384" width="10" style="6"/>
  </cols>
  <sheetData>
    <row r="2" spans="1:14">
      <c r="A2" s="191" t="s">
        <v>0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4">
      <c r="A3" s="191" t="s">
        <v>132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</row>
    <row r="4" spans="1:14" ht="16.5" thickBot="1"/>
    <row r="5" spans="1:14" ht="32.25" thickBot="1">
      <c r="A5" s="49" t="s">
        <v>133</v>
      </c>
      <c r="B5" s="50" t="s">
        <v>134</v>
      </c>
      <c r="C5" s="50" t="s">
        <v>135</v>
      </c>
      <c r="D5" s="50" t="s">
        <v>136</v>
      </c>
      <c r="E5" s="50" t="s">
        <v>137</v>
      </c>
      <c r="F5" s="50" t="s">
        <v>138</v>
      </c>
      <c r="G5" s="50" t="s">
        <v>139</v>
      </c>
      <c r="H5" s="50" t="s">
        <v>140</v>
      </c>
      <c r="I5" s="50" t="s">
        <v>141</v>
      </c>
      <c r="J5" s="50" t="s">
        <v>142</v>
      </c>
      <c r="K5" s="50" t="s">
        <v>143</v>
      </c>
      <c r="L5" s="50" t="s">
        <v>144</v>
      </c>
      <c r="N5" s="179" t="s">
        <v>145</v>
      </c>
    </row>
    <row r="6" spans="1:14" s="7" customFormat="1" ht="16.5" thickBot="1">
      <c r="A6" s="51">
        <v>1</v>
      </c>
      <c r="B6" s="52" t="s">
        <v>146</v>
      </c>
      <c r="C6" s="53" t="s">
        <v>147</v>
      </c>
      <c r="D6" s="52" t="s">
        <v>148</v>
      </c>
      <c r="E6" s="69" t="s">
        <v>149</v>
      </c>
      <c r="F6" s="52">
        <v>2012</v>
      </c>
      <c r="G6" s="54">
        <v>2261</v>
      </c>
      <c r="H6" s="55">
        <v>5</v>
      </c>
      <c r="I6" s="52" t="s">
        <v>150</v>
      </c>
      <c r="J6" s="52" t="s">
        <v>151</v>
      </c>
      <c r="K6" s="79" t="s">
        <v>152</v>
      </c>
      <c r="L6" s="56">
        <v>53995060</v>
      </c>
      <c r="N6" s="176">
        <f>+L6</f>
        <v>53995060</v>
      </c>
    </row>
    <row r="7" spans="1:14" s="7" customFormat="1" ht="16.5" thickBot="1">
      <c r="A7" s="51">
        <v>2</v>
      </c>
      <c r="B7" s="52" t="s">
        <v>153</v>
      </c>
      <c r="C7" s="53" t="s">
        <v>147</v>
      </c>
      <c r="D7" s="52" t="s">
        <v>148</v>
      </c>
      <c r="E7" s="69" t="s">
        <v>149</v>
      </c>
      <c r="F7" s="52">
        <v>2012</v>
      </c>
      <c r="G7" s="54">
        <v>2261</v>
      </c>
      <c r="H7" s="55">
        <v>5</v>
      </c>
      <c r="I7" s="52" t="s">
        <v>154</v>
      </c>
      <c r="J7" s="52" t="s">
        <v>155</v>
      </c>
      <c r="K7" s="79" t="s">
        <v>152</v>
      </c>
      <c r="L7" s="56">
        <v>53995060</v>
      </c>
      <c r="N7" s="176">
        <f t="shared" ref="N7:N18" si="0">+L7</f>
        <v>53995060</v>
      </c>
    </row>
    <row r="8" spans="1:14" s="7" customFormat="1" ht="16.5" thickBot="1">
      <c r="A8" s="51">
        <v>3</v>
      </c>
      <c r="B8" s="52" t="s">
        <v>156</v>
      </c>
      <c r="C8" s="53" t="s">
        <v>147</v>
      </c>
      <c r="D8" s="52" t="s">
        <v>148</v>
      </c>
      <c r="E8" s="69" t="s">
        <v>149</v>
      </c>
      <c r="F8" s="52">
        <v>2012</v>
      </c>
      <c r="G8" s="54">
        <v>2261</v>
      </c>
      <c r="H8" s="55">
        <v>5</v>
      </c>
      <c r="I8" s="52" t="s">
        <v>157</v>
      </c>
      <c r="J8" s="52" t="s">
        <v>158</v>
      </c>
      <c r="K8" s="79" t="s">
        <v>152</v>
      </c>
      <c r="L8" s="56">
        <v>53995060</v>
      </c>
      <c r="N8" s="176">
        <f t="shared" si="0"/>
        <v>53995060</v>
      </c>
    </row>
    <row r="9" spans="1:14" s="7" customFormat="1" ht="16.5" thickBot="1">
      <c r="A9" s="51">
        <v>4</v>
      </c>
      <c r="B9" s="52" t="s">
        <v>159</v>
      </c>
      <c r="C9" s="53" t="s">
        <v>147</v>
      </c>
      <c r="D9" s="52" t="s">
        <v>148</v>
      </c>
      <c r="E9" s="69" t="s">
        <v>149</v>
      </c>
      <c r="F9" s="52">
        <v>2012</v>
      </c>
      <c r="G9" s="54">
        <v>2261</v>
      </c>
      <c r="H9" s="55">
        <v>5</v>
      </c>
      <c r="I9" s="52" t="s">
        <v>160</v>
      </c>
      <c r="J9" s="52" t="s">
        <v>161</v>
      </c>
      <c r="K9" s="79" t="s">
        <v>152</v>
      </c>
      <c r="L9" s="56">
        <v>53995060</v>
      </c>
      <c r="N9" s="176">
        <f t="shared" si="0"/>
        <v>53995060</v>
      </c>
    </row>
    <row r="10" spans="1:14" s="7" customFormat="1" ht="16.5" thickBot="1">
      <c r="A10" s="51">
        <v>5</v>
      </c>
      <c r="B10" s="52" t="s">
        <v>162</v>
      </c>
      <c r="C10" s="53" t="s">
        <v>147</v>
      </c>
      <c r="D10" s="52" t="s">
        <v>148</v>
      </c>
      <c r="E10" s="69" t="s">
        <v>149</v>
      </c>
      <c r="F10" s="52">
        <v>2012</v>
      </c>
      <c r="G10" s="54">
        <v>2261</v>
      </c>
      <c r="H10" s="55">
        <v>5</v>
      </c>
      <c r="I10" s="52" t="s">
        <v>163</v>
      </c>
      <c r="J10" s="52" t="s">
        <v>164</v>
      </c>
      <c r="K10" s="79" t="s">
        <v>152</v>
      </c>
      <c r="L10" s="56">
        <v>53995060</v>
      </c>
      <c r="N10" s="176">
        <f t="shared" si="0"/>
        <v>53995060</v>
      </c>
    </row>
    <row r="11" spans="1:14" s="7" customFormat="1" ht="16.5" thickBot="1">
      <c r="A11" s="51">
        <v>6</v>
      </c>
      <c r="B11" s="52" t="s">
        <v>165</v>
      </c>
      <c r="C11" s="53" t="s">
        <v>147</v>
      </c>
      <c r="D11" s="52" t="s">
        <v>148</v>
      </c>
      <c r="E11" s="69" t="s">
        <v>149</v>
      </c>
      <c r="F11" s="52">
        <v>2012</v>
      </c>
      <c r="G11" s="54">
        <v>2261</v>
      </c>
      <c r="H11" s="55">
        <v>5</v>
      </c>
      <c r="I11" s="52" t="s">
        <v>166</v>
      </c>
      <c r="J11" s="52" t="s">
        <v>167</v>
      </c>
      <c r="K11" s="79" t="s">
        <v>152</v>
      </c>
      <c r="L11" s="56">
        <v>53995060</v>
      </c>
      <c r="N11" s="176">
        <f t="shared" si="0"/>
        <v>53995060</v>
      </c>
    </row>
    <row r="12" spans="1:14" s="7" customFormat="1" ht="16.5" thickBot="1">
      <c r="A12" s="51">
        <v>7</v>
      </c>
      <c r="B12" s="52" t="s">
        <v>168</v>
      </c>
      <c r="C12" s="53" t="s">
        <v>147</v>
      </c>
      <c r="D12" s="52" t="s">
        <v>148</v>
      </c>
      <c r="E12" s="69" t="s">
        <v>149</v>
      </c>
      <c r="F12" s="52">
        <v>2012</v>
      </c>
      <c r="G12" s="54">
        <v>2261</v>
      </c>
      <c r="H12" s="55">
        <v>5</v>
      </c>
      <c r="I12" s="52" t="s">
        <v>169</v>
      </c>
      <c r="J12" s="52" t="s">
        <v>170</v>
      </c>
      <c r="K12" s="79" t="s">
        <v>152</v>
      </c>
      <c r="L12" s="56">
        <v>53995060</v>
      </c>
      <c r="N12" s="176">
        <f t="shared" si="0"/>
        <v>53995060</v>
      </c>
    </row>
    <row r="13" spans="1:14" s="7" customFormat="1" ht="16.5" thickBot="1">
      <c r="A13" s="51">
        <v>8</v>
      </c>
      <c r="B13" s="52" t="s">
        <v>171</v>
      </c>
      <c r="C13" s="53" t="s">
        <v>172</v>
      </c>
      <c r="D13" s="52" t="s">
        <v>173</v>
      </c>
      <c r="E13" s="69" t="s">
        <v>174</v>
      </c>
      <c r="F13" s="52">
        <v>2013</v>
      </c>
      <c r="G13" s="54">
        <v>1998</v>
      </c>
      <c r="H13" s="55">
        <v>5</v>
      </c>
      <c r="I13" s="52" t="s">
        <v>175</v>
      </c>
      <c r="J13" s="52" t="s">
        <v>176</v>
      </c>
      <c r="K13" s="129" t="s">
        <v>177</v>
      </c>
      <c r="L13" s="105">
        <v>51500000</v>
      </c>
      <c r="N13" s="176">
        <f t="shared" si="0"/>
        <v>51500000</v>
      </c>
    </row>
    <row r="14" spans="1:14" s="7" customFormat="1" ht="16.5" thickBot="1">
      <c r="A14" s="51">
        <v>9</v>
      </c>
      <c r="B14" s="52" t="s">
        <v>178</v>
      </c>
      <c r="C14" s="53" t="s">
        <v>179</v>
      </c>
      <c r="D14" s="52" t="s">
        <v>180</v>
      </c>
      <c r="E14" s="69" t="s">
        <v>181</v>
      </c>
      <c r="F14" s="52">
        <v>2001</v>
      </c>
      <c r="G14" s="54">
        <v>2300</v>
      </c>
      <c r="H14" s="55">
        <v>2</v>
      </c>
      <c r="I14" s="52" t="s">
        <v>182</v>
      </c>
      <c r="J14" s="52" t="s">
        <v>183</v>
      </c>
      <c r="K14" s="129" t="s">
        <v>184</v>
      </c>
      <c r="L14" s="105">
        <v>24500000</v>
      </c>
      <c r="N14" s="176">
        <f t="shared" si="0"/>
        <v>24500000</v>
      </c>
    </row>
    <row r="15" spans="1:14" s="7" customFormat="1" ht="16.5" thickBot="1">
      <c r="A15" s="51">
        <v>10</v>
      </c>
      <c r="B15" s="52" t="s">
        <v>185</v>
      </c>
      <c r="C15" s="53" t="s">
        <v>179</v>
      </c>
      <c r="D15" s="52" t="s">
        <v>186</v>
      </c>
      <c r="E15" s="69" t="s">
        <v>187</v>
      </c>
      <c r="F15" s="52">
        <v>2004</v>
      </c>
      <c r="G15" s="54">
        <v>2800</v>
      </c>
      <c r="H15" s="55">
        <v>5</v>
      </c>
      <c r="I15" s="52">
        <v>990256</v>
      </c>
      <c r="J15" s="52" t="s">
        <v>188</v>
      </c>
      <c r="K15" s="129" t="s">
        <v>189</v>
      </c>
      <c r="L15" s="105">
        <v>51300000</v>
      </c>
      <c r="N15" s="176">
        <f t="shared" si="0"/>
        <v>51300000</v>
      </c>
    </row>
    <row r="16" spans="1:14" s="7" customFormat="1" ht="16.5" thickBot="1">
      <c r="A16" s="51">
        <v>11</v>
      </c>
      <c r="B16" s="52" t="s">
        <v>190</v>
      </c>
      <c r="C16" s="53" t="s">
        <v>179</v>
      </c>
      <c r="D16" s="52" t="s">
        <v>186</v>
      </c>
      <c r="E16" s="69" t="s">
        <v>187</v>
      </c>
      <c r="F16" s="52">
        <v>2004</v>
      </c>
      <c r="G16" s="54">
        <v>2800</v>
      </c>
      <c r="H16" s="55">
        <v>5</v>
      </c>
      <c r="I16" s="52">
        <v>989088</v>
      </c>
      <c r="J16" s="52" t="s">
        <v>191</v>
      </c>
      <c r="K16" s="129" t="s">
        <v>189</v>
      </c>
      <c r="L16" s="105">
        <v>51300000</v>
      </c>
      <c r="N16" s="176">
        <f t="shared" si="0"/>
        <v>51300000</v>
      </c>
    </row>
    <row r="17" spans="1:14" s="7" customFormat="1" ht="16.5" thickBot="1">
      <c r="A17" s="51">
        <v>12</v>
      </c>
      <c r="B17" s="52" t="s">
        <v>192</v>
      </c>
      <c r="C17" s="53" t="s">
        <v>193</v>
      </c>
      <c r="D17" s="52" t="s">
        <v>194</v>
      </c>
      <c r="E17" s="69" t="s">
        <v>195</v>
      </c>
      <c r="F17" s="52">
        <v>2017</v>
      </c>
      <c r="G17" s="54">
        <v>3956</v>
      </c>
      <c r="H17" s="55">
        <v>7</v>
      </c>
      <c r="I17" s="52" t="s">
        <v>196</v>
      </c>
      <c r="J17" s="52" t="s">
        <v>197</v>
      </c>
      <c r="K17" s="129" t="s">
        <v>198</v>
      </c>
      <c r="L17" s="105">
        <v>205100000</v>
      </c>
      <c r="N17" s="176">
        <f t="shared" si="0"/>
        <v>205100000</v>
      </c>
    </row>
    <row r="18" spans="1:14" s="7" customFormat="1" ht="16.5" thickBot="1">
      <c r="A18" s="51">
        <v>13</v>
      </c>
      <c r="B18" s="52" t="s">
        <v>199</v>
      </c>
      <c r="C18" s="53" t="s">
        <v>193</v>
      </c>
      <c r="D18" s="52" t="s">
        <v>200</v>
      </c>
      <c r="E18" s="69" t="s">
        <v>195</v>
      </c>
      <c r="F18" s="52">
        <v>2016</v>
      </c>
      <c r="G18" s="54">
        <v>3956</v>
      </c>
      <c r="H18" s="55">
        <v>7</v>
      </c>
      <c r="I18" s="52" t="s">
        <v>201</v>
      </c>
      <c r="J18" s="52" t="s">
        <v>202</v>
      </c>
      <c r="K18" s="129" t="s">
        <v>203</v>
      </c>
      <c r="L18" s="105">
        <v>146300000</v>
      </c>
      <c r="N18" s="176">
        <f t="shared" si="0"/>
        <v>146300000</v>
      </c>
    </row>
    <row r="19" spans="1:14" s="7" customFormat="1" ht="16.5" thickBot="1">
      <c r="A19" s="51">
        <v>14</v>
      </c>
      <c r="B19" s="52" t="s">
        <v>204</v>
      </c>
      <c r="C19" s="53" t="s">
        <v>205</v>
      </c>
      <c r="D19" s="52" t="s">
        <v>206</v>
      </c>
      <c r="E19" s="69" t="s">
        <v>174</v>
      </c>
      <c r="F19" s="52">
        <v>2013</v>
      </c>
      <c r="G19" s="54">
        <v>1600</v>
      </c>
      <c r="H19" s="55">
        <v>5</v>
      </c>
      <c r="I19" s="52" t="s">
        <v>207</v>
      </c>
      <c r="J19" s="52" t="s">
        <v>208</v>
      </c>
      <c r="K19" s="79" t="s">
        <v>209</v>
      </c>
      <c r="L19" s="56">
        <v>24024380</v>
      </c>
      <c r="N19" s="177">
        <f>+L11</f>
        <v>53995060</v>
      </c>
    </row>
    <row r="20" spans="1:14" s="7" customFormat="1" ht="16.5" thickBot="1">
      <c r="A20" s="51">
        <v>15</v>
      </c>
      <c r="B20" s="52" t="s">
        <v>210</v>
      </c>
      <c r="C20" s="53" t="s">
        <v>205</v>
      </c>
      <c r="D20" s="52" t="s">
        <v>206</v>
      </c>
      <c r="E20" s="69" t="s">
        <v>174</v>
      </c>
      <c r="F20" s="52">
        <v>2013</v>
      </c>
      <c r="G20" s="54">
        <v>1600</v>
      </c>
      <c r="H20" s="55">
        <v>5</v>
      </c>
      <c r="I20" s="184" t="s">
        <v>211</v>
      </c>
      <c r="J20" s="52" t="s">
        <v>212</v>
      </c>
      <c r="K20" s="79" t="s">
        <v>209</v>
      </c>
      <c r="L20" s="56">
        <v>24024380</v>
      </c>
      <c r="N20" s="177">
        <f>+N19</f>
        <v>53995060</v>
      </c>
    </row>
    <row r="21" spans="1:14" ht="16.5" thickBot="1">
      <c r="A21" s="190" t="s">
        <v>23</v>
      </c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L21" s="57">
        <f>SUM(L6:L20)</f>
        <v>956014180</v>
      </c>
      <c r="N21" s="178">
        <f>SUM(N6:N20)</f>
        <v>1015955540</v>
      </c>
    </row>
    <row r="22" spans="1:14" ht="15.75" customHeight="1">
      <c r="A22" s="189" t="s">
        <v>213</v>
      </c>
      <c r="B22" s="189"/>
      <c r="C22" s="189"/>
      <c r="D22" s="189"/>
      <c r="E22" s="189"/>
      <c r="F22" s="189"/>
      <c r="G22" s="189"/>
      <c r="H22" s="189"/>
      <c r="I22" s="189"/>
      <c r="J22" s="189"/>
      <c r="K22" s="189"/>
      <c r="L22" s="189"/>
    </row>
    <row r="23" spans="1:14" ht="15.75" customHeight="1">
      <c r="A23" s="155"/>
      <c r="B23" s="155"/>
      <c r="C23" s="155"/>
      <c r="D23" s="155"/>
      <c r="E23" s="155"/>
      <c r="F23" s="155"/>
      <c r="G23" s="155"/>
      <c r="H23" s="155"/>
      <c r="I23" s="155"/>
      <c r="J23" s="155"/>
      <c r="K23" s="155"/>
      <c r="L23" s="155"/>
    </row>
    <row r="24" spans="1:14" ht="15.75" customHeight="1">
      <c r="A24" s="155"/>
      <c r="B24" s="155"/>
      <c r="C24" s="155"/>
      <c r="D24" s="155"/>
      <c r="E24" s="188" t="s">
        <v>214</v>
      </c>
      <c r="F24" s="188"/>
      <c r="G24" s="188"/>
      <c r="H24" s="188"/>
      <c r="I24" s="188"/>
      <c r="J24" s="188"/>
      <c r="K24" s="188"/>
      <c r="L24" s="155"/>
    </row>
    <row r="25" spans="1:14">
      <c r="D25" s="185" t="s">
        <v>215</v>
      </c>
      <c r="E25" s="187" t="s">
        <v>108</v>
      </c>
      <c r="F25" s="187"/>
      <c r="G25" s="187"/>
      <c r="H25" s="187"/>
      <c r="I25" s="187"/>
      <c r="J25" s="187"/>
      <c r="K25" s="187"/>
    </row>
    <row r="26" spans="1:14" ht="23.25" customHeight="1">
      <c r="D26" s="182">
        <v>29438</v>
      </c>
      <c r="E26" s="192" t="s">
        <v>216</v>
      </c>
      <c r="F26" s="192"/>
      <c r="G26" s="192"/>
      <c r="H26" s="192"/>
      <c r="I26" s="192"/>
      <c r="J26" s="192"/>
      <c r="K26" s="192"/>
    </row>
    <row r="27" spans="1:14" ht="23.25" customHeight="1">
      <c r="D27" s="183">
        <v>29439</v>
      </c>
      <c r="E27" s="186" t="s">
        <v>217</v>
      </c>
      <c r="F27" s="186"/>
      <c r="G27" s="186"/>
      <c r="H27" s="186"/>
      <c r="I27" s="186"/>
      <c r="J27" s="186"/>
      <c r="K27" s="186"/>
    </row>
    <row r="28" spans="1:14">
      <c r="J28" s="11"/>
    </row>
  </sheetData>
  <mergeCells count="8">
    <mergeCell ref="A3:L3"/>
    <mergeCell ref="A2:L2"/>
    <mergeCell ref="E26:K26"/>
    <mergeCell ref="E27:K27"/>
    <mergeCell ref="E25:K25"/>
    <mergeCell ref="E24:K24"/>
    <mergeCell ref="A22:L22"/>
    <mergeCell ref="A21:K21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/>
  </sheetPr>
  <dimension ref="A2:R18"/>
  <sheetViews>
    <sheetView showGridLines="0" view="pageBreakPreview" zoomScaleNormal="100" zoomScaleSheetLayoutView="100" workbookViewId="0">
      <selection activeCell="E14" sqref="E14"/>
    </sheetView>
  </sheetViews>
  <sheetFormatPr defaultColWidth="10" defaultRowHeight="12.75"/>
  <cols>
    <col min="1" max="1" width="3" style="8" bestFit="1" customWidth="1"/>
    <col min="2" max="2" width="7" style="8" bestFit="1" customWidth="1"/>
    <col min="3" max="3" width="10.625" style="8" bestFit="1" customWidth="1"/>
    <col min="4" max="4" width="17.125" style="8" bestFit="1" customWidth="1"/>
    <col min="5" max="5" width="25.5" style="8" bestFit="1" customWidth="1"/>
    <col min="6" max="6" width="8" style="8" bestFit="1" customWidth="1"/>
    <col min="7" max="7" width="4.875" style="8" bestFit="1" customWidth="1"/>
    <col min="8" max="8" width="3.375" style="8" bestFit="1" customWidth="1"/>
    <col min="9" max="9" width="3.625" style="8" bestFit="1" customWidth="1"/>
    <col min="10" max="10" width="13" style="8" bestFit="1" customWidth="1"/>
    <col min="11" max="11" width="17.875" style="8" bestFit="1" customWidth="1"/>
    <col min="12" max="12" width="7.375" style="8" customWidth="1"/>
    <col min="13" max="13" width="13.125" style="8" customWidth="1"/>
    <col min="14" max="14" width="10.125" style="8" bestFit="1" customWidth="1"/>
    <col min="15" max="15" width="11.375" style="8" customWidth="1"/>
    <col min="16" max="16384" width="10" style="8"/>
  </cols>
  <sheetData>
    <row r="2" spans="1:18" ht="15.75">
      <c r="A2" s="191" t="s">
        <v>0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</row>
    <row r="3" spans="1:18" ht="19.5" customHeight="1">
      <c r="A3" s="237" t="s">
        <v>218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</row>
    <row r="4" spans="1:18" ht="16.5" customHeight="1" thickBot="1">
      <c r="A4" s="248"/>
      <c r="B4" s="248"/>
      <c r="C4" s="249"/>
      <c r="D4" s="248"/>
      <c r="E4" s="248"/>
      <c r="F4" s="248"/>
      <c r="G4" s="248"/>
      <c r="H4" s="248"/>
      <c r="I4" s="248"/>
      <c r="J4" s="248"/>
      <c r="K4" s="248"/>
      <c r="L4" s="248"/>
    </row>
    <row r="5" spans="1:18" ht="16.5" thickBot="1">
      <c r="A5" s="238" t="s">
        <v>28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40"/>
    </row>
    <row r="6" spans="1:18" ht="66" thickBot="1">
      <c r="A6" s="70" t="s">
        <v>133</v>
      </c>
      <c r="B6" s="71" t="s">
        <v>134</v>
      </c>
      <c r="C6" s="73" t="s">
        <v>135</v>
      </c>
      <c r="D6" s="71" t="s">
        <v>136</v>
      </c>
      <c r="E6" s="71" t="s">
        <v>137</v>
      </c>
      <c r="F6" s="73" t="s">
        <v>138</v>
      </c>
      <c r="G6" s="71" t="s">
        <v>139</v>
      </c>
      <c r="H6" s="72" t="s">
        <v>219</v>
      </c>
      <c r="I6" s="72" t="s">
        <v>220</v>
      </c>
      <c r="J6" s="71" t="s">
        <v>141</v>
      </c>
      <c r="K6" s="71" t="s">
        <v>142</v>
      </c>
      <c r="L6" s="71" t="s">
        <v>221</v>
      </c>
      <c r="M6" s="71" t="s">
        <v>222</v>
      </c>
      <c r="N6" s="71" t="s">
        <v>223</v>
      </c>
      <c r="O6" s="71" t="s">
        <v>224</v>
      </c>
    </row>
    <row r="7" spans="1:18" ht="16.5" thickBot="1">
      <c r="A7" s="51">
        <v>1</v>
      </c>
      <c r="B7" s="52" t="s">
        <v>192</v>
      </c>
      <c r="C7" s="131" t="s">
        <v>193</v>
      </c>
      <c r="D7" s="52" t="s">
        <v>194</v>
      </c>
      <c r="E7" s="132" t="s">
        <v>195</v>
      </c>
      <c r="F7" s="133">
        <v>2017</v>
      </c>
      <c r="G7" s="134">
        <v>3956</v>
      </c>
      <c r="H7" s="135">
        <v>7</v>
      </c>
      <c r="I7" s="135" t="s">
        <v>30</v>
      </c>
      <c r="J7" s="136" t="s">
        <v>196</v>
      </c>
      <c r="K7" s="137" t="s">
        <v>197</v>
      </c>
      <c r="L7" s="135">
        <v>621</v>
      </c>
      <c r="M7" s="138">
        <v>46450</v>
      </c>
      <c r="N7" s="139">
        <v>1067300</v>
      </c>
      <c r="O7" s="139">
        <f>(+N7*10%)+N7</f>
        <v>1174030</v>
      </c>
      <c r="R7" s="128"/>
    </row>
    <row r="8" spans="1:18" ht="16.5" customHeight="1" thickBot="1">
      <c r="A8" s="241" t="s">
        <v>23</v>
      </c>
      <c r="B8" s="242"/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3"/>
      <c r="N8" s="74">
        <f>SUM(N7:N7)</f>
        <v>1067300</v>
      </c>
      <c r="O8" s="74">
        <f>SUM(O7:O7)</f>
        <v>1174030</v>
      </c>
    </row>
    <row r="10" spans="1:18">
      <c r="A10" s="109" t="s">
        <v>225</v>
      </c>
    </row>
    <row r="12" spans="1:18" s="6" customFormat="1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8" s="6" customFormat="1" ht="15.75"/>
    <row r="14" spans="1:18" ht="15.7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8" ht="15.75">
      <c r="C15" s="6"/>
    </row>
    <row r="16" spans="1:18" ht="15.75">
      <c r="C16" s="6"/>
    </row>
    <row r="17" spans="3:3" ht="15.75">
      <c r="C17" s="6"/>
    </row>
    <row r="18" spans="3:3" ht="15.75">
      <c r="C18" s="6"/>
    </row>
  </sheetData>
  <mergeCells count="4">
    <mergeCell ref="A2:O2"/>
    <mergeCell ref="A3:O3"/>
    <mergeCell ref="A5:O5"/>
    <mergeCell ref="A8:M8"/>
  </mergeCells>
  <pageMargins left="0.70866141732283472" right="0.70866141732283472" top="0.74803149606299213" bottom="0.74803149606299213" header="0.31496062992125984" footer="0.31496062992125984"/>
  <pageSetup scale="72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DA011-4361-4B48-9EB2-2DCF35FE1619}">
  <sheetPr>
    <tabColor theme="8"/>
  </sheetPr>
  <dimension ref="A1:L45"/>
  <sheetViews>
    <sheetView view="pageBreakPreview" zoomScaleNormal="100" zoomScaleSheetLayoutView="100" workbookViewId="0">
      <selection activeCell="M20" sqref="M20"/>
    </sheetView>
  </sheetViews>
  <sheetFormatPr defaultColWidth="11" defaultRowHeight="15.75"/>
  <cols>
    <col min="11" max="11" width="8.5" customWidth="1"/>
  </cols>
  <sheetData>
    <row r="1" spans="1:12" ht="25.5">
      <c r="A1" s="244" t="s">
        <v>11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120"/>
    </row>
    <row r="2" spans="1:12" ht="25.5">
      <c r="A2" s="125"/>
      <c r="B2" s="125"/>
      <c r="C2" s="125"/>
      <c r="D2" s="125"/>
      <c r="E2" s="120"/>
      <c r="F2" s="120"/>
      <c r="G2" s="120"/>
      <c r="H2" s="120"/>
      <c r="I2" s="120"/>
      <c r="J2" s="120"/>
      <c r="K2" s="120"/>
      <c r="L2" s="120"/>
    </row>
    <row r="3" spans="1:12" ht="25.5">
      <c r="A3" s="245" t="s">
        <v>226</v>
      </c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120"/>
    </row>
    <row r="4" spans="1:12" ht="25.5">
      <c r="A4" s="246" t="s">
        <v>227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120"/>
    </row>
    <row r="5" spans="1:12">
      <c r="A5" s="126"/>
      <c r="B5" s="126"/>
      <c r="C5" s="126"/>
      <c r="D5" s="126"/>
      <c r="E5" s="120"/>
      <c r="F5" s="120"/>
      <c r="G5" s="120"/>
      <c r="H5" s="120"/>
      <c r="I5" s="120"/>
      <c r="J5" s="120"/>
      <c r="K5" s="120"/>
      <c r="L5" s="120"/>
    </row>
    <row r="6" spans="1:12">
      <c r="A6" s="127"/>
      <c r="B6" s="127"/>
      <c r="C6" s="127"/>
      <c r="D6" s="127"/>
      <c r="E6" s="120"/>
      <c r="F6" s="120"/>
      <c r="G6" s="120"/>
      <c r="H6" s="120"/>
      <c r="I6" s="120"/>
      <c r="J6" s="120"/>
      <c r="K6" s="120"/>
      <c r="L6" s="120"/>
    </row>
    <row r="7" spans="1:12">
      <c r="A7" s="127"/>
      <c r="B7" s="127"/>
      <c r="C7" s="127"/>
      <c r="D7" s="127"/>
      <c r="E7" s="120"/>
      <c r="F7" s="120"/>
      <c r="G7" s="120"/>
      <c r="H7" s="120"/>
      <c r="I7" s="120"/>
      <c r="J7" s="120"/>
      <c r="K7" s="120"/>
      <c r="L7" s="120"/>
    </row>
    <row r="8" spans="1:12">
      <c r="A8" s="127"/>
      <c r="B8" s="127"/>
      <c r="C8" s="127"/>
      <c r="D8" s="127"/>
      <c r="E8" s="120"/>
      <c r="F8" s="120"/>
      <c r="G8" s="120"/>
      <c r="H8" s="120"/>
      <c r="I8" s="120"/>
      <c r="J8" s="120"/>
      <c r="K8" s="120"/>
      <c r="L8" s="120"/>
    </row>
    <row r="9" spans="1:12">
      <c r="A9" s="127"/>
      <c r="B9" s="127"/>
      <c r="C9" s="127"/>
      <c r="D9" s="127"/>
      <c r="E9" s="120"/>
      <c r="F9" s="120"/>
      <c r="G9" s="120"/>
      <c r="H9" s="120"/>
      <c r="I9" s="120"/>
      <c r="J9" s="120"/>
      <c r="K9" s="120"/>
      <c r="L9" s="120"/>
    </row>
    <row r="10" spans="1:12">
      <c r="A10" s="127"/>
      <c r="B10" s="127"/>
      <c r="C10" s="127"/>
      <c r="D10" s="127"/>
      <c r="E10" s="120"/>
      <c r="F10" s="120"/>
      <c r="G10" s="120"/>
      <c r="H10" s="120"/>
      <c r="I10" s="120"/>
      <c r="J10" s="120"/>
      <c r="K10" s="120"/>
      <c r="L10" s="120"/>
    </row>
    <row r="11" spans="1:12">
      <c r="A11" s="127"/>
      <c r="B11" s="127"/>
      <c r="C11" s="127"/>
      <c r="D11" s="127"/>
      <c r="E11" s="120"/>
      <c r="F11" s="120"/>
      <c r="G11" s="120"/>
      <c r="H11" s="120"/>
      <c r="I11" s="120"/>
      <c r="J11" s="120"/>
      <c r="K11" s="120"/>
      <c r="L11" s="120"/>
    </row>
    <row r="12" spans="1:12">
      <c r="A12" s="127"/>
      <c r="B12" s="127"/>
      <c r="C12" s="127"/>
      <c r="D12" s="127"/>
      <c r="E12" s="120"/>
      <c r="F12" s="120"/>
      <c r="G12" s="120"/>
      <c r="H12" s="120"/>
      <c r="I12" s="120"/>
      <c r="J12" s="120"/>
      <c r="K12" s="120"/>
      <c r="L12" s="120"/>
    </row>
    <row r="13" spans="1:12">
      <c r="A13" s="127"/>
      <c r="B13" s="127"/>
      <c r="C13" s="127"/>
      <c r="D13" s="127"/>
      <c r="E13" s="120"/>
      <c r="F13" s="120"/>
      <c r="G13" s="120"/>
      <c r="H13" s="120"/>
      <c r="I13" s="120"/>
      <c r="J13" s="120"/>
      <c r="K13" s="120"/>
      <c r="L13" s="120"/>
    </row>
    <row r="14" spans="1:12">
      <c r="A14" s="127"/>
      <c r="B14" s="127"/>
      <c r="C14" s="127"/>
      <c r="D14" s="127"/>
      <c r="E14" s="120"/>
      <c r="F14" s="120"/>
      <c r="G14" s="120"/>
      <c r="H14" s="120"/>
      <c r="I14" s="120"/>
      <c r="J14" s="120"/>
      <c r="K14" s="120"/>
      <c r="L14" s="120"/>
    </row>
    <row r="15" spans="1:12">
      <c r="A15" s="127"/>
      <c r="B15" s="127"/>
      <c r="C15" s="127"/>
      <c r="D15" s="127"/>
      <c r="E15" s="120"/>
      <c r="F15" s="120"/>
      <c r="G15" s="120"/>
      <c r="H15" s="120"/>
      <c r="I15" s="120"/>
      <c r="J15" s="120"/>
      <c r="K15" s="120"/>
      <c r="L15" s="120"/>
    </row>
    <row r="16" spans="1:12">
      <c r="A16" s="127"/>
      <c r="B16" s="127"/>
      <c r="C16" s="127"/>
      <c r="D16" s="127"/>
      <c r="E16" s="120"/>
      <c r="F16" s="120"/>
      <c r="G16" s="120"/>
      <c r="H16" s="120"/>
      <c r="I16" s="120"/>
      <c r="J16" s="120"/>
      <c r="K16" s="120"/>
      <c r="L16" s="120"/>
    </row>
    <row r="17" spans="1:12">
      <c r="A17" s="127"/>
      <c r="B17" s="127"/>
      <c r="C17" s="127"/>
      <c r="D17" s="127"/>
      <c r="E17" s="120"/>
      <c r="F17" s="120"/>
      <c r="G17" s="120"/>
      <c r="H17" s="120"/>
      <c r="I17" s="120"/>
      <c r="J17" s="120"/>
      <c r="K17" s="120"/>
      <c r="L17" s="120"/>
    </row>
    <row r="18" spans="1:12">
      <c r="A18" s="127"/>
      <c r="B18" s="127"/>
      <c r="C18" s="127"/>
      <c r="D18" s="127"/>
      <c r="E18" s="120"/>
      <c r="F18" s="120"/>
      <c r="G18" s="120"/>
      <c r="H18" s="120"/>
      <c r="I18" s="120"/>
      <c r="J18" s="120"/>
      <c r="K18" s="120"/>
      <c r="L18" s="120"/>
    </row>
    <row r="19" spans="1:12">
      <c r="A19" s="127"/>
      <c r="B19" s="127"/>
      <c r="C19" s="127"/>
      <c r="D19" s="127"/>
      <c r="E19" s="120"/>
      <c r="F19" s="120"/>
      <c r="G19" s="120"/>
      <c r="H19" s="120"/>
      <c r="I19" s="120"/>
      <c r="J19" s="120"/>
      <c r="K19" s="120"/>
      <c r="L19" s="120"/>
    </row>
    <row r="20" spans="1:12">
      <c r="A20" s="127"/>
      <c r="B20" s="127"/>
      <c r="C20" s="127"/>
      <c r="D20" s="127"/>
      <c r="E20" s="120"/>
      <c r="F20" s="120"/>
      <c r="G20" s="120"/>
      <c r="H20" s="120"/>
      <c r="I20" s="120"/>
      <c r="J20" s="120"/>
      <c r="K20" s="120"/>
      <c r="L20" s="120"/>
    </row>
    <row r="21" spans="1:12">
      <c r="A21" s="127"/>
      <c r="B21" s="127"/>
      <c r="C21" s="127"/>
      <c r="D21" s="127"/>
      <c r="E21" s="120"/>
      <c r="F21" s="120"/>
      <c r="G21" s="120"/>
      <c r="H21" s="120"/>
      <c r="I21" s="120"/>
      <c r="J21" s="120"/>
      <c r="K21" s="120"/>
      <c r="L21" s="120"/>
    </row>
    <row r="22" spans="1:12">
      <c r="A22" s="127"/>
      <c r="B22" s="127"/>
      <c r="C22" s="127"/>
      <c r="D22" s="127"/>
      <c r="E22" s="120"/>
      <c r="F22" s="120"/>
      <c r="G22" s="120"/>
      <c r="H22" s="120"/>
      <c r="I22" s="120"/>
      <c r="J22" s="120"/>
      <c r="K22" s="120"/>
      <c r="L22" s="120"/>
    </row>
    <row r="23" spans="1:12">
      <c r="A23" s="127"/>
      <c r="B23" s="127"/>
      <c r="C23" s="127"/>
      <c r="D23" s="127"/>
      <c r="E23" s="120"/>
      <c r="F23" s="120"/>
      <c r="G23" s="120"/>
      <c r="H23" s="120"/>
      <c r="I23" s="120"/>
      <c r="J23" s="120"/>
      <c r="K23" s="120"/>
      <c r="L23" s="120"/>
    </row>
    <row r="24" spans="1:12">
      <c r="A24" s="127"/>
      <c r="B24" s="127"/>
      <c r="C24" s="127"/>
      <c r="D24" s="127"/>
      <c r="E24" s="120"/>
      <c r="F24" s="120"/>
      <c r="G24" s="120"/>
      <c r="H24" s="120"/>
      <c r="I24" s="120"/>
      <c r="J24" s="120"/>
      <c r="K24" s="120"/>
      <c r="L24" s="120"/>
    </row>
    <row r="25" spans="1:12">
      <c r="A25" s="127"/>
      <c r="B25" s="127"/>
      <c r="C25" s="127"/>
      <c r="D25" s="127"/>
      <c r="E25" s="120"/>
      <c r="F25" s="120"/>
      <c r="G25" s="120"/>
      <c r="H25" s="120"/>
      <c r="I25" s="120"/>
      <c r="J25" s="120"/>
      <c r="K25" s="120"/>
      <c r="L25" s="120"/>
    </row>
    <row r="26" spans="1:12">
      <c r="A26" s="127"/>
      <c r="B26" s="127"/>
      <c r="C26" s="127"/>
      <c r="D26" s="127"/>
      <c r="E26" s="120"/>
      <c r="F26" s="120"/>
      <c r="G26" s="120"/>
      <c r="H26" s="120"/>
      <c r="I26" s="120"/>
      <c r="J26" s="120"/>
      <c r="K26" s="120"/>
      <c r="L26" s="120"/>
    </row>
    <row r="27" spans="1:12">
      <c r="A27" s="127"/>
      <c r="B27" s="127"/>
      <c r="C27" s="127"/>
      <c r="D27" s="127"/>
      <c r="E27" s="120"/>
      <c r="F27" s="120"/>
      <c r="G27" s="120"/>
      <c r="H27" s="120"/>
      <c r="I27" s="120"/>
      <c r="J27" s="120"/>
      <c r="K27" s="120"/>
      <c r="L27" s="120"/>
    </row>
    <row r="28" spans="1:12">
      <c r="A28" s="127"/>
      <c r="B28" s="127"/>
      <c r="C28" s="127"/>
      <c r="D28" s="127"/>
      <c r="E28" s="120"/>
      <c r="F28" s="120"/>
      <c r="G28" s="120"/>
      <c r="H28" s="120"/>
      <c r="I28" s="120"/>
      <c r="J28" s="120"/>
      <c r="K28" s="120"/>
      <c r="L28" s="120"/>
    </row>
    <row r="29" spans="1:12">
      <c r="A29" s="127"/>
      <c r="B29" s="127"/>
      <c r="C29" s="127"/>
      <c r="D29" s="127"/>
      <c r="E29" s="120"/>
      <c r="F29" s="120"/>
      <c r="G29" s="120"/>
      <c r="H29" s="120"/>
      <c r="I29" s="120"/>
      <c r="J29" s="120"/>
      <c r="K29" s="120"/>
      <c r="L29" s="120"/>
    </row>
    <row r="30" spans="1:12">
      <c r="A30" s="127"/>
      <c r="B30" s="127"/>
      <c r="C30" s="127"/>
      <c r="D30" s="127"/>
      <c r="E30" s="120"/>
      <c r="F30" s="120"/>
      <c r="G30" s="120"/>
      <c r="H30" s="120"/>
      <c r="I30" s="120"/>
      <c r="J30" s="120"/>
      <c r="K30" s="120"/>
      <c r="L30" s="120"/>
    </row>
    <row r="31" spans="1:12">
      <c r="A31" s="127"/>
      <c r="B31" s="127"/>
      <c r="C31" s="127"/>
      <c r="D31" s="127"/>
      <c r="E31" s="120"/>
      <c r="F31" s="120"/>
      <c r="G31" s="120"/>
      <c r="H31" s="120"/>
      <c r="I31" s="120"/>
      <c r="J31" s="120"/>
      <c r="K31" s="120"/>
      <c r="L31" s="120"/>
    </row>
    <row r="32" spans="1:12">
      <c r="A32" s="127"/>
      <c r="B32" s="127"/>
      <c r="C32" s="127"/>
      <c r="D32" s="127"/>
      <c r="E32" s="120"/>
      <c r="F32" s="120"/>
      <c r="G32" s="120"/>
      <c r="H32" s="120"/>
      <c r="I32" s="120"/>
      <c r="J32" s="120"/>
      <c r="K32" s="120"/>
      <c r="L32" s="120"/>
    </row>
    <row r="33" spans="1:12">
      <c r="A33" s="127"/>
      <c r="B33" s="127"/>
      <c r="C33" s="127"/>
      <c r="D33" s="127"/>
      <c r="E33" s="120"/>
      <c r="F33" s="120"/>
      <c r="G33" s="120"/>
      <c r="H33" s="120"/>
      <c r="I33" s="120"/>
      <c r="J33" s="120"/>
      <c r="K33" s="120"/>
      <c r="L33" s="120"/>
    </row>
    <row r="34" spans="1:12">
      <c r="A34" s="127"/>
      <c r="B34" s="127"/>
      <c r="C34" s="127"/>
      <c r="D34" s="127"/>
      <c r="E34" s="120"/>
      <c r="F34" s="120"/>
      <c r="G34" s="120"/>
      <c r="H34" s="120"/>
      <c r="I34" s="120"/>
      <c r="J34" s="120"/>
      <c r="K34" s="120"/>
      <c r="L34" s="120"/>
    </row>
    <row r="35" spans="1:12">
      <c r="A35" s="127"/>
      <c r="B35" s="127"/>
      <c r="C35" s="127"/>
      <c r="D35" s="127"/>
      <c r="E35" s="120"/>
      <c r="F35" s="120"/>
      <c r="G35" s="120"/>
      <c r="H35" s="120"/>
      <c r="I35" s="120"/>
      <c r="J35" s="120"/>
      <c r="K35" s="120"/>
      <c r="L35" s="120"/>
    </row>
    <row r="36" spans="1:12">
      <c r="A36" s="127"/>
      <c r="B36" s="127"/>
      <c r="C36" s="127"/>
      <c r="D36" s="127"/>
      <c r="E36" s="120"/>
      <c r="F36" s="120"/>
      <c r="G36" s="120"/>
      <c r="H36" s="120"/>
      <c r="I36" s="120"/>
      <c r="J36" s="120"/>
      <c r="K36" s="120"/>
      <c r="L36" s="120"/>
    </row>
    <row r="37" spans="1:12">
      <c r="A37" s="127"/>
      <c r="B37" s="127"/>
      <c r="C37" s="127"/>
      <c r="D37" s="127"/>
      <c r="E37" s="120"/>
      <c r="F37" s="120"/>
      <c r="G37" s="120"/>
      <c r="H37" s="120"/>
      <c r="I37" s="120"/>
      <c r="J37" s="120"/>
      <c r="K37" s="120"/>
      <c r="L37" s="120"/>
    </row>
    <row r="38" spans="1:12">
      <c r="A38" s="127"/>
      <c r="B38" s="127"/>
      <c r="C38" s="127"/>
      <c r="D38" s="127"/>
      <c r="E38" s="120"/>
      <c r="F38" s="120"/>
      <c r="G38" s="120"/>
      <c r="H38" s="120"/>
      <c r="I38" s="120"/>
      <c r="J38" s="120"/>
      <c r="K38" s="120"/>
      <c r="L38" s="120"/>
    </row>
    <row r="39" spans="1:12">
      <c r="A39" s="127"/>
      <c r="B39" s="127"/>
      <c r="C39" s="127"/>
      <c r="D39" s="127"/>
      <c r="E39" s="120"/>
      <c r="F39" s="120"/>
      <c r="G39" s="120"/>
      <c r="H39" s="120"/>
      <c r="I39" s="120"/>
      <c r="J39" s="120"/>
      <c r="K39" s="120"/>
      <c r="L39" s="120"/>
    </row>
    <row r="40" spans="1:12">
      <c r="A40" s="127"/>
      <c r="B40" s="127"/>
      <c r="C40" s="127"/>
      <c r="D40" s="127"/>
      <c r="E40" s="120"/>
      <c r="F40" s="120"/>
      <c r="G40" s="120"/>
      <c r="H40" s="120"/>
      <c r="I40" s="120"/>
      <c r="J40" s="120"/>
      <c r="K40" s="120"/>
      <c r="L40" s="120"/>
    </row>
    <row r="41" spans="1:12">
      <c r="A41" s="127"/>
      <c r="B41" s="127"/>
      <c r="C41" s="127"/>
      <c r="D41" s="127"/>
      <c r="E41" s="120"/>
      <c r="F41" s="120"/>
      <c r="G41" s="120"/>
      <c r="H41" s="120"/>
      <c r="I41" s="120"/>
      <c r="J41" s="120"/>
      <c r="K41" s="120"/>
      <c r="L41" s="120"/>
    </row>
    <row r="42" spans="1:12">
      <c r="A42" s="127"/>
      <c r="B42" s="127"/>
      <c r="C42" s="127"/>
      <c r="D42" s="127"/>
      <c r="E42" s="120"/>
      <c r="F42" s="120"/>
      <c r="G42" s="120"/>
      <c r="H42" s="120"/>
      <c r="I42" s="120"/>
      <c r="J42" s="120"/>
      <c r="K42" s="120"/>
      <c r="L42" s="120"/>
    </row>
    <row r="43" spans="1:12">
      <c r="A43" s="127"/>
      <c r="B43" s="127"/>
      <c r="C43" s="127"/>
      <c r="D43" s="127"/>
      <c r="E43" s="120"/>
      <c r="F43" s="120"/>
      <c r="G43" s="120"/>
      <c r="H43" s="120"/>
      <c r="I43" s="120"/>
      <c r="J43" s="120"/>
      <c r="K43" s="120"/>
      <c r="L43" s="120"/>
    </row>
    <row r="44" spans="1:12">
      <c r="A44" s="127"/>
      <c r="B44" s="127"/>
      <c r="C44" s="127"/>
      <c r="D44" s="127"/>
      <c r="E44" s="120"/>
      <c r="F44" s="120"/>
      <c r="G44" s="120"/>
      <c r="H44" s="120"/>
      <c r="I44" s="120"/>
      <c r="J44" s="120"/>
      <c r="K44" s="120"/>
      <c r="L44" s="120"/>
    </row>
    <row r="45" spans="1:12">
      <c r="A45" s="127"/>
      <c r="B45" s="127"/>
      <c r="C45" s="127"/>
      <c r="D45" s="127"/>
      <c r="E45" s="120"/>
      <c r="F45" s="120"/>
      <c r="G45" s="120"/>
      <c r="H45" s="120"/>
      <c r="I45" s="120"/>
      <c r="J45" s="120"/>
      <c r="K45" s="120"/>
    </row>
  </sheetData>
  <mergeCells count="3">
    <mergeCell ref="A1:K1"/>
    <mergeCell ref="A3:K3"/>
    <mergeCell ref="A4:K4"/>
  </mergeCells>
  <pageMargins left="0.7" right="0.7" top="0.75" bottom="0.75" header="0.3" footer="0.3"/>
  <pageSetup scale="65" orientation="portrait" r:id="rId1"/>
  <colBreaks count="1" manualBreakCount="1">
    <brk id="1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AE8B2265120B0409E0DFA09CF99B5AC" ma:contentTypeVersion="16" ma:contentTypeDescription="Crear nuevo documento." ma:contentTypeScope="" ma:versionID="fcb70703c68cce67565398df23a41ec6">
  <xsd:schema xmlns:xsd="http://www.w3.org/2001/XMLSchema" xmlns:xs="http://www.w3.org/2001/XMLSchema" xmlns:p="http://schemas.microsoft.com/office/2006/metadata/properties" xmlns:ns2="54858f2f-9549-4a18-9d4f-728fbd3fde92" xmlns:ns3="1e8960ee-35c8-4f57-8ca0-a1d584fb561a" targetNamespace="http://schemas.microsoft.com/office/2006/metadata/properties" ma:root="true" ma:fieldsID="a168506b2fcb77699318e80663ac10cb" ns2:_="" ns3:_="">
    <xsd:import namespace="54858f2f-9549-4a18-9d4f-728fbd3fde92"/>
    <xsd:import namespace="1e8960ee-35c8-4f57-8ca0-a1d584fb56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858f2f-9549-4a18-9d4f-728fbd3fd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f388a7e-4936-41a6-adbd-0baeef96c1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8960ee-35c8-4f57-8ca0-a1d584fb561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78b9c33-9ee0-472e-9bad-1d4dcb0ad2fa}" ma:internalName="TaxCatchAll" ma:showField="CatchAllData" ma:web="1e8960ee-35c8-4f57-8ca0-a1d584fb56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4858f2f-9549-4a18-9d4f-728fbd3fde92">
      <Terms xmlns="http://schemas.microsoft.com/office/infopath/2007/PartnerControls"/>
    </lcf76f155ced4ddcb4097134ff3c332f>
    <TaxCatchAll xmlns="1e8960ee-35c8-4f57-8ca0-a1d584fb561a" xsi:nil="true"/>
  </documentManagement>
</p:properties>
</file>

<file path=customXml/itemProps1.xml><?xml version="1.0" encoding="utf-8"?>
<ds:datastoreItem xmlns:ds="http://schemas.openxmlformats.org/officeDocument/2006/customXml" ds:itemID="{0FD1EDDA-2289-4A5B-B560-D1965C6CC408}"/>
</file>

<file path=customXml/itemProps2.xml><?xml version="1.0" encoding="utf-8"?>
<ds:datastoreItem xmlns:ds="http://schemas.openxmlformats.org/officeDocument/2006/customXml" ds:itemID="{2F9D39C7-D44F-41CC-A048-48A346E43265}"/>
</file>

<file path=customXml/itemProps3.xml><?xml version="1.0" encoding="utf-8"?>
<ds:datastoreItem xmlns:ds="http://schemas.openxmlformats.org/officeDocument/2006/customXml" ds:itemID="{FE5D9CB0-AAA4-497B-A45E-EB7451011B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ESTUDIO DE MERCADOS</dc:title>
  <dc:subject/>
  <dc:creator>. .</dc:creator>
  <cp:keywords>IDARTES 2021</cp:keywords>
  <dc:description/>
  <cp:lastModifiedBy>Monica  Valbuena Useche</cp:lastModifiedBy>
  <cp:revision/>
  <dcterms:created xsi:type="dcterms:W3CDTF">2019-03-31T15:38:58Z</dcterms:created>
  <dcterms:modified xsi:type="dcterms:W3CDTF">2026-09-02T20:26:23Z</dcterms:modified>
  <cp:category/>
  <cp:contentStatus/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ContentTypeId">
    <vt:lpwstr>0x010100BAE8B2265120B0409E0DFA09CF99B5AC</vt:lpwstr>
  </op:property>
  <op:property fmtid="{D5CDD505-2E9C-101B-9397-08002B2CF9AE}" pid="3" name="MediaServiceImageTags">
    <vt:lpwstr/>
  </op:property>
  <op:property fmtid="{D5CDD505-2E9C-101B-9397-08002B2CF9AE}" pid="4" name="IdNivel">
    <vt:lpwstr>NIVEL-1</vt:lpwstr>
  </op:property>
  <op:property fmtid="{D5CDD505-2E9C-101B-9397-08002B2CF9AE}" pid="5" name="IdTipoDoc">
    <vt:lpwstr>TIPODOC-1</vt:lpwstr>
  </op:property>
  <op:property fmtid="{D5CDD505-2E9C-101B-9397-08002B2CF9AE}" pid="6" name="IdDocTMS">
    <vt:lpwstr>DOCTMS-1</vt:lpwstr>
  </op:property>
  <op:property fmtid="{D5CDD505-2E9C-101B-9397-08002B2CF9AE}" pid="7" name="PublicarPDF">
    <vt:lpwstr>1</vt:lpwstr>
  </op:property>
</op:Properties>
</file>