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ngel\Desktop\2. OBSERV Y DEFINITIVO\"/>
    </mc:Choice>
  </mc:AlternateContent>
  <xr:revisionPtr revIDLastSave="0" documentId="8_{FA6F9A5B-9A3B-4D1E-8DAD-6BD5F6963956}" xr6:coauthVersionLast="47" xr6:coauthVersionMax="47" xr10:uidLastSave="{00000000-0000-0000-0000-000000000000}"/>
  <bookViews>
    <workbookView xWindow="-20610" yWindow="-120" windowWidth="20730" windowHeight="11040" tabRatio="668" xr2:uid="{00000000-000D-0000-FFFF-FFFF00000000}"/>
  </bookViews>
  <sheets>
    <sheet name="1. ESTUDIO DE MERCADO" sheetId="1" r:id="rId1"/>
    <sheet name="2. TASAS PROMEDIO" sheetId="2" r:id="rId2"/>
    <sheet name="3. ANEXO TRDM-2026" sheetId="6" r:id="rId3"/>
    <sheet name="4. AUTOS" sheetId="4" r:id="rId4"/>
    <sheet name="5. SOAT" sheetId="5" r:id="rId5"/>
    <sheet name="TARIFA 2026" sheetId="7" r:id="rId6"/>
    <sheet name="NOTAS SINIESTRALIDAD" sheetId="8" r:id="rId7"/>
  </sheets>
  <definedNames>
    <definedName name="_xlnm.Print_Area" localSheetId="1">'2. TASAS PROMEDIO'!$A$1:$G$60</definedName>
    <definedName name="_xlnm.Print_Area" localSheetId="2">'3. ANEXO TRDM-2026'!$A$1:$G$27</definedName>
    <definedName name="_xlnm.Print_Area" localSheetId="6">'NOTAS SINIESTRALIDAD'!$A$1:$P$39</definedName>
    <definedName name="_xlnm.Print_Area" localSheetId="5">'TARIFA 2026'!$A$1:$K$45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1" i="2" l="1"/>
  <c r="M24" i="1"/>
  <c r="I16" i="1"/>
  <c r="C15" i="1"/>
  <c r="C16" i="1"/>
  <c r="F29" i="1"/>
  <c r="H29" i="1" s="1"/>
  <c r="J29" i="1" s="1"/>
  <c r="L29" i="1" s="1"/>
  <c r="C8" i="1"/>
  <c r="F56" i="2"/>
  <c r="I56" i="2" s="1"/>
  <c r="E53" i="2"/>
  <c r="E48" i="2"/>
  <c r="F46" i="2"/>
  <c r="E12" i="2"/>
  <c r="F41" i="2"/>
  <c r="F22" i="1" s="1"/>
  <c r="H22" i="1" s="1"/>
  <c r="J22" i="1" s="1"/>
  <c r="F35" i="2"/>
  <c r="F29" i="2"/>
  <c r="F19" i="1" s="1"/>
  <c r="H19" i="1" s="1"/>
  <c r="J19" i="1" s="1"/>
  <c r="F23" i="2"/>
  <c r="F10" i="2"/>
  <c r="F17" i="2"/>
  <c r="E19" i="2"/>
  <c r="D15" i="1"/>
  <c r="H17" i="1"/>
  <c r="J17" i="1" s="1"/>
  <c r="L17" i="1" s="1"/>
  <c r="E11" i="6"/>
  <c r="E12" i="6" s="1"/>
  <c r="C15" i="6" s="1"/>
  <c r="O7" i="5"/>
  <c r="H8" i="1"/>
  <c r="M8" i="1"/>
  <c r="N24" i="1"/>
  <c r="F23" i="6"/>
  <c r="F22" i="6"/>
  <c r="F21" i="6"/>
  <c r="E20" i="6"/>
  <c r="F20" i="6" s="1"/>
  <c r="E19" i="6"/>
  <c r="F19" i="6" s="1"/>
  <c r="E18" i="6"/>
  <c r="E17" i="6"/>
  <c r="F17" i="6" s="1"/>
  <c r="E16" i="6"/>
  <c r="F16" i="6" s="1"/>
  <c r="D15" i="6"/>
  <c r="I29" i="1"/>
  <c r="K29" i="1" s="1"/>
  <c r="M17" i="1" l="1"/>
  <c r="N17" i="1" s="1"/>
  <c r="C24" i="6"/>
  <c r="E15" i="6"/>
  <c r="H30" i="1"/>
  <c r="F16" i="1"/>
  <c r="H16" i="1" s="1"/>
  <c r="J16" i="1" s="1"/>
  <c r="I17" i="2"/>
  <c r="F18" i="6"/>
  <c r="C25" i="6"/>
  <c r="J30" i="1" l="1"/>
  <c r="C26" i="6"/>
  <c r="F15" i="6"/>
  <c r="E25" i="6"/>
  <c r="F25" i="6" s="1"/>
  <c r="E24" i="6"/>
  <c r="M29" i="1" l="1"/>
  <c r="L30" i="1"/>
  <c r="E26" i="6"/>
  <c r="F24" i="6"/>
  <c r="F26" i="6" s="1"/>
  <c r="N29" i="1" l="1"/>
  <c r="N30" i="1" s="1"/>
  <c r="M30" i="1"/>
  <c r="N8" i="5"/>
  <c r="L21" i="4"/>
  <c r="C25" i="1" l="1"/>
  <c r="C30" i="1" s="1"/>
  <c r="O8" i="5"/>
  <c r="I23" i="1"/>
  <c r="I22" i="1"/>
  <c r="I21" i="1"/>
  <c r="I20" i="1"/>
  <c r="I19" i="1"/>
  <c r="I18" i="1"/>
  <c r="I17" i="1"/>
  <c r="F15" i="1" l="1"/>
  <c r="G15" i="1" l="1"/>
  <c r="I15" i="1" s="1"/>
  <c r="H15" i="1"/>
  <c r="J15" i="1" s="1"/>
  <c r="I10" i="2"/>
  <c r="I25" i="1" l="1"/>
  <c r="K15" i="1"/>
  <c r="L15" i="1" s="1"/>
  <c r="D25" i="1"/>
  <c r="I35" i="2" l="1"/>
  <c r="F20" i="1"/>
  <c r="H20" i="1" s="1"/>
  <c r="J20" i="1" s="1"/>
  <c r="F21" i="1" l="1"/>
  <c r="H21" i="1" s="1"/>
  <c r="J21" i="1" s="1"/>
  <c r="L21" i="1" s="1"/>
  <c r="I51" i="2"/>
  <c r="F18" i="1"/>
  <c r="H18" i="1" s="1"/>
  <c r="J18" i="1" s="1"/>
  <c r="F23" i="1" l="1"/>
  <c r="H23" i="1" s="1"/>
  <c r="J23" i="1" s="1"/>
  <c r="I46" i="2"/>
  <c r="I29" i="2"/>
  <c r="I23" i="2"/>
  <c r="I41" i="2"/>
  <c r="K23" i="1"/>
  <c r="K18" i="1"/>
  <c r="L18" i="1" s="1"/>
  <c r="K19" i="1"/>
  <c r="L19" i="1" s="1"/>
  <c r="K20" i="1"/>
  <c r="L20" i="1" s="1"/>
  <c r="K22" i="1"/>
  <c r="L22" i="1" s="1"/>
  <c r="K16" i="1"/>
  <c r="L16" i="1" s="1"/>
  <c r="L23" i="1" l="1"/>
  <c r="K25" i="1"/>
  <c r="M21" i="1"/>
  <c r="N21" i="1" s="1"/>
  <c r="H25" i="1" l="1"/>
  <c r="M15" i="1"/>
  <c r="N15" i="1" s="1"/>
  <c r="M18" i="1"/>
  <c r="N18" i="1" s="1"/>
  <c r="M19" i="1"/>
  <c r="N19" i="1" s="1"/>
  <c r="M20" i="1"/>
  <c r="N20" i="1" s="1"/>
  <c r="M23" i="1"/>
  <c r="N23" i="1" s="1"/>
  <c r="M22" i="1" l="1"/>
  <c r="N22" i="1" s="1"/>
  <c r="J25" i="1" l="1"/>
  <c r="M16" i="1" l="1"/>
  <c r="N16" i="1" s="1"/>
  <c r="N25" i="1" s="1"/>
  <c r="L25" i="1"/>
  <c r="M25" i="1" l="1"/>
  <c r="N32" i="1"/>
  <c r="C11" i="1" l="1"/>
</calcChain>
</file>

<file path=xl/sharedStrings.xml><?xml version="1.0" encoding="utf-8"?>
<sst xmlns="http://schemas.openxmlformats.org/spreadsheetml/2006/main" count="388" uniqueCount="228">
  <si>
    <t>RAMO</t>
  </si>
  <si>
    <t>ESTUDIO DE MERCADO</t>
  </si>
  <si>
    <t>DIAS DE COBERTURA</t>
  </si>
  <si>
    <t>VALOR ASEGURADO</t>
  </si>
  <si>
    <t>TASA IND. VAR.</t>
  </si>
  <si>
    <t>PRIMA PERIODO</t>
  </si>
  <si>
    <t>PRIMA IND. VAR. PERIODO</t>
  </si>
  <si>
    <t>SUBTOTAL</t>
  </si>
  <si>
    <t>IVA</t>
  </si>
  <si>
    <t>TOTAL</t>
  </si>
  <si>
    <t>TODO RIESGO DAÑOS MATERIALES</t>
  </si>
  <si>
    <t>CALCULO VALORES APROXIMADOS DE PRIMA</t>
  </si>
  <si>
    <t>ENTIDAD</t>
  </si>
  <si>
    <t>TASAS</t>
  </si>
  <si>
    <t>PROMEDIO TASAS</t>
  </si>
  <si>
    <t>%</t>
  </si>
  <si>
    <t>Todo Riesgo Daños Materiales</t>
  </si>
  <si>
    <t>%o</t>
  </si>
  <si>
    <t>Responsabilidad Civil Extracontractual</t>
  </si>
  <si>
    <t>Responsabilidad Civil Servidores Públicos</t>
  </si>
  <si>
    <t>PROMERIO TASA MERCADO (A)</t>
  </si>
  <si>
    <t>TIPO DE TASA % - %o</t>
  </si>
  <si>
    <t>Automóviles</t>
  </si>
  <si>
    <t>Transporte de Valores</t>
  </si>
  <si>
    <t>Transporte de Mercancías</t>
  </si>
  <si>
    <t>Manejo Global Entidades Estatales</t>
  </si>
  <si>
    <t>AUTOMOVILES</t>
  </si>
  <si>
    <t>MANEJO GLOBAL ENTIDADES ESTATALES</t>
  </si>
  <si>
    <t>RESPONSABILIDAD CIVIL EXTRACONTRACTUAL</t>
  </si>
  <si>
    <t>RESPONSABILIDAD CIVIL SERVIDORES PUBLICOS</t>
  </si>
  <si>
    <t>TIPO TASA</t>
  </si>
  <si>
    <t>TASA ANUAL</t>
  </si>
  <si>
    <t>SOAT</t>
  </si>
  <si>
    <t>N/A</t>
  </si>
  <si>
    <t>SEGÚN LEY</t>
  </si>
  <si>
    <t>TRANSPORTE DE VALORES</t>
  </si>
  <si>
    <t>TRANSPORTE DE MERCANCÍAS</t>
  </si>
  <si>
    <t>Infidelidad y Riesgos Financieros</t>
  </si>
  <si>
    <t>INFIDELIDAD Y RIESGOS FINANCIEROS</t>
  </si>
  <si>
    <t>PRESUPUESTO</t>
  </si>
  <si>
    <t xml:space="preserve">No </t>
  </si>
  <si>
    <t>CC</t>
  </si>
  <si>
    <t>PASAJ / TON</t>
  </si>
  <si>
    <t xml:space="preserve">MOTOR </t>
  </si>
  <si>
    <t>CHASIS</t>
  </si>
  <si>
    <t>CODIGO FASECOLDA</t>
  </si>
  <si>
    <t>CHEVROLET</t>
  </si>
  <si>
    <t>TOYOTA</t>
  </si>
  <si>
    <t>CAMIONETA</t>
  </si>
  <si>
    <t>ANEXO - RELACION DE VEHICULOS SOAT</t>
  </si>
  <si>
    <t>PASAJEROS</t>
  </si>
  <si>
    <t>TONELADAS</t>
  </si>
  <si>
    <t>CODIGO TARIFA</t>
  </si>
  <si>
    <t>FECHA DE VENCIMIENTO SOAT</t>
  </si>
  <si>
    <t>USO PROPIO</t>
  </si>
  <si>
    <t>DETALLE</t>
  </si>
  <si>
    <t>DEPENDENCIA</t>
  </si>
  <si>
    <t>MUEBLES Y ENSERES</t>
  </si>
  <si>
    <t>EDIFICACIONES</t>
  </si>
  <si>
    <t>VALOR TOTAL</t>
  </si>
  <si>
    <t>VALOR INDICE VARIABLE (5%)</t>
  </si>
  <si>
    <t>VALOR ASEGURADO
GUIA FASEOLDA</t>
  </si>
  <si>
    <t>VALOR ASEGURADO INDICE VARIABLE
PERIODO</t>
  </si>
  <si>
    <t>VALOR INDICE
PERIODO</t>
  </si>
  <si>
    <t>PLACA</t>
  </si>
  <si>
    <t>MARCA</t>
  </si>
  <si>
    <t>CLASE</t>
  </si>
  <si>
    <t>TIPO</t>
  </si>
  <si>
    <t>MODELO</t>
  </si>
  <si>
    <t>COMODATO</t>
  </si>
  <si>
    <t>DIRECCION</t>
  </si>
  <si>
    <t>DESCRIPCION</t>
  </si>
  <si>
    <t>PROCESO</t>
  </si>
  <si>
    <t>PRIMA ANUAL</t>
  </si>
  <si>
    <r>
      <t>%</t>
    </r>
    <r>
      <rPr>
        <sz val="8"/>
        <color theme="1"/>
        <rFont val="Arial Narrow"/>
        <family val="2"/>
      </rPr>
      <t>o</t>
    </r>
  </si>
  <si>
    <t>DEPARTAMENTO ADMINISTRATIVO PARA LA PROSPERIDAD SOCIAL - PROSPERIDAD SOCIAL</t>
  </si>
  <si>
    <t>VALOR FIJO INCLUSIONES</t>
  </si>
  <si>
    <t>SEDE FONTIBÓN (Almacén General - Bodega No. 6 y 8)</t>
  </si>
  <si>
    <t>Carrera 98 Nº 25g-10</t>
  </si>
  <si>
    <t>SEDE DIRECCIÓN REGIONAL CHOCÓ</t>
  </si>
  <si>
    <t>Carrera 2 Nº 24A-82</t>
  </si>
  <si>
    <t>INMUEBLE COMODATO PEREIRA</t>
  </si>
  <si>
    <t>Calle  25 Carrera 7 y 8</t>
  </si>
  <si>
    <t>EQUIPO Y MAQUINARIA</t>
  </si>
  <si>
    <t>DINERO Y TITULOS VALORES</t>
  </si>
  <si>
    <t>ADECUACIÓN DE CONSTRUCCIONES A LAS NORMAS DE SISMORESISTENCIA</t>
  </si>
  <si>
    <t>OCK081</t>
  </si>
  <si>
    <t>OCK085</t>
  </si>
  <si>
    <t>OCK086</t>
  </si>
  <si>
    <t>OCK087</t>
  </si>
  <si>
    <t>09701663</t>
  </si>
  <si>
    <t>AUTOMOVIL</t>
  </si>
  <si>
    <t>L380004578</t>
  </si>
  <si>
    <t>LFPH5ACC5B1E16786</t>
  </si>
  <si>
    <t>OCK079</t>
  </si>
  <si>
    <t>HONGOI</t>
  </si>
  <si>
    <t>L380004594</t>
  </si>
  <si>
    <t>LFPH5ACC3B1E16835</t>
  </si>
  <si>
    <t>L380004585</t>
  </si>
  <si>
    <t>LFPH5ACC3B1E16995</t>
  </si>
  <si>
    <t>L380004611</t>
  </si>
  <si>
    <t>LFPH5ACC3B1E17024</t>
  </si>
  <si>
    <t>L380004587</t>
  </si>
  <si>
    <t>LFPH5ACC3B1E16944</t>
  </si>
  <si>
    <t>OCK078</t>
  </si>
  <si>
    <t>L380004579</t>
  </si>
  <si>
    <t>LFPH5ACC3B1E16818</t>
  </si>
  <si>
    <t>OCK080</t>
  </si>
  <si>
    <t>L380004557</t>
  </si>
  <si>
    <t>LFPH5ACC3B1E16780</t>
  </si>
  <si>
    <t>OCK111</t>
  </si>
  <si>
    <t>HYUNDAI</t>
  </si>
  <si>
    <t>TUCSON IX 35</t>
  </si>
  <si>
    <t>G4KDCU662704</t>
  </si>
  <si>
    <t>KMHJT81BADU460947</t>
  </si>
  <si>
    <t>03206065</t>
  </si>
  <si>
    <t>OBE866</t>
  </si>
  <si>
    <t>LUV STD (TFS)</t>
  </si>
  <si>
    <t>01620041</t>
  </si>
  <si>
    <t>C22NE25029914</t>
  </si>
  <si>
    <t>FR30F1B358021</t>
  </si>
  <si>
    <t>OBF528</t>
  </si>
  <si>
    <t>CAMIONETA PICK UP SEN</t>
  </si>
  <si>
    <t>LUV GLS (TFS)</t>
  </si>
  <si>
    <t>CAMIONETA PICK UP DOBE CA</t>
  </si>
  <si>
    <t>8GGTFSF374A132882</t>
  </si>
  <si>
    <t>01621024</t>
  </si>
  <si>
    <t>OBF588</t>
  </si>
  <si>
    <t>8GGTFSF384A132745</t>
  </si>
  <si>
    <t>IZW555</t>
  </si>
  <si>
    <t>PRADO (LC 150) TX-L</t>
  </si>
  <si>
    <t>CAMPERO</t>
  </si>
  <si>
    <t>1GRB373701</t>
  </si>
  <si>
    <t>JTEBU3FJ5HK115171</t>
  </si>
  <si>
    <t>09008188</t>
  </si>
  <si>
    <t>IZM928</t>
  </si>
  <si>
    <t>4RUNNER (5) SR5 FL</t>
  </si>
  <si>
    <t>1GRB296110</t>
  </si>
  <si>
    <t>JTEBU4JR1G5318364</t>
  </si>
  <si>
    <t>09008205</t>
  </si>
  <si>
    <t>OBI294</t>
  </si>
  <si>
    <t>R7 CA7167R MT</t>
  </si>
  <si>
    <t>CA6GV1000068</t>
  </si>
  <si>
    <t>LFBH6BCN5C1L00232</t>
  </si>
  <si>
    <t>25706004</t>
  </si>
  <si>
    <t>OCK407</t>
  </si>
  <si>
    <t>CA6GV1000067</t>
  </si>
  <si>
    <t>LFBH6BCN5C1L00237</t>
  </si>
  <si>
    <t>BESTU RN B70</t>
  </si>
  <si>
    <t>EQUIPO ELÉCTRICOS, ELECTRÓNICOS Y DE COMUNICACIÓN (INCLUIDOS EQUIPOS MÓVILES Y PORTÁTILES, SOFTWARE Y LICENCIAS)</t>
  </si>
  <si>
    <t>BIENES DEVOLUTIVOS</t>
  </si>
  <si>
    <t>EQUIPO DE TRANSPORTE TRACCION Y ELEVACION</t>
  </si>
  <si>
    <t>ADECUACIÓN DE TERRENOS</t>
  </si>
  <si>
    <t>GRUPO 2</t>
  </si>
  <si>
    <t>TOTAL GRUPO 2</t>
  </si>
  <si>
    <t>TOTAL ESTUDIO</t>
  </si>
  <si>
    <t>GRUPO 1</t>
  </si>
  <si>
    <t>TOTAL GRUPO 1</t>
  </si>
  <si>
    <t>PRIMA 2026</t>
  </si>
  <si>
    <t>SAMC No. 10 DE 2023</t>
  </si>
  <si>
    <t>Responsabilidad Civil Riesgo Cibernetico Cyber</t>
  </si>
  <si>
    <t xml:space="preserve">DONACIONES </t>
  </si>
  <si>
    <t xml:space="preserve">PAPELERIA Y CONSUMIBLES </t>
  </si>
  <si>
    <t>RELACION DE BIENES 2026</t>
  </si>
  <si>
    <t>ESTUDIO DE MERCADO 2026</t>
  </si>
  <si>
    <t>AGENCIA DE DESARROLLO RURAL</t>
  </si>
  <si>
    <t>SELECCION ABREVIADA DE MENOR CUANTIA SAMC-03-2026</t>
  </si>
  <si>
    <t>UNIDAD DE INFORMACIÓN Y ANÁLISIS FINANCIERO - UIAF</t>
  </si>
  <si>
    <t>CONTRATACIÓN DIRECTA DE BIENES Y SERVICIOS QUE REQUIEREN DE RESERVA</t>
  </si>
  <si>
    <t>MC-008-2025</t>
  </si>
  <si>
    <t>PERSONERIA MUNICIPAL DE SOACHA</t>
  </si>
  <si>
    <t>SECRETARIA DISTRITAL DE HACIENDA</t>
  </si>
  <si>
    <t xml:space="preserve">LICITACIÓN PÚBLICA  No. SDH-LP-0001-2025 </t>
  </si>
  <si>
    <t>UNIDAD DE PLANEACIÓN DE INFRAESTRUCTURA DE TRANSPORTE</t>
  </si>
  <si>
    <t>UPIT-CA-002-2026</t>
  </si>
  <si>
    <t>DIRECCION NACIONAL DE INTELIGENCIA - DNI</t>
  </si>
  <si>
    <t xml:space="preserve">INSTITUTO DE VIVIENDA DE INTERES SOCIAL Y REFORMA URBANA BUCARAMANGA </t>
  </si>
  <si>
    <t>SA-001-2026 </t>
  </si>
  <si>
    <t>AGENCIA NACIONAL DEL ESPECTRO - ANE</t>
  </si>
  <si>
    <t>LICITACIÓN PÚBLICA No. 89 DE 2025</t>
  </si>
  <si>
    <t>DEPARTAMENTO ADMINISTRATIVO DEL SERVICIO CIVIL – DASC.</t>
  </si>
  <si>
    <t>DASCD-LP-002-2025</t>
  </si>
  <si>
    <t>BENEFICENCIA DE CUNDINAMARCA</t>
  </si>
  <si>
    <t>LICITACION PUBLICA 001 DE  2025</t>
  </si>
  <si>
    <t>ARTESANIAS DE COLOMBIA</t>
  </si>
  <si>
    <t xml:space="preserve"> INVITACIÓN ABIERTA ADC-004-2026</t>
  </si>
  <si>
    <t>AGENCIA LOGISTICA DE LAS FUERZA MILITARES</t>
  </si>
  <si>
    <t>LICITACIÓN PÚBLICA No. 002-046-2026</t>
  </si>
  <si>
    <t>COMPUTADORES PARA EDUCAR</t>
  </si>
  <si>
    <t>LICITACIÓN PÚBLICA No. 01 DE 2025</t>
  </si>
  <si>
    <t>CONTRALORIA DE BOGOTA</t>
  </si>
  <si>
    <t>LICITACIÓN PÚBLICA No. CB-LP-001-2026</t>
  </si>
  <si>
    <t>DIRECCION NACIONAL DE DERECHO DE AUTOR</t>
  </si>
  <si>
    <t>MC DNDA-028-2026</t>
  </si>
  <si>
    <t xml:space="preserve">CONTRATACION DIRECTA   2-2025-2336 </t>
  </si>
  <si>
    <t>CONTRALORIA GENERAL DE CALDAS -CGC</t>
  </si>
  <si>
    <t xml:space="preserve">SELECCIÓN ABREVIADA DE MENOR CUANTÍA No. SAMC-CGC-02-2025 </t>
  </si>
  <si>
    <t>SUPERINTENDENCIA DE INDUSTRIA Y COMERCIO - SIC</t>
  </si>
  <si>
    <t>LICITACIÓN PÚBLICA SIC 8 DE 2026</t>
  </si>
  <si>
    <t>DEPARTAMENTO DE CUNDINAMARCA</t>
  </si>
  <si>
    <t>LICITACIÓN PÚBLICA SG-LP-001-2025</t>
  </si>
  <si>
    <t>INSTITUTO NACIONAL DE VIGILANGIA DE MEDICAMENTOS Y ALIMENTOS - INVIMA</t>
  </si>
  <si>
    <t>LICITACIÓN PÚBLICA No. LP-003-2025</t>
  </si>
  <si>
    <t>CONCEJO DE BOGOTA</t>
  </si>
  <si>
    <t xml:space="preserve"> SELECCIÓN ABREVIADA DE MENOR CUANTIA No. SDH-SAMC-0001-2026 </t>
  </si>
  <si>
    <t>TASAS PROMEDIO 2026</t>
  </si>
  <si>
    <t xml:space="preserve">R.C. RIESGO CIBERNÉTICO CYBER </t>
  </si>
  <si>
    <t>MUNICIPIO DE QUEBRADANEGRA</t>
  </si>
  <si>
    <t>SAMC-014-2025</t>
  </si>
  <si>
    <t>INSTITUTO COLOMBIANO DE ANTROPOLOGÍA E HISTORIA ICANH</t>
  </si>
  <si>
    <t>DETERMINACION TASAS PROMEDIO</t>
  </si>
  <si>
    <t>PRIMA ESTIMADA
2027</t>
  </si>
  <si>
    <t>Nota: Tarifa de Soat 2026 incrementada al 2027 en el 10%.</t>
  </si>
  <si>
    <t>NOTA: LOS VALORES ASEGURADOS CORRESPONDEN A LA GUIA DE VALORES COMERCIALES DE FASECOLDA DEL 15 DE JUNIO DE 2026.</t>
  </si>
  <si>
    <t>INDICE VARIABLE</t>
  </si>
  <si>
    <t xml:space="preserve">RELACION DE VEHICULOS AUTOMÓVILES </t>
  </si>
  <si>
    <t>FAW H7</t>
  </si>
  <si>
    <t xml:space="preserve">DIFERENCIA </t>
  </si>
  <si>
    <t xml:space="preserve">AJUSTE POR SINIESTRALIDAD </t>
  </si>
  <si>
    <r>
      <t xml:space="preserve">VIGENCIA DESDE </t>
    </r>
    <r>
      <rPr>
        <sz val="11"/>
        <color rgb="FFFF0000"/>
        <rFont val="Arial Narrow"/>
        <family val="2"/>
      </rPr>
      <t>23:59 HORAS</t>
    </r>
  </si>
  <si>
    <r>
      <t xml:space="preserve">VIGENCIA HASTA </t>
    </r>
    <r>
      <rPr>
        <sz val="11"/>
        <color rgb="FFFF0000"/>
        <rFont val="Arial Narrow"/>
        <family val="2"/>
      </rPr>
      <t>23:59 HORAS</t>
    </r>
  </si>
  <si>
    <r>
      <t xml:space="preserve">VIGENCIA DESDE </t>
    </r>
    <r>
      <rPr>
        <sz val="11"/>
        <color rgb="FFFF0000"/>
        <rFont val="Arial Narrow"/>
        <family val="2"/>
      </rPr>
      <t>00:00 HORAS</t>
    </r>
  </si>
  <si>
    <r>
      <t xml:space="preserve">VIGENCIA HASTA </t>
    </r>
    <r>
      <rPr>
        <sz val="11"/>
        <color rgb="FFFF0000"/>
        <rFont val="Arial Narrow"/>
        <family val="2"/>
      </rPr>
      <t>00:00 HORAS</t>
    </r>
  </si>
  <si>
    <r>
      <t xml:space="preserve">GRUPO I. PROGRAMA DE </t>
    </r>
    <r>
      <rPr>
        <b/>
        <sz val="12"/>
        <color rgb="FFFF0000"/>
        <rFont val="Arial Narrow"/>
        <family val="2"/>
      </rPr>
      <t>SEGUROS GENERALES</t>
    </r>
    <r>
      <rPr>
        <b/>
        <sz val="12"/>
        <color theme="1"/>
        <rFont val="Arial Narrow"/>
        <family val="2"/>
      </rPr>
      <t xml:space="preserve"> </t>
    </r>
  </si>
  <si>
    <r>
      <t xml:space="preserve">GRUPO I. PROGRAMA DE SEGUROS GENERALES </t>
    </r>
    <r>
      <rPr>
        <b/>
        <sz val="12"/>
        <color rgb="FFFF0000"/>
        <rFont val="Arial Narrow"/>
        <family val="2"/>
      </rPr>
      <t xml:space="preserve">AUTOMÓVILES </t>
    </r>
  </si>
  <si>
    <r>
      <t xml:space="preserve">GRUPO II. R.C RIESGO </t>
    </r>
    <r>
      <rPr>
        <b/>
        <sz val="12"/>
        <color rgb="FFFF0000"/>
        <rFont val="Arial Narrow"/>
        <family val="2"/>
      </rPr>
      <t>CIBERNETICO CYBER</t>
    </r>
  </si>
  <si>
    <t>RESUMEN DE NOTAS ACLARATORIAS POR ASEGURADORA SOLIDARIA DE COLOMBIA EC PARA OTORGAR PRORROGA DEL PROGRAMA RESPECTO A LA SINIESTRALIDAD</t>
  </si>
  <si>
    <t>IMC-26-2025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</si>
</sst>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/mm/yyyy;@"/>
    <numFmt numFmtId="167" formatCode="_-* #,##0_-;\-* #,##0_-;_-* &quot;-&quot;??_-;_-@_-"/>
    <numFmt numFmtId="168" formatCode="_ &quot;$&quot;\ * #,##0.00_ ;_ &quot;$&quot;\ * \-#,##0.00_ ;_ &quot;$&quot;\ * &quot;-&quot;??_ ;_ @_ "/>
    <numFmt numFmtId="169" formatCode="&quot;$ &quot;#,##0"/>
    <numFmt numFmtId="170" formatCode="&quot;$&quot;\ #,##0"/>
    <numFmt numFmtId="171" formatCode="[$$-240A]#,##0;[Red]\-[$$-240A]#,##0"/>
    <numFmt numFmtId="172" formatCode="_(* #,##0_);_(* \(#,##0\);_(* &quot;-&quot;??_);_(@_)"/>
    <numFmt numFmtId="173" formatCode="[$$-240A]\ #,##0;[Red]\-[$$-240A]\ #,##0"/>
    <numFmt numFmtId="174" formatCode="[$$-240A]\ #,##0;\-[$$-240A]\ #,##0"/>
    <numFmt numFmtId="175" formatCode="&quot;$&quot;#,##0"/>
    <numFmt numFmtId="176" formatCode="_-&quot;$&quot;\ * #,##0_-;\-&quot;$&quot;\ * #,##0_-;_-&quot;$&quot;\ * &quot;-&quot;??_-;_-@_-"/>
    <numFmt numFmtId="177" formatCode="_-[$$-240A]\ * #,##0.0_-;\-[$$-240A]\ * #,##0.0_-;_-[$$-240A]\ * &quot;-&quot;??_-;_-@_-"/>
    <numFmt numFmtId="178" formatCode="_-[$$-240A]\ * #,##0_-;\-[$$-240A]\ * #,##0_-;_-[$$-240A]\ * &quot;-&quot;??_-;_-@_-"/>
    <numFmt numFmtId="179" formatCode="_-[$$-240A]\ * #,##0.00_-;\-[$$-240A]\ * #,##0.00_-;_-[$$-240A]\ * &quot;-&quot;??_-;_-@_-"/>
    <numFmt numFmtId="180" formatCode="[$$-240A]\ #,##0.00;\-[$$-240A]\ #,##0.00"/>
  </numFmts>
  <fonts count="3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2"/>
      <name val="Arial Narrow"/>
      <family val="2"/>
      <charset val="1"/>
    </font>
    <font>
      <sz val="12"/>
      <name val="Arial Narrow"/>
      <family val="2"/>
      <charset val="1"/>
    </font>
    <font>
      <sz val="11"/>
      <color indexed="8"/>
      <name val="Calibri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color indexed="8"/>
      <name val="Arial Narrow"/>
      <family val="2"/>
      <charset val="1"/>
    </font>
    <font>
      <b/>
      <sz val="12"/>
      <color indexed="8"/>
      <name val="Arial Narrow"/>
      <family val="2"/>
      <charset val="1"/>
    </font>
    <font>
      <b/>
      <sz val="12"/>
      <color theme="1"/>
      <name val="Arial Narrow"/>
      <family val="2"/>
    </font>
    <font>
      <b/>
      <sz val="10"/>
      <color rgb="FFFF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8"/>
      <color theme="1"/>
      <name val="Arial Narrow"/>
      <family val="2"/>
    </font>
    <font>
      <sz val="12"/>
      <name val="Arial Narrow"/>
      <family val="2"/>
    </font>
    <font>
      <sz val="10"/>
      <color theme="1"/>
      <name val="Aptos Narrow"/>
      <family val="2"/>
    </font>
    <font>
      <sz val="11"/>
      <name val="Arial Narrow"/>
      <family val="2"/>
    </font>
    <font>
      <sz val="12"/>
      <color rgb="FFFF0000"/>
      <name val="Arial Narrow"/>
      <family val="2"/>
      <charset val="1"/>
    </font>
    <font>
      <b/>
      <sz val="11"/>
      <name val="Arial Narrow"/>
      <family val="2"/>
    </font>
    <font>
      <b/>
      <sz val="20"/>
      <color theme="1"/>
      <name val="Arial Narrow"/>
      <family val="2"/>
    </font>
    <font>
      <b/>
      <sz val="20"/>
      <color rgb="FF0070C0"/>
      <name val="Arial Narrow"/>
      <family val="2"/>
    </font>
    <font>
      <b/>
      <sz val="20"/>
      <color rgb="FFFF0000"/>
      <name val="Arial Narrow"/>
      <family val="2"/>
    </font>
    <font>
      <b/>
      <sz val="13"/>
      <name val="Arial Narrow"/>
      <family val="2"/>
    </font>
    <font>
      <sz val="11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4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9"/>
      </patternFill>
    </fill>
    <fill>
      <patternFill patternType="solid">
        <fgColor rgb="FF92D050"/>
        <bgColor indexed="34"/>
      </patternFill>
    </fill>
    <fill>
      <patternFill patternType="solid">
        <fgColor theme="0"/>
        <bgColor theme="7" tint="0.79998168889431442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77">
    <xf numFmtId="0" fontId="0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8" fontId="1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3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</cellStyleXfs>
  <cellXfs count="252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41" fontId="8" fillId="0" borderId="0" xfId="2" applyFont="1"/>
    <xf numFmtId="41" fontId="8" fillId="0" borderId="0" xfId="0" applyNumberFormat="1" applyFont="1"/>
    <xf numFmtId="0" fontId="13" fillId="0" borderId="0" xfId="161" applyNumberFormat="1" applyFont="1" applyAlignment="1">
      <alignment horizontal="center" vertical="center"/>
    </xf>
    <xf numFmtId="0" fontId="13" fillId="2" borderId="0" xfId="161" applyNumberFormat="1" applyFont="1" applyFill="1" applyAlignment="1">
      <alignment horizontal="center" vertical="center"/>
    </xf>
    <xf numFmtId="0" fontId="16" fillId="0" borderId="0" xfId="0" applyFont="1"/>
    <xf numFmtId="0" fontId="17" fillId="0" borderId="0" xfId="161" applyNumberFormat="1" applyFont="1" applyAlignment="1">
      <alignment horizontal="center" vertical="center"/>
    </xf>
    <xf numFmtId="171" fontId="17" fillId="0" borderId="0" xfId="161" applyNumberFormat="1" applyFont="1" applyAlignment="1">
      <alignment horizontal="right" vertical="center"/>
    </xf>
    <xf numFmtId="167" fontId="13" fillId="0" borderId="0" xfId="1" applyNumberFormat="1" applyFont="1" applyAlignment="1">
      <alignment horizontal="center" vertical="center"/>
    </xf>
    <xf numFmtId="167" fontId="13" fillId="0" borderId="0" xfId="161" applyNumberFormat="1" applyFont="1" applyAlignment="1">
      <alignment horizontal="center" vertical="center"/>
    </xf>
    <xf numFmtId="14" fontId="8" fillId="0" borderId="0" xfId="0" applyNumberFormat="1" applyFont="1"/>
    <xf numFmtId="0" fontId="21" fillId="0" borderId="0" xfId="0" applyFont="1"/>
    <xf numFmtId="166" fontId="21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41" fontId="21" fillId="0" borderId="0" xfId="2" applyFont="1"/>
    <xf numFmtId="175" fontId="19" fillId="4" borderId="4" xfId="1" applyNumberFormat="1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41" fontId="19" fillId="4" borderId="2" xfId="2" applyFont="1" applyFill="1" applyBorder="1" applyAlignment="1">
      <alignment horizontal="center" vertical="center" wrapText="1"/>
    </xf>
    <xf numFmtId="41" fontId="19" fillId="4" borderId="9" xfId="2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vertical="center"/>
    </xf>
    <xf numFmtId="0" fontId="21" fillId="0" borderId="10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173" fontId="21" fillId="0" borderId="13" xfId="0" applyNumberFormat="1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174" fontId="21" fillId="0" borderId="13" xfId="2" applyNumberFormat="1" applyFont="1" applyBorder="1" applyAlignment="1">
      <alignment vertical="center"/>
    </xf>
    <xf numFmtId="0" fontId="24" fillId="0" borderId="16" xfId="161" applyNumberFormat="1" applyFont="1" applyBorder="1" applyAlignment="1">
      <alignment horizontal="left" vertical="center"/>
    </xf>
    <xf numFmtId="176" fontId="8" fillId="0" borderId="16" xfId="169" applyNumberFormat="1" applyFont="1" applyBorder="1" applyAlignment="1">
      <alignment horizontal="right" vertical="center" wrapText="1" shrinkToFit="1"/>
    </xf>
    <xf numFmtId="176" fontId="25" fillId="4" borderId="16" xfId="169" applyNumberFormat="1" applyFont="1" applyFill="1" applyBorder="1" applyAlignment="1">
      <alignment horizontal="right" vertical="center"/>
    </xf>
    <xf numFmtId="0" fontId="25" fillId="4" borderId="16" xfId="161" applyNumberFormat="1" applyFont="1" applyFill="1" applyBorder="1" applyAlignment="1">
      <alignment horizontal="center" vertical="center"/>
    </xf>
    <xf numFmtId="0" fontId="25" fillId="4" borderId="16" xfId="16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176" fontId="8" fillId="0" borderId="0" xfId="169" applyNumberFormat="1" applyFont="1" applyFill="1" applyBorder="1" applyAlignment="1">
      <alignment horizontal="center" vertical="center"/>
    </xf>
    <xf numFmtId="176" fontId="9" fillId="0" borderId="0" xfId="169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4" fontId="8" fillId="0" borderId="15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2" fontId="21" fillId="0" borderId="14" xfId="0" applyNumberFormat="1" applyFont="1" applyBorder="1" applyAlignment="1">
      <alignment horizontal="center" vertical="center"/>
    </xf>
    <xf numFmtId="173" fontId="21" fillId="0" borderId="15" xfId="0" applyNumberFormat="1" applyFont="1" applyBorder="1" applyAlignment="1">
      <alignment vertical="center"/>
    </xf>
    <xf numFmtId="0" fontId="21" fillId="0" borderId="15" xfId="0" applyFont="1" applyBorder="1" applyAlignment="1">
      <alignment horizontal="center" vertical="center"/>
    </xf>
    <xf numFmtId="4" fontId="21" fillId="0" borderId="15" xfId="0" applyNumberFormat="1" applyFont="1" applyBorder="1" applyAlignment="1">
      <alignment horizontal="center" vertical="center"/>
    </xf>
    <xf numFmtId="2" fontId="21" fillId="0" borderId="15" xfId="0" applyNumberFormat="1" applyFont="1" applyBorder="1" applyAlignment="1">
      <alignment horizontal="center" vertical="center"/>
    </xf>
    <xf numFmtId="172" fontId="22" fillId="4" borderId="16" xfId="166" applyNumberFormat="1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 wrapText="1"/>
    </xf>
    <xf numFmtId="173" fontId="24" fillId="0" borderId="16" xfId="161" applyNumberFormat="1" applyFont="1" applyBorder="1" applyAlignment="1">
      <alignment horizontal="right" vertical="center"/>
    </xf>
    <xf numFmtId="9" fontId="24" fillId="0" borderId="16" xfId="168" applyFont="1" applyBorder="1" applyAlignment="1">
      <alignment horizontal="center" vertical="center"/>
    </xf>
    <xf numFmtId="173" fontId="25" fillId="4" borderId="16" xfId="161" applyNumberFormat="1" applyFont="1" applyFill="1" applyBorder="1" applyAlignment="1">
      <alignment horizontal="right" vertical="center"/>
    </xf>
    <xf numFmtId="0" fontId="23" fillId="4" borderId="16" xfId="161" applyNumberFormat="1" applyFont="1" applyFill="1" applyBorder="1" applyAlignment="1">
      <alignment horizontal="center" vertical="center"/>
    </xf>
    <xf numFmtId="3" fontId="12" fillId="6" borderId="16" xfId="161" applyNumberFormat="1" applyFont="1" applyFill="1" applyBorder="1" applyAlignment="1">
      <alignment horizontal="center" vertical="center" wrapText="1"/>
    </xf>
    <xf numFmtId="0" fontId="12" fillId="6" borderId="16" xfId="161" applyNumberFormat="1" applyFont="1" applyFill="1" applyBorder="1" applyAlignment="1">
      <alignment horizontal="center" vertical="center" wrapText="1"/>
    </xf>
    <xf numFmtId="3" fontId="13" fillId="2" borderId="16" xfId="161" applyNumberFormat="1" applyFont="1" applyFill="1" applyBorder="1" applyAlignment="1">
      <alignment horizontal="center" vertical="center"/>
    </xf>
    <xf numFmtId="0" fontId="13" fillId="3" borderId="16" xfId="161" applyNumberFormat="1" applyFont="1" applyFill="1" applyBorder="1" applyAlignment="1">
      <alignment horizontal="center" vertical="center"/>
    </xf>
    <xf numFmtId="0" fontId="13" fillId="2" borderId="16" xfId="161" applyNumberFormat="1" applyFont="1" applyFill="1" applyBorder="1" applyAlignment="1" applyProtection="1">
      <alignment horizontal="center" vertical="center" wrapText="1"/>
    </xf>
    <xf numFmtId="3" fontId="13" fillId="3" borderId="16" xfId="161" applyNumberFormat="1" applyFont="1" applyFill="1" applyBorder="1" applyAlignment="1">
      <alignment horizontal="center" vertical="center"/>
    </xf>
    <xf numFmtId="0" fontId="13" fillId="2" borderId="16" xfId="161" applyNumberFormat="1" applyFont="1" applyFill="1" applyBorder="1" applyAlignment="1">
      <alignment horizontal="center" vertical="center"/>
    </xf>
    <xf numFmtId="169" fontId="13" fillId="2" borderId="16" xfId="161" applyNumberFormat="1" applyFont="1" applyFill="1" applyBorder="1" applyAlignment="1">
      <alignment horizontal="right" vertical="center" indent="1"/>
    </xf>
    <xf numFmtId="169" fontId="12" fillId="7" borderId="16" xfId="161" applyNumberFormat="1" applyFont="1" applyFill="1" applyBorder="1" applyAlignment="1">
      <alignment horizontal="right" vertical="center" indent="1"/>
    </xf>
    <xf numFmtId="174" fontId="19" fillId="4" borderId="6" xfId="2" applyNumberFormat="1" applyFont="1" applyFill="1" applyBorder="1" applyAlignment="1"/>
    <xf numFmtId="174" fontId="19" fillId="4" borderId="7" xfId="2" applyNumberFormat="1" applyFont="1" applyFill="1" applyBorder="1" applyAlignment="1"/>
    <xf numFmtId="0" fontId="24" fillId="0" borderId="16" xfId="161" applyNumberFormat="1" applyFont="1" applyBorder="1" applyAlignment="1">
      <alignment vertical="center"/>
    </xf>
    <xf numFmtId="2" fontId="7" fillId="4" borderId="13" xfId="0" applyNumberFormat="1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" vertical="center" wrapText="1"/>
    </xf>
    <xf numFmtId="2" fontId="8" fillId="0" borderId="1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69" fontId="13" fillId="2" borderId="16" xfId="161" applyNumberFormat="1" applyFont="1" applyFill="1" applyBorder="1" applyAlignment="1">
      <alignment horizontal="center" vertical="center"/>
    </xf>
    <xf numFmtId="3" fontId="15" fillId="4" borderId="16" xfId="0" applyNumberFormat="1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170" fontId="15" fillId="4" borderId="16" xfId="0" applyNumberFormat="1" applyFont="1" applyFill="1" applyBorder="1" applyAlignment="1">
      <alignment vertical="center"/>
    </xf>
    <xf numFmtId="0" fontId="24" fillId="0" borderId="16" xfId="161" applyNumberFormat="1" applyFont="1" applyBorder="1" applyAlignment="1">
      <alignment horizontal="justify" vertical="center" wrapText="1"/>
    </xf>
    <xf numFmtId="174" fontId="19" fillId="5" borderId="35" xfId="2" applyNumberFormat="1" applyFont="1" applyFill="1" applyBorder="1" applyAlignment="1">
      <alignment horizontal="right" vertical="center"/>
    </xf>
    <xf numFmtId="1" fontId="8" fillId="0" borderId="0" xfId="0" applyNumberFormat="1" applyFont="1"/>
    <xf numFmtId="43" fontId="8" fillId="0" borderId="0" xfId="1" applyFont="1"/>
    <xf numFmtId="43" fontId="8" fillId="0" borderId="0" xfId="0" applyNumberFormat="1" applyFont="1"/>
    <xf numFmtId="174" fontId="19" fillId="4" borderId="36" xfId="2" applyNumberFormat="1" applyFont="1" applyFill="1" applyBorder="1" applyAlignment="1"/>
    <xf numFmtId="0" fontId="24" fillId="0" borderId="16" xfId="161" applyNumberFormat="1" applyFont="1" applyBorder="1" applyAlignment="1">
      <alignment horizontal="left" vertical="center" wrapText="1"/>
    </xf>
    <xf numFmtId="0" fontId="17" fillId="2" borderId="0" xfId="161" applyNumberFormat="1" applyFont="1" applyFill="1" applyAlignment="1">
      <alignment horizontal="center" vertical="center"/>
    </xf>
    <xf numFmtId="171" fontId="17" fillId="2" borderId="0" xfId="161" applyNumberFormat="1" applyFont="1" applyFill="1" applyAlignment="1">
      <alignment horizontal="right" vertical="center"/>
    </xf>
    <xf numFmtId="0" fontId="18" fillId="2" borderId="0" xfId="161" applyNumberFormat="1" applyFont="1" applyFill="1" applyAlignment="1">
      <alignment vertical="center"/>
    </xf>
    <xf numFmtId="0" fontId="8" fillId="2" borderId="15" xfId="0" applyFont="1" applyFill="1" applyBorder="1"/>
    <xf numFmtId="0" fontId="8" fillId="0" borderId="15" xfId="0" applyFont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wrapText="1"/>
    </xf>
    <xf numFmtId="0" fontId="8" fillId="2" borderId="15" xfId="0" applyFont="1" applyFill="1" applyBorder="1" applyAlignment="1">
      <alignment vertical="center"/>
    </xf>
    <xf numFmtId="0" fontId="8" fillId="8" borderId="15" xfId="0" applyFont="1" applyFill="1" applyBorder="1"/>
    <xf numFmtId="0" fontId="8" fillId="0" borderId="15" xfId="0" applyFont="1" applyBorder="1"/>
    <xf numFmtId="0" fontId="28" fillId="2" borderId="15" xfId="0" applyFont="1" applyFill="1" applyBorder="1"/>
    <xf numFmtId="4" fontId="20" fillId="0" borderId="24" xfId="0" applyNumberFormat="1" applyFont="1" applyBorder="1" applyAlignment="1">
      <alignment horizontal="center" vertical="center" wrapText="1"/>
    </xf>
    <xf numFmtId="2" fontId="8" fillId="0" borderId="23" xfId="0" applyNumberFormat="1" applyFont="1" applyBorder="1" applyAlignment="1">
      <alignment vertical="center" wrapText="1"/>
    </xf>
    <xf numFmtId="2" fontId="8" fillId="0" borderId="20" xfId="0" applyNumberFormat="1" applyFont="1" applyBorder="1" applyAlignment="1">
      <alignment vertical="center" wrapText="1"/>
    </xf>
    <xf numFmtId="2" fontId="8" fillId="0" borderId="26" xfId="0" applyNumberFormat="1" applyFont="1" applyBorder="1" applyAlignment="1">
      <alignment vertical="center" wrapText="1"/>
    </xf>
    <xf numFmtId="174" fontId="8" fillId="0" borderId="0" xfId="0" applyNumberFormat="1" applyFont="1"/>
    <xf numFmtId="4" fontId="0" fillId="0" borderId="0" xfId="0" applyNumberFormat="1"/>
    <xf numFmtId="0" fontId="28" fillId="2" borderId="5" xfId="0" applyFont="1" applyFill="1" applyBorder="1"/>
    <xf numFmtId="0" fontId="28" fillId="2" borderId="12" xfId="0" applyFont="1" applyFill="1" applyBorder="1"/>
    <xf numFmtId="169" fontId="27" fillId="2" borderId="16" xfId="161" applyNumberFormat="1" applyFont="1" applyFill="1" applyBorder="1" applyAlignment="1">
      <alignment horizontal="right" vertical="center" indent="1"/>
    </xf>
    <xf numFmtId="2" fontId="0" fillId="0" borderId="0" xfId="0" applyNumberFormat="1"/>
    <xf numFmtId="4" fontId="21" fillId="2" borderId="0" xfId="0" applyNumberFormat="1" applyFont="1" applyFill="1" applyAlignment="1">
      <alignment horizontal="center" vertical="center"/>
    </xf>
    <xf numFmtId="4" fontId="29" fillId="2" borderId="0" xfId="0" applyNumberFormat="1" applyFont="1" applyFill="1" applyAlignment="1">
      <alignment horizontal="center" vertical="center"/>
    </xf>
    <xf numFmtId="0" fontId="7" fillId="0" borderId="0" xfId="0" applyFont="1"/>
    <xf numFmtId="174" fontId="19" fillId="5" borderId="9" xfId="2" applyNumberFormat="1" applyFont="1" applyFill="1" applyBorder="1" applyAlignment="1">
      <alignment horizontal="right" vertical="center"/>
    </xf>
    <xf numFmtId="177" fontId="8" fillId="0" borderId="0" xfId="0" applyNumberFormat="1" applyFont="1"/>
    <xf numFmtId="178" fontId="8" fillId="0" borderId="0" xfId="0" applyNumberFormat="1" applyFont="1"/>
    <xf numFmtId="173" fontId="29" fillId="2" borderId="13" xfId="0" applyNumberFormat="1" applyFont="1" applyFill="1" applyBorder="1" applyAlignment="1">
      <alignment vertical="center"/>
    </xf>
    <xf numFmtId="0" fontId="19" fillId="4" borderId="23" xfId="0" applyFont="1" applyFill="1" applyBorder="1" applyAlignment="1">
      <alignment horizontal="center" vertical="center" wrapText="1"/>
    </xf>
    <xf numFmtId="41" fontId="19" fillId="4" borderId="23" xfId="2" applyFont="1" applyFill="1" applyBorder="1" applyAlignment="1">
      <alignment horizontal="center" vertical="center" wrapText="1"/>
    </xf>
    <xf numFmtId="41" fontId="19" fillId="4" borderId="28" xfId="2" applyFont="1" applyFill="1" applyBorder="1" applyAlignment="1">
      <alignment horizontal="center" vertical="center" wrapText="1"/>
    </xf>
    <xf numFmtId="174" fontId="21" fillId="0" borderId="27" xfId="2" applyNumberFormat="1" applyFont="1" applyBorder="1" applyAlignment="1">
      <alignment vertical="center"/>
    </xf>
    <xf numFmtId="0" fontId="21" fillId="0" borderId="37" xfId="0" applyFont="1" applyBorder="1" applyAlignment="1">
      <alignment horizontal="left" vertical="center" wrapText="1"/>
    </xf>
    <xf numFmtId="173" fontId="29" fillId="2" borderId="14" xfId="0" applyNumberFormat="1" applyFont="1" applyFill="1" applyBorder="1" applyAlignment="1">
      <alignment vertical="center"/>
    </xf>
    <xf numFmtId="0" fontId="19" fillId="4" borderId="22" xfId="0" applyFont="1" applyFill="1" applyBorder="1" applyAlignment="1">
      <alignment horizontal="center" vertical="center" wrapText="1"/>
    </xf>
    <xf numFmtId="173" fontId="29" fillId="2" borderId="15" xfId="0" applyNumberFormat="1" applyFont="1" applyFill="1" applyBorder="1" applyAlignment="1">
      <alignment vertical="center"/>
    </xf>
    <xf numFmtId="4" fontId="8" fillId="2" borderId="15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4" fontId="8" fillId="2" borderId="13" xfId="0" applyNumberFormat="1" applyFont="1" applyFill="1" applyBorder="1" applyAlignment="1">
      <alignment horizontal="center" vertical="center" wrapText="1"/>
    </xf>
    <xf numFmtId="2" fontId="8" fillId="2" borderId="15" xfId="0" applyNumberFormat="1" applyFont="1" applyFill="1" applyBorder="1" applyAlignment="1">
      <alignment horizontal="center" vertical="center" wrapText="1"/>
    </xf>
    <xf numFmtId="0" fontId="0" fillId="2" borderId="0" xfId="0" applyFill="1"/>
    <xf numFmtId="178" fontId="21" fillId="2" borderId="0" xfId="0" applyNumberFormat="1" applyFont="1" applyFill="1" applyAlignment="1">
      <alignment horizontal="center" vertical="center"/>
    </xf>
    <xf numFmtId="166" fontId="29" fillId="0" borderId="0" xfId="0" applyNumberFormat="1" applyFont="1" applyAlignment="1">
      <alignment horizontal="center" vertical="center"/>
    </xf>
    <xf numFmtId="1" fontId="31" fillId="0" borderId="0" xfId="0" applyNumberFormat="1" applyFont="1" applyAlignment="1">
      <alignment horizontal="center" vertical="center"/>
    </xf>
    <xf numFmtId="174" fontId="19" fillId="4" borderId="7" xfId="2" applyNumberFormat="1" applyFont="1" applyFill="1" applyBorder="1" applyAlignment="1">
      <alignment vertical="center"/>
    </xf>
    <xf numFmtId="173" fontId="24" fillId="2" borderId="16" xfId="161" applyNumberFormat="1" applyFont="1" applyFill="1" applyBorder="1" applyAlignment="1">
      <alignment horizontal="right" vertical="center"/>
    </xf>
    <xf numFmtId="0" fontId="32" fillId="2" borderId="0" xfId="163" applyFont="1" applyFill="1" applyAlignment="1">
      <alignment horizontal="center"/>
    </xf>
    <xf numFmtId="0" fontId="8" fillId="2" borderId="0" xfId="163" applyFont="1" applyFill="1"/>
    <xf numFmtId="0" fontId="11" fillId="2" borderId="0" xfId="163" applyFill="1"/>
    <xf numFmtId="170" fontId="16" fillId="0" borderId="0" xfId="0" applyNumberFormat="1" applyFont="1"/>
    <xf numFmtId="179" fontId="8" fillId="0" borderId="0" xfId="0" applyNumberFormat="1" applyFont="1"/>
    <xf numFmtId="0" fontId="13" fillId="2" borderId="16" xfId="161" applyNumberFormat="1" applyFont="1" applyFill="1" applyBorder="1" applyAlignment="1" applyProtection="1">
      <alignment horizontal="center" vertical="center"/>
    </xf>
    <xf numFmtId="170" fontId="27" fillId="2" borderId="16" xfId="164" applyNumberFormat="1" applyFont="1" applyFill="1" applyBorder="1" applyAlignment="1">
      <alignment horizontal="left"/>
    </xf>
    <xf numFmtId="0" fontId="27" fillId="2" borderId="16" xfId="0" applyFont="1" applyFill="1" applyBorder="1" applyAlignment="1">
      <alignment horizontal="center" vertical="center"/>
    </xf>
    <xf numFmtId="3" fontId="27" fillId="2" borderId="16" xfId="0" applyNumberFormat="1" applyFont="1" applyFill="1" applyBorder="1" applyAlignment="1">
      <alignment horizontal="center" vertical="center"/>
    </xf>
    <xf numFmtId="0" fontId="27" fillId="2" borderId="16" xfId="0" applyFont="1" applyFill="1" applyBorder="1" applyAlignment="1">
      <alignment horizontal="center"/>
    </xf>
    <xf numFmtId="49" fontId="27" fillId="2" borderId="16" xfId="0" applyNumberFormat="1" applyFont="1" applyFill="1" applyBorder="1" applyAlignment="1">
      <alignment horizontal="left" vertical="center"/>
    </xf>
    <xf numFmtId="3" fontId="27" fillId="2" borderId="16" xfId="0" applyNumberFormat="1" applyFont="1" applyFill="1" applyBorder="1" applyAlignment="1">
      <alignment horizontal="left" vertical="center"/>
    </xf>
    <xf numFmtId="14" fontId="27" fillId="2" borderId="16" xfId="0" applyNumberFormat="1" applyFont="1" applyFill="1" applyBorder="1" applyAlignment="1">
      <alignment horizontal="center"/>
    </xf>
    <xf numFmtId="170" fontId="27" fillId="2" borderId="16" xfId="0" applyNumberFormat="1" applyFont="1" applyFill="1" applyBorder="1"/>
    <xf numFmtId="180" fontId="21" fillId="0" borderId="14" xfId="2" applyNumberFormat="1" applyFont="1" applyBorder="1" applyAlignment="1">
      <alignment vertical="center"/>
    </xf>
    <xf numFmtId="180" fontId="21" fillId="0" borderId="11" xfId="2" applyNumberFormat="1" applyFont="1" applyBorder="1" applyAlignment="1">
      <alignment vertical="center"/>
    </xf>
    <xf numFmtId="180" fontId="21" fillId="0" borderId="15" xfId="2" applyNumberFormat="1" applyFont="1" applyBorder="1" applyAlignment="1">
      <alignment vertical="center"/>
    </xf>
    <xf numFmtId="180" fontId="21" fillId="0" borderId="21" xfId="2" applyNumberFormat="1" applyFont="1" applyBorder="1" applyAlignment="1">
      <alignment vertical="center"/>
    </xf>
    <xf numFmtId="180" fontId="21" fillId="0" borderId="13" xfId="2" applyNumberFormat="1" applyFont="1" applyBorder="1" applyAlignment="1">
      <alignment vertical="center"/>
    </xf>
    <xf numFmtId="0" fontId="21" fillId="2" borderId="5" xfId="0" applyFont="1" applyFill="1" applyBorder="1" applyAlignment="1">
      <alignment vertical="center"/>
    </xf>
    <xf numFmtId="173" fontId="21" fillId="2" borderId="15" xfId="0" applyNumberFormat="1" applyFont="1" applyFill="1" applyBorder="1" applyAlignment="1">
      <alignment horizontal="center" vertical="center"/>
    </xf>
    <xf numFmtId="173" fontId="21" fillId="2" borderId="15" xfId="0" applyNumberFormat="1" applyFont="1" applyFill="1" applyBorder="1" applyAlignment="1">
      <alignment vertical="center"/>
    </xf>
    <xf numFmtId="0" fontId="21" fillId="2" borderId="15" xfId="0" applyFont="1" applyFill="1" applyBorder="1" applyAlignment="1">
      <alignment horizontal="center" vertical="center"/>
    </xf>
    <xf numFmtId="180" fontId="21" fillId="2" borderId="14" xfId="2" applyNumberFormat="1" applyFont="1" applyFill="1" applyBorder="1" applyAlignment="1">
      <alignment vertical="center"/>
    </xf>
    <xf numFmtId="180" fontId="21" fillId="2" borderId="15" xfId="2" applyNumberFormat="1" applyFont="1" applyFill="1" applyBorder="1" applyAlignment="1">
      <alignment vertical="center"/>
    </xf>
    <xf numFmtId="180" fontId="29" fillId="0" borderId="14" xfId="2" applyNumberFormat="1" applyFont="1" applyBorder="1" applyAlignment="1">
      <alignment vertical="center"/>
    </xf>
    <xf numFmtId="0" fontId="16" fillId="2" borderId="16" xfId="161" applyNumberFormat="1" applyFont="1" applyFill="1" applyBorder="1" applyAlignment="1">
      <alignment horizontal="center" vertical="center" wrapText="1"/>
    </xf>
    <xf numFmtId="180" fontId="19" fillId="4" borderId="7" xfId="2" applyNumberFormat="1" applyFont="1" applyFill="1" applyBorder="1" applyAlignment="1">
      <alignment vertical="center"/>
    </xf>
    <xf numFmtId="169" fontId="30" fillId="2" borderId="16" xfId="161" applyNumberFormat="1" applyFont="1" applyFill="1" applyBorder="1" applyAlignment="1">
      <alignment horizontal="right" vertical="center" indent="1"/>
    </xf>
    <xf numFmtId="49" fontId="13" fillId="3" borderId="16" xfId="162" applyNumberFormat="1" applyFont="1" applyFill="1" applyBorder="1" applyAlignment="1" applyProtection="1">
      <alignment horizontal="center" vertical="center"/>
    </xf>
    <xf numFmtId="0" fontId="30" fillId="3" borderId="16" xfId="161" applyNumberFormat="1" applyFont="1" applyFill="1" applyBorder="1" applyAlignment="1">
      <alignment horizontal="center" vertical="center"/>
    </xf>
    <xf numFmtId="0" fontId="30" fillId="2" borderId="16" xfId="161" applyNumberFormat="1" applyFont="1" applyFill="1" applyBorder="1" applyAlignment="1" applyProtection="1">
      <alignment horizontal="center" vertical="center" wrapText="1"/>
    </xf>
    <xf numFmtId="3" fontId="30" fillId="3" borderId="16" xfId="161" applyNumberFormat="1" applyFont="1" applyFill="1" applyBorder="1" applyAlignment="1">
      <alignment horizontal="center" vertical="center"/>
    </xf>
    <xf numFmtId="2" fontId="20" fillId="4" borderId="13" xfId="0" applyNumberFormat="1" applyFont="1" applyFill="1" applyBorder="1" applyAlignment="1">
      <alignment horizontal="center" vertical="center" wrapText="1"/>
    </xf>
    <xf numFmtId="0" fontId="8" fillId="2" borderId="13" xfId="0" applyFont="1" applyFill="1" applyBorder="1"/>
    <xf numFmtId="2" fontId="8" fillId="2" borderId="20" xfId="0" applyNumberFormat="1" applyFont="1" applyFill="1" applyBorder="1" applyAlignment="1">
      <alignment vertical="center" wrapText="1"/>
    </xf>
    <xf numFmtId="2" fontId="8" fillId="2" borderId="26" xfId="0" applyNumberFormat="1" applyFont="1" applyFill="1" applyBorder="1" applyAlignment="1">
      <alignment vertical="center" wrapText="1"/>
    </xf>
    <xf numFmtId="166" fontId="36" fillId="0" borderId="0" xfId="0" applyNumberFormat="1" applyFont="1" applyAlignment="1">
      <alignment horizontal="center" vertical="center"/>
    </xf>
    <xf numFmtId="180" fontId="8" fillId="0" borderId="0" xfId="1" applyNumberFormat="1" applyFont="1"/>
    <xf numFmtId="174" fontId="22" fillId="0" borderId="21" xfId="2" applyNumberFormat="1" applyFont="1" applyBorder="1" applyAlignment="1">
      <alignment vertical="center"/>
    </xf>
    <xf numFmtId="0" fontId="38" fillId="2" borderId="0" xfId="0" applyFont="1" applyFill="1"/>
    <xf numFmtId="174" fontId="22" fillId="0" borderId="13" xfId="2" applyNumberFormat="1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2" fontId="8" fillId="0" borderId="0" xfId="0" applyNumberFormat="1" applyFont="1"/>
    <xf numFmtId="0" fontId="19" fillId="4" borderId="6" xfId="0" applyFont="1" applyFill="1" applyBorder="1" applyAlignment="1">
      <alignment horizontal="center"/>
    </xf>
    <xf numFmtId="0" fontId="19" fillId="4" borderId="7" xfId="0" applyFont="1" applyFill="1" applyBorder="1" applyAlignment="1">
      <alignment horizontal="center"/>
    </xf>
    <xf numFmtId="0" fontId="19" fillId="4" borderId="8" xfId="0" applyFont="1" applyFill="1" applyBorder="1" applyAlignment="1">
      <alignment horizontal="center"/>
    </xf>
    <xf numFmtId="0" fontId="19" fillId="4" borderId="32" xfId="0" applyFont="1" applyFill="1" applyBorder="1" applyAlignment="1">
      <alignment horizontal="center"/>
    </xf>
    <xf numFmtId="0" fontId="19" fillId="4" borderId="33" xfId="0" applyFont="1" applyFill="1" applyBorder="1" applyAlignment="1">
      <alignment horizontal="center"/>
    </xf>
    <xf numFmtId="0" fontId="19" fillId="4" borderId="34" xfId="0" applyFont="1" applyFill="1" applyBorder="1" applyAlignment="1">
      <alignment horizontal="center"/>
    </xf>
    <xf numFmtId="0" fontId="35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43" fontId="7" fillId="4" borderId="22" xfId="1" applyFont="1" applyFill="1" applyBorder="1" applyAlignment="1">
      <alignment horizontal="center" vertical="center" wrapText="1"/>
    </xf>
    <xf numFmtId="43" fontId="7" fillId="4" borderId="12" xfId="1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2" fontId="7" fillId="4" borderId="24" xfId="0" applyNumberFormat="1" applyFont="1" applyFill="1" applyBorder="1" applyAlignment="1">
      <alignment horizontal="center" vertical="center" wrapText="1"/>
    </xf>
    <xf numFmtId="2" fontId="7" fillId="4" borderId="13" xfId="0" applyNumberFormat="1" applyFont="1" applyFill="1" applyBorder="1" applyAlignment="1">
      <alignment horizontal="center" vertical="center" wrapText="1"/>
    </xf>
    <xf numFmtId="43" fontId="7" fillId="4" borderId="23" xfId="1" applyFont="1" applyFill="1" applyBorder="1" applyAlignment="1">
      <alignment horizontal="center" vertical="center" wrapText="1"/>
    </xf>
    <xf numFmtId="43" fontId="7" fillId="4" borderId="26" xfId="1" applyFont="1" applyFill="1" applyBorder="1" applyAlignment="1">
      <alignment horizontal="center" vertical="center" wrapText="1"/>
    </xf>
    <xf numFmtId="0" fontId="31" fillId="4" borderId="38" xfId="0" applyFont="1" applyFill="1" applyBorder="1" applyAlignment="1">
      <alignment horizontal="center" vertical="center" wrapText="1"/>
    </xf>
    <xf numFmtId="0" fontId="31" fillId="4" borderId="39" xfId="0" applyFont="1" applyFill="1" applyBorder="1" applyAlignment="1">
      <alignment horizontal="center" vertical="center" wrapText="1"/>
    </xf>
    <xf numFmtId="0" fontId="31" fillId="4" borderId="40" xfId="0" applyFont="1" applyFill="1" applyBorder="1" applyAlignment="1">
      <alignment horizontal="center" vertical="center" wrapText="1"/>
    </xf>
    <xf numFmtId="10" fontId="20" fillId="0" borderId="23" xfId="0" applyNumberFormat="1" applyFont="1" applyBorder="1" applyAlignment="1">
      <alignment horizontal="center" vertical="center" wrapText="1"/>
    </xf>
    <xf numFmtId="10" fontId="20" fillId="0" borderId="14" xfId="0" applyNumberFormat="1" applyFont="1" applyBorder="1" applyAlignment="1">
      <alignment horizontal="center" vertical="center" wrapText="1"/>
    </xf>
    <xf numFmtId="4" fontId="20" fillId="0" borderId="23" xfId="0" applyNumberFormat="1" applyFont="1" applyBorder="1" applyAlignment="1">
      <alignment horizontal="center" vertical="center" wrapText="1"/>
    </xf>
    <xf numFmtId="4" fontId="20" fillId="0" borderId="14" xfId="0" applyNumberFormat="1" applyFont="1" applyBorder="1" applyAlignment="1">
      <alignment horizontal="center" vertical="center" wrapText="1"/>
    </xf>
    <xf numFmtId="9" fontId="8" fillId="0" borderId="25" xfId="0" applyNumberFormat="1" applyFont="1" applyBorder="1" applyAlignment="1">
      <alignment horizontal="center" vertical="center" wrapText="1"/>
    </xf>
    <xf numFmtId="9" fontId="8" fillId="0" borderId="21" xfId="0" applyNumberFormat="1" applyFont="1" applyBorder="1" applyAlignment="1">
      <alignment horizontal="center" vertical="center" wrapText="1"/>
    </xf>
    <xf numFmtId="9" fontId="8" fillId="0" borderId="27" xfId="0" applyNumberFormat="1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4" fontId="8" fillId="2" borderId="20" xfId="0" applyNumberFormat="1" applyFont="1" applyFill="1" applyBorder="1" applyAlignment="1">
      <alignment horizontal="center" vertical="center" wrapText="1"/>
    </xf>
    <xf numFmtId="4" fontId="8" fillId="2" borderId="26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2" fontId="8" fillId="2" borderId="20" xfId="0" applyNumberFormat="1" applyFont="1" applyFill="1" applyBorder="1" applyAlignment="1">
      <alignment horizontal="center" vertical="center" wrapText="1"/>
    </xf>
    <xf numFmtId="2" fontId="8" fillId="2" borderId="26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2" fillId="2" borderId="0" xfId="161" applyNumberFormat="1" applyFont="1" applyFill="1" applyBorder="1" applyAlignment="1">
      <alignment horizontal="center" vertical="center"/>
    </xf>
    <xf numFmtId="0" fontId="25" fillId="4" borderId="17" xfId="161" applyNumberFormat="1" applyFont="1" applyFill="1" applyBorder="1" applyAlignment="1">
      <alignment horizontal="center" vertical="center"/>
    </xf>
    <xf numFmtId="0" fontId="25" fillId="4" borderId="19" xfId="161" applyNumberFormat="1" applyFont="1" applyFill="1" applyBorder="1" applyAlignment="1">
      <alignment horizontal="center" vertical="center"/>
    </xf>
    <xf numFmtId="0" fontId="25" fillId="4" borderId="16" xfId="161" applyNumberFormat="1" applyFont="1" applyFill="1" applyBorder="1" applyAlignment="1">
      <alignment horizontal="center" vertical="center"/>
    </xf>
    <xf numFmtId="0" fontId="24" fillId="0" borderId="17" xfId="161" applyNumberFormat="1" applyFont="1" applyBorder="1" applyAlignment="1">
      <alignment horizontal="left" vertical="center"/>
    </xf>
    <xf numFmtId="0" fontId="24" fillId="0" borderId="19" xfId="161" applyNumberFormat="1" applyFont="1" applyBorder="1" applyAlignment="1">
      <alignment horizontal="left" vertical="center"/>
    </xf>
    <xf numFmtId="0" fontId="24" fillId="0" borderId="18" xfId="161" applyNumberFormat="1" applyFont="1" applyBorder="1" applyAlignment="1">
      <alignment horizontal="left" vertical="center"/>
    </xf>
    <xf numFmtId="3" fontId="15" fillId="0" borderId="0" xfId="161" applyNumberFormat="1" applyFont="1" applyFill="1" applyBorder="1" applyAlignment="1">
      <alignment horizontal="left" vertical="center"/>
    </xf>
    <xf numFmtId="0" fontId="12" fillId="6" borderId="16" xfId="161" applyNumberFormat="1" applyFont="1" applyFill="1" applyBorder="1" applyAlignment="1">
      <alignment horizontal="center" vertical="center"/>
    </xf>
    <xf numFmtId="0" fontId="12" fillId="0" borderId="0" xfId="16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32" fillId="2" borderId="0" xfId="163" applyFont="1" applyFill="1" applyAlignment="1">
      <alignment horizontal="center"/>
    </xf>
    <xf numFmtId="0" fontId="33" fillId="2" borderId="0" xfId="163" applyFont="1" applyFill="1" applyAlignment="1">
      <alignment horizontal="center" vertical="center"/>
    </xf>
    <xf numFmtId="0" fontId="34" fillId="2" borderId="0" xfId="163" applyFont="1" applyFill="1" applyAlignment="1">
      <alignment horizontal="center"/>
    </xf>
  </cellXfs>
  <cellStyles count="177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Millares" xfId="1" builtinId="3"/>
    <cellStyle name="Millares [0]" xfId="2" builtinId="6"/>
    <cellStyle name="Millares 10" xfId="162" xr:uid="{00000000-0005-0000-0000-0000A0000000}"/>
    <cellStyle name="Millares 10 3" xfId="166" xr:uid="{00000000-0005-0000-0000-0000A1000000}"/>
    <cellStyle name="Millares 2" xfId="175" xr:uid="{00000000-0005-0000-0000-0000A2000000}"/>
    <cellStyle name="Millares 2 10" xfId="165" xr:uid="{00000000-0005-0000-0000-0000A3000000}"/>
    <cellStyle name="Moneda" xfId="169" builtinId="4"/>
    <cellStyle name="Moneda [0] 2" xfId="172" xr:uid="{00000000-0005-0000-0000-0000A5000000}"/>
    <cellStyle name="Moneda 2" xfId="171" xr:uid="{00000000-0005-0000-0000-0000A6000000}"/>
    <cellStyle name="Moneda 3" xfId="174" xr:uid="{00000000-0005-0000-0000-0000A7000000}"/>
    <cellStyle name="Moneda 3 4 21" xfId="161" xr:uid="{00000000-0005-0000-0000-0000A8000000}"/>
    <cellStyle name="Normal" xfId="0" builtinId="0"/>
    <cellStyle name="Normal 11 2" xfId="164" xr:uid="{00000000-0005-0000-0000-0000AA000000}"/>
    <cellStyle name="Normal 2" xfId="163" xr:uid="{00000000-0005-0000-0000-0000AB000000}"/>
    <cellStyle name="Normal 2 28" xfId="176" xr:uid="{4E6FCFB8-5CA5-4690-A4BE-7B073E83FD3D}"/>
    <cellStyle name="Normal 3" xfId="167" xr:uid="{00000000-0005-0000-0000-0000AC000000}"/>
    <cellStyle name="Normal 4" xfId="170" xr:uid="{00000000-0005-0000-0000-0000AD000000}"/>
    <cellStyle name="Normal 5" xfId="173" xr:uid="{00000000-0005-0000-0000-0000AE000000}"/>
    <cellStyle name="Porcentaje" xfId="168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457200</xdr:colOff>
      <xdr:row>0</xdr:row>
      <xdr:rowOff>114300</xdr:rowOff>
    </xdr:from>
    <xdr:to>
      <xdr:col>12</xdr:col>
      <xdr:colOff>314325</xdr:colOff>
      <xdr:row>4</xdr:row>
      <xdr:rowOff>10160</xdr:rowOff>
    </xdr:to>
    <xdr:pic>
      <xdr:nvPicPr>
        <xdr:cNvPr id="6" name="Imagen 5" descr="jargu papel phaser c100 m30">
          <a:extLst>
            <a:ext uri="{FF2B5EF4-FFF2-40B4-BE49-F238E27FC236}">
              <a16:creationId xmlns:a16="http://schemas.microsoft.com/office/drawing/2014/main" id="{4FE5FD97-1B70-458D-A58D-9B73FC498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114300"/>
          <a:ext cx="1828800" cy="71501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223660</xdr:colOff>
      <xdr:row>0</xdr:row>
      <xdr:rowOff>76200</xdr:rowOff>
    </xdr:from>
    <xdr:to>
      <xdr:col>1</xdr:col>
      <xdr:colOff>1900183</xdr:colOff>
      <xdr:row>2</xdr:row>
      <xdr:rowOff>165042</xdr:rowOff>
    </xdr:to>
    <xdr:pic>
      <xdr:nvPicPr>
        <xdr:cNvPr id="2" name="Imagen 1" descr="Logo prosperidad social">
          <a:extLst>
            <a:ext uri="{FF2B5EF4-FFF2-40B4-BE49-F238E27FC236}">
              <a16:creationId xmlns:a16="http://schemas.microsoft.com/office/drawing/2014/main" id="{7B2ED05C-77B1-46DA-A7DD-76E6CC48B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810" y="76200"/>
          <a:ext cx="1676523" cy="507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1095375</xdr:colOff>
      <xdr:row>1</xdr:row>
      <xdr:rowOff>28575</xdr:rowOff>
    </xdr:from>
    <xdr:to>
      <xdr:col>4</xdr:col>
      <xdr:colOff>733425</xdr:colOff>
      <xdr:row>4</xdr:row>
      <xdr:rowOff>143510</xdr:rowOff>
    </xdr:to>
    <xdr:pic>
      <xdr:nvPicPr>
        <xdr:cNvPr id="4" name="Imagen 3" descr="jargu papel phaser c100 m30">
          <a:extLst>
            <a:ext uri="{FF2B5EF4-FFF2-40B4-BE49-F238E27FC236}">
              <a16:creationId xmlns:a16="http://schemas.microsoft.com/office/drawing/2014/main" id="{24A84731-6179-439E-BE9D-2B73BB75B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8925" y="228600"/>
          <a:ext cx="1828800" cy="71501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742950</xdr:colOff>
      <xdr:row>0</xdr:row>
      <xdr:rowOff>190500</xdr:rowOff>
    </xdr:from>
    <xdr:to>
      <xdr:col>0</xdr:col>
      <xdr:colOff>2771542</xdr:colOff>
      <xdr:row>4</xdr:row>
      <xdr:rowOff>5010</xdr:rowOff>
    </xdr:to>
    <xdr:pic>
      <xdr:nvPicPr>
        <xdr:cNvPr id="5" name="Imagen 4" descr="Logo prosperidad social">
          <a:extLst>
            <a:ext uri="{FF2B5EF4-FFF2-40B4-BE49-F238E27FC236}">
              <a16:creationId xmlns:a16="http://schemas.microsoft.com/office/drawing/2014/main" id="{3737B8B3-C746-490B-8AB8-A01F6DEFD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0"/>
          <a:ext cx="2028592" cy="614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196852</xdr:rowOff>
    </xdr:from>
    <xdr:to>
      <xdr:col>6</xdr:col>
      <xdr:colOff>337361</xdr:colOff>
      <xdr:row>4</xdr:row>
      <xdr:rowOff>76200</xdr:rowOff>
    </xdr:to>
    <xdr:pic>
      <xdr:nvPicPr>
        <xdr:cNvPr id="2" name="Imagen 1" descr="jargu papel phaser c100 m30">
          <a:extLst>
            <a:ext uri="{FF2B5EF4-FFF2-40B4-BE49-F238E27FC236}">
              <a16:creationId xmlns:a16="http://schemas.microsoft.com/office/drawing/2014/main" id="{EA93518E-3BB5-428B-9BB6-32990BB6F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8975" y="396877"/>
          <a:ext cx="1461311" cy="47942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59575</xdr:colOff>
      <xdr:row>1</xdr:row>
      <xdr:rowOff>180975</xdr:rowOff>
    </xdr:from>
    <xdr:to>
      <xdr:col>1</xdr:col>
      <xdr:colOff>1368931</xdr:colOff>
      <xdr:row>4</xdr:row>
      <xdr:rowOff>3861</xdr:rowOff>
    </xdr:to>
    <xdr:pic>
      <xdr:nvPicPr>
        <xdr:cNvPr id="3" name="Imagen 2" descr="Logo prosperidad social">
          <a:extLst>
            <a:ext uri="{FF2B5EF4-FFF2-40B4-BE49-F238E27FC236}">
              <a16:creationId xmlns:a16="http://schemas.microsoft.com/office/drawing/2014/main" id="{0C12CAEB-8CDD-4B38-9160-C1F93B1C0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000" y="381000"/>
          <a:ext cx="1309356" cy="422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323850</xdr:colOff>
      <xdr:row>0</xdr:row>
      <xdr:rowOff>0</xdr:rowOff>
    </xdr:from>
    <xdr:to>
      <xdr:col>11</xdr:col>
      <xdr:colOff>1323975</xdr:colOff>
      <xdr:row>3</xdr:row>
      <xdr:rowOff>114935</xdr:rowOff>
    </xdr:to>
    <xdr:pic>
      <xdr:nvPicPr>
        <xdr:cNvPr id="5" name="Imagen 4" descr="jargu papel phaser c100 m30">
          <a:extLst>
            <a:ext uri="{FF2B5EF4-FFF2-40B4-BE49-F238E27FC236}">
              <a16:creationId xmlns:a16="http://schemas.microsoft.com/office/drawing/2014/main" id="{57E19FFD-7827-4BDC-A36C-F46E92B33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0"/>
          <a:ext cx="1828800" cy="71501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193103</xdr:colOff>
      <xdr:row>0</xdr:row>
      <xdr:rowOff>144814</xdr:rowOff>
    </xdr:from>
    <xdr:to>
      <xdr:col>3</xdr:col>
      <xdr:colOff>235634</xdr:colOff>
      <xdr:row>2</xdr:row>
      <xdr:rowOff>164550</xdr:rowOff>
    </xdr:to>
    <xdr:pic>
      <xdr:nvPicPr>
        <xdr:cNvPr id="6" name="Imagen 5" descr="Logo prosperidad social">
          <a:extLst>
            <a:ext uri="{FF2B5EF4-FFF2-40B4-BE49-F238E27FC236}">
              <a16:creationId xmlns:a16="http://schemas.microsoft.com/office/drawing/2014/main" id="{0B82BE74-1423-439E-A05F-47FC9F6CF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703" y="144814"/>
          <a:ext cx="1385556" cy="419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285750</xdr:colOff>
      <xdr:row>0</xdr:row>
      <xdr:rowOff>28575</xdr:rowOff>
    </xdr:from>
    <xdr:to>
      <xdr:col>14</xdr:col>
      <xdr:colOff>292551</xdr:colOff>
      <xdr:row>3</xdr:row>
      <xdr:rowOff>114300</xdr:rowOff>
    </xdr:to>
    <xdr:pic>
      <xdr:nvPicPr>
        <xdr:cNvPr id="5" name="Imagen 4" descr="jargu papel phaser c100 m30">
          <a:extLst>
            <a:ext uri="{FF2B5EF4-FFF2-40B4-BE49-F238E27FC236}">
              <a16:creationId xmlns:a16="http://schemas.microsoft.com/office/drawing/2014/main" id="{8315C67E-0821-48BB-8D29-C1C989AEC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4525" y="28575"/>
          <a:ext cx="1778451" cy="6953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323850</xdr:colOff>
      <xdr:row>0</xdr:row>
      <xdr:rowOff>133350</xdr:rowOff>
    </xdr:from>
    <xdr:to>
      <xdr:col>3</xdr:col>
      <xdr:colOff>504937</xdr:colOff>
      <xdr:row>2</xdr:row>
      <xdr:rowOff>233165</xdr:rowOff>
    </xdr:to>
    <xdr:pic>
      <xdr:nvPicPr>
        <xdr:cNvPr id="2" name="Imagen 1" descr="Logo prosperidad social">
          <a:extLst>
            <a:ext uri="{FF2B5EF4-FFF2-40B4-BE49-F238E27FC236}">
              <a16:creationId xmlns:a16="http://schemas.microsoft.com/office/drawing/2014/main" id="{3A95C4A3-F42D-46F8-BC97-6DB233C89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33350"/>
          <a:ext cx="1524112" cy="461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92075</xdr:colOff>
      <xdr:row>4</xdr:row>
      <xdr:rowOff>91015</xdr:rowOff>
    </xdr:from>
    <xdr:to>
      <xdr:col>10</xdr:col>
      <xdr:colOff>633128</xdr:colOff>
      <xdr:row>43</xdr:row>
      <xdr:rowOff>138640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BF7C46-4FBA-4437-9EBD-02AFB72CF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075" y="1386415"/>
          <a:ext cx="8923053" cy="7848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752475</xdr:colOff>
      <xdr:row>2</xdr:row>
      <xdr:rowOff>180975</xdr:rowOff>
    </xdr:from>
    <xdr:to>
      <xdr:col>14</xdr:col>
      <xdr:colOff>373060</xdr:colOff>
      <xdr:row>37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466B34-3739-148E-D679-2DBCBD0FF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609600"/>
          <a:ext cx="11355385" cy="6962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B2:Y33"/>
  <sheetViews>
    <sheetView showGridLines="0" tabSelected="1" topLeftCell="A4" zoomScale="90" zoomScaleNormal="90" workbookViewId="0">
      <selection activeCell="H10" sqref="H10"/>
    </sheetView>
  </sheetViews>
  <sheetFormatPr baseColWidth="10" defaultColWidth="10.875" defaultRowHeight="12.75" x14ac:dyDescent="0.2"/>
  <cols>
    <col min="1" max="1" width="4" style="1" customWidth="1"/>
    <col min="2" max="2" width="38.375" style="1" customWidth="1"/>
    <col min="3" max="3" width="14" style="1" customWidth="1"/>
    <col min="4" max="4" width="17.25" style="1" customWidth="1"/>
    <col min="5" max="5" width="5.5" style="2" customWidth="1"/>
    <col min="6" max="6" width="6.125" style="2" customWidth="1"/>
    <col min="7" max="7" width="13" style="2" customWidth="1"/>
    <col min="8" max="8" width="16.375" style="4" customWidth="1"/>
    <col min="9" max="9" width="15.5" style="4" customWidth="1"/>
    <col min="10" max="10" width="14.875" style="4" customWidth="1"/>
    <col min="11" max="11" width="13" style="4" customWidth="1"/>
    <col min="12" max="12" width="12.875" style="4" bestFit="1" customWidth="1"/>
    <col min="13" max="13" width="12" style="4" bestFit="1" customWidth="1"/>
    <col min="14" max="14" width="13.75" style="4" bestFit="1" customWidth="1"/>
    <col min="15" max="16" width="11.625" style="1" customWidth="1"/>
    <col min="17" max="17" width="15" style="1" customWidth="1"/>
    <col min="18" max="18" width="12.375" style="1" customWidth="1"/>
    <col min="19" max="19" width="13" style="1" customWidth="1"/>
    <col min="20" max="20" width="10.875" style="1" customWidth="1"/>
    <col min="21" max="21" width="11.625" style="1" customWidth="1"/>
    <col min="22" max="22" width="11" style="1" customWidth="1"/>
    <col min="23" max="25" width="11.625" style="1" customWidth="1"/>
    <col min="26" max="26" width="10.875" style="1" customWidth="1"/>
    <col min="27" max="16384" width="10.875" style="1"/>
  </cols>
  <sheetData>
    <row r="2" spans="2:25" ht="20.25" customHeight="1" x14ac:dyDescent="0.2">
      <c r="B2" s="185" t="s">
        <v>75</v>
      </c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2:25" ht="15.75" x14ac:dyDescent="0.25">
      <c r="B3" s="186" t="s">
        <v>164</v>
      </c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</row>
    <row r="4" spans="2:25" ht="15.75" x14ac:dyDescent="0.25">
      <c r="B4" s="186" t="s">
        <v>11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</row>
    <row r="5" spans="2:25" ht="15.75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2:25" ht="15.75" x14ac:dyDescent="0.25">
      <c r="B6" s="187" t="s">
        <v>223</v>
      </c>
      <c r="C6" s="187"/>
      <c r="D6" s="41"/>
      <c r="E6" s="187" t="s">
        <v>224</v>
      </c>
      <c r="F6" s="187"/>
      <c r="G6" s="187"/>
      <c r="H6" s="187"/>
      <c r="I6" s="187"/>
      <c r="J6" s="187" t="s">
        <v>225</v>
      </c>
      <c r="K6" s="187"/>
      <c r="L6" s="187"/>
      <c r="M6" s="187"/>
      <c r="N6" s="41"/>
    </row>
    <row r="7" spans="2:25" ht="16.5" x14ac:dyDescent="0.2">
      <c r="B7" s="17" t="s">
        <v>219</v>
      </c>
      <c r="C7" s="172">
        <v>46345</v>
      </c>
      <c r="E7" s="17" t="s">
        <v>219</v>
      </c>
      <c r="F7" s="15"/>
      <c r="H7" s="131">
        <v>46358</v>
      </c>
      <c r="J7" s="17" t="s">
        <v>221</v>
      </c>
      <c r="K7" s="15"/>
      <c r="L7" s="2"/>
      <c r="M7" s="131">
        <v>46387</v>
      </c>
    </row>
    <row r="8" spans="2:25" ht="16.5" x14ac:dyDescent="0.2">
      <c r="B8" s="17" t="s">
        <v>220</v>
      </c>
      <c r="C8" s="131">
        <f>+C7+C9</f>
        <v>46724</v>
      </c>
      <c r="D8" s="13"/>
      <c r="E8" s="17" t="s">
        <v>220</v>
      </c>
      <c r="F8" s="15"/>
      <c r="H8" s="131">
        <f>+H7+H9</f>
        <v>46737</v>
      </c>
      <c r="J8" s="17" t="s">
        <v>222</v>
      </c>
      <c r="K8" s="15"/>
      <c r="L8" s="2"/>
      <c r="M8" s="131">
        <f>+M7+M9</f>
        <v>46766</v>
      </c>
    </row>
    <row r="9" spans="2:25" ht="16.5" x14ac:dyDescent="0.2">
      <c r="B9" s="17" t="s">
        <v>2</v>
      </c>
      <c r="C9" s="132">
        <v>379</v>
      </c>
      <c r="D9" s="84"/>
      <c r="E9" s="17" t="s">
        <v>2</v>
      </c>
      <c r="F9" s="16"/>
      <c r="H9" s="132">
        <v>379</v>
      </c>
      <c r="I9" s="15"/>
      <c r="J9" s="17" t="s">
        <v>2</v>
      </c>
      <c r="K9" s="16"/>
      <c r="L9" s="2"/>
      <c r="M9" s="132">
        <v>379</v>
      </c>
      <c r="P9" s="5"/>
    </row>
    <row r="10" spans="2:25" ht="16.5" x14ac:dyDescent="0.2">
      <c r="B10" s="17" t="s">
        <v>39</v>
      </c>
      <c r="C10" s="20">
        <v>879000000</v>
      </c>
      <c r="D10" s="15"/>
      <c r="E10" s="4"/>
      <c r="F10" s="4"/>
      <c r="G10" s="4"/>
      <c r="O10" s="5"/>
    </row>
    <row r="11" spans="2:25" ht="17.25" thickBot="1" x14ac:dyDescent="0.25">
      <c r="B11" s="17" t="s">
        <v>217</v>
      </c>
      <c r="C11" s="4">
        <f>+C10-N32</f>
        <v>9.9999904632568359E-3</v>
      </c>
      <c r="D11" s="4"/>
      <c r="E11" s="4"/>
      <c r="F11" s="4"/>
      <c r="G11" s="4"/>
    </row>
    <row r="12" spans="2:25" ht="16.5" thickBot="1" x14ac:dyDescent="0.3">
      <c r="B12" s="179" t="s">
        <v>156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1"/>
    </row>
    <row r="13" spans="2:25" ht="16.5" thickBot="1" x14ac:dyDescent="0.3">
      <c r="B13" s="179" t="s">
        <v>1</v>
      </c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1"/>
    </row>
    <row r="14" spans="2:25" s="3" customFormat="1" ht="55.5" customHeight="1" thickBot="1" x14ac:dyDescent="0.3">
      <c r="B14" s="23" t="s">
        <v>0</v>
      </c>
      <c r="C14" s="21" t="s">
        <v>3</v>
      </c>
      <c r="D14" s="21" t="s">
        <v>62</v>
      </c>
      <c r="E14" s="21" t="s">
        <v>30</v>
      </c>
      <c r="F14" s="21" t="s">
        <v>31</v>
      </c>
      <c r="G14" s="21" t="s">
        <v>4</v>
      </c>
      <c r="H14" s="24" t="s">
        <v>73</v>
      </c>
      <c r="I14" s="24" t="s">
        <v>6</v>
      </c>
      <c r="J14" s="24" t="s">
        <v>5</v>
      </c>
      <c r="K14" s="24" t="s">
        <v>6</v>
      </c>
      <c r="L14" s="24" t="s">
        <v>7</v>
      </c>
      <c r="M14" s="24" t="s">
        <v>8</v>
      </c>
      <c r="N14" s="25" t="s">
        <v>9</v>
      </c>
    </row>
    <row r="15" spans="2:25" ht="16.5" x14ac:dyDescent="0.3">
      <c r="B15" s="27" t="s">
        <v>10</v>
      </c>
      <c r="C15" s="122">
        <f>+'3. ANEXO TRDM-2026'!C26</f>
        <v>76625844707.090073</v>
      </c>
      <c r="D15" s="122">
        <f>+'3. ANEXO TRDM-2026'!E26</f>
        <v>2440502273.9275031</v>
      </c>
      <c r="E15" s="43" t="s">
        <v>74</v>
      </c>
      <c r="F15" s="44">
        <f>+'2. TASAS PROMEDIO'!F10</f>
        <v>2.2919999999999998</v>
      </c>
      <c r="G15" s="44">
        <f>+F15/2</f>
        <v>1.1459999999999999</v>
      </c>
      <c r="H15" s="160">
        <f>ROUND(C15*F15/1000,2)</f>
        <v>175626436.06999999</v>
      </c>
      <c r="I15" s="149">
        <f>ROUND(+D15*G15/1000,2)</f>
        <v>2796815.61</v>
      </c>
      <c r="J15" s="149">
        <f>ROUND((+(H15/365)*$C$9),0)</f>
        <v>182362793</v>
      </c>
      <c r="K15" s="149">
        <f>ROUND((I15),0)</f>
        <v>2796816</v>
      </c>
      <c r="L15" s="149">
        <f t="shared" ref="L15:L23" si="0">ROUND(+J15+K15,2)</f>
        <v>185159609</v>
      </c>
      <c r="M15" s="149">
        <f>ROUND((+L15*0.19),0)</f>
        <v>35180326</v>
      </c>
      <c r="N15" s="150">
        <f>ROUND(+L15+M15,2)</f>
        <v>220339935</v>
      </c>
      <c r="O15" s="5"/>
      <c r="P15" s="85"/>
      <c r="Q15" s="130"/>
      <c r="R15" s="130"/>
      <c r="S15" s="130"/>
      <c r="T15" s="14"/>
      <c r="U15" s="114"/>
      <c r="V15" s="114"/>
      <c r="W15" s="114"/>
      <c r="X15" s="114"/>
      <c r="Y15" s="114"/>
    </row>
    <row r="16" spans="2:25" ht="16.5" x14ac:dyDescent="0.2">
      <c r="B16" s="28" t="s">
        <v>26</v>
      </c>
      <c r="C16" s="45">
        <f>+'4. AUTOS'!L21</f>
        <v>1015955540</v>
      </c>
      <c r="D16" s="45">
        <v>0</v>
      </c>
      <c r="E16" s="46" t="s">
        <v>15</v>
      </c>
      <c r="F16" s="47">
        <f>+'2. TASAS PROMEDIO'!F17</f>
        <v>4.4504999999999999</v>
      </c>
      <c r="G16" s="46">
        <v>0</v>
      </c>
      <c r="H16" s="149">
        <f>ROUND(+C16*F16/100,2)</f>
        <v>45215101.310000002</v>
      </c>
      <c r="I16" s="149">
        <f>+D16*G16/1000</f>
        <v>0</v>
      </c>
      <c r="J16" s="151">
        <f>ROUND((+(H16/365)*$H$9),0)</f>
        <v>46949379</v>
      </c>
      <c r="K16" s="151">
        <f>+I16/365*$C$9</f>
        <v>0</v>
      </c>
      <c r="L16" s="151">
        <f t="shared" si="0"/>
        <v>46949379</v>
      </c>
      <c r="M16" s="149">
        <f>ROUND((+L16*0.19),0)</f>
        <v>8920382</v>
      </c>
      <c r="N16" s="152">
        <f>ROUND(+L16+M16,2)</f>
        <v>55869761</v>
      </c>
      <c r="O16" s="5"/>
      <c r="P16" s="85"/>
      <c r="Q16" s="111"/>
    </row>
    <row r="17" spans="2:20" ht="16.5" x14ac:dyDescent="0.2">
      <c r="B17" s="154" t="s">
        <v>32</v>
      </c>
      <c r="C17" s="155" t="s">
        <v>34</v>
      </c>
      <c r="D17" s="156">
        <v>0</v>
      </c>
      <c r="E17" s="157" t="s">
        <v>33</v>
      </c>
      <c r="F17" s="157" t="s">
        <v>33</v>
      </c>
      <c r="G17" s="157">
        <v>0</v>
      </c>
      <c r="H17" s="149">
        <f>ROUND(+'5. SOAT'!O8,2)</f>
        <v>1174030</v>
      </c>
      <c r="I17" s="158">
        <f t="shared" ref="I17:I23" si="1">+D17*G17/1000</f>
        <v>0</v>
      </c>
      <c r="J17" s="149">
        <f t="shared" ref="J17:J23" si="2">ROUND((+(H17/365)*$C$9),0)</f>
        <v>1219061</v>
      </c>
      <c r="K17" s="159">
        <v>0</v>
      </c>
      <c r="L17" s="151">
        <f t="shared" si="0"/>
        <v>1219061</v>
      </c>
      <c r="M17" s="149">
        <f>ROUND((+L17*0.19),0)</f>
        <v>231622</v>
      </c>
      <c r="N17" s="152">
        <f>ROUND(+L17+M17,2)</f>
        <v>1450683</v>
      </c>
      <c r="O17" s="5"/>
      <c r="P17" s="173"/>
      <c r="Q17" s="110"/>
    </row>
    <row r="18" spans="2:20" ht="16.5" x14ac:dyDescent="0.2">
      <c r="B18" s="28" t="s">
        <v>35</v>
      </c>
      <c r="C18" s="124">
        <v>150000000</v>
      </c>
      <c r="D18" s="45">
        <v>0</v>
      </c>
      <c r="E18" s="46" t="s">
        <v>15</v>
      </c>
      <c r="F18" s="48">
        <f>+'2. TASAS PROMEDIO'!F23</f>
        <v>0.11</v>
      </c>
      <c r="G18" s="46">
        <v>0</v>
      </c>
      <c r="H18" s="149">
        <f>ROUND(+C18*F18/100,2)</f>
        <v>165000</v>
      </c>
      <c r="I18" s="149">
        <f t="shared" si="1"/>
        <v>0</v>
      </c>
      <c r="J18" s="151">
        <f t="shared" si="2"/>
        <v>171329</v>
      </c>
      <c r="K18" s="151">
        <f t="shared" ref="K18:K23" si="3">+I18/365*$C$9</f>
        <v>0</v>
      </c>
      <c r="L18" s="151">
        <f t="shared" si="0"/>
        <v>171329</v>
      </c>
      <c r="M18" s="149">
        <f t="shared" ref="M18:M23" si="4">ROUND((+L18*0.19),0)</f>
        <v>32553</v>
      </c>
      <c r="N18" s="152">
        <f t="shared" ref="N18:N24" si="5">ROUND(+L18+M18,2)</f>
        <v>203882</v>
      </c>
      <c r="O18" s="5"/>
      <c r="P18" s="85"/>
      <c r="Q18" s="110"/>
    </row>
    <row r="19" spans="2:20" ht="16.5" x14ac:dyDescent="0.2">
      <c r="B19" s="28" t="s">
        <v>36</v>
      </c>
      <c r="C19" s="124">
        <v>500000000</v>
      </c>
      <c r="D19" s="45">
        <v>0</v>
      </c>
      <c r="E19" s="46" t="s">
        <v>15</v>
      </c>
      <c r="F19" s="48">
        <f>+'2. TASAS PROMEDIO'!F29</f>
        <v>0.11</v>
      </c>
      <c r="G19" s="46">
        <v>0</v>
      </c>
      <c r="H19" s="149">
        <f>ROUND(+C19*F19/100,2)</f>
        <v>550000</v>
      </c>
      <c r="I19" s="149">
        <f t="shared" si="1"/>
        <v>0</v>
      </c>
      <c r="J19" s="151">
        <f t="shared" si="2"/>
        <v>571096</v>
      </c>
      <c r="K19" s="151">
        <f t="shared" si="3"/>
        <v>0</v>
      </c>
      <c r="L19" s="151">
        <f t="shared" si="0"/>
        <v>571096</v>
      </c>
      <c r="M19" s="149">
        <f t="shared" si="4"/>
        <v>108508</v>
      </c>
      <c r="N19" s="152">
        <f t="shared" si="5"/>
        <v>679604</v>
      </c>
      <c r="O19" s="5"/>
      <c r="P19" s="85"/>
      <c r="Q19" s="111"/>
    </row>
    <row r="20" spans="2:20" ht="16.5" x14ac:dyDescent="0.2">
      <c r="B20" s="28" t="s">
        <v>27</v>
      </c>
      <c r="C20" s="124">
        <v>680000001</v>
      </c>
      <c r="D20" s="45">
        <v>0</v>
      </c>
      <c r="E20" s="46" t="s">
        <v>15</v>
      </c>
      <c r="F20" s="48">
        <f>+'2. TASAS PROMEDIO'!F35</f>
        <v>3.4</v>
      </c>
      <c r="G20" s="46">
        <v>0</v>
      </c>
      <c r="H20" s="149">
        <f>ROUND(+C20*F20/100,2)</f>
        <v>23120000.030000001</v>
      </c>
      <c r="I20" s="149">
        <f t="shared" si="1"/>
        <v>0</v>
      </c>
      <c r="J20" s="151">
        <f t="shared" si="2"/>
        <v>24006795</v>
      </c>
      <c r="K20" s="151">
        <f t="shared" si="3"/>
        <v>0</v>
      </c>
      <c r="L20" s="151">
        <f t="shared" si="0"/>
        <v>24006795</v>
      </c>
      <c r="M20" s="149">
        <f t="shared" si="4"/>
        <v>4561291</v>
      </c>
      <c r="N20" s="152">
        <f t="shared" si="5"/>
        <v>28568086</v>
      </c>
      <c r="O20" s="5"/>
      <c r="P20" s="85"/>
      <c r="Q20" s="111"/>
    </row>
    <row r="21" spans="2:20" ht="16.5" x14ac:dyDescent="0.2">
      <c r="B21" s="28" t="s">
        <v>38</v>
      </c>
      <c r="C21" s="124">
        <v>4000000000</v>
      </c>
      <c r="D21" s="45">
        <v>0</v>
      </c>
      <c r="E21" s="46" t="s">
        <v>15</v>
      </c>
      <c r="F21" s="48">
        <f>+'2. TASAS PROMEDIO'!F51</f>
        <v>2.4640000000000004</v>
      </c>
      <c r="G21" s="46">
        <v>0</v>
      </c>
      <c r="H21" s="149">
        <f>ROUND(+C21*F21/100,2)</f>
        <v>98560000</v>
      </c>
      <c r="I21" s="149">
        <f t="shared" si="1"/>
        <v>0</v>
      </c>
      <c r="J21" s="151">
        <f t="shared" si="2"/>
        <v>102340384</v>
      </c>
      <c r="K21" s="151">
        <v>0</v>
      </c>
      <c r="L21" s="151">
        <f t="shared" si="0"/>
        <v>102340384</v>
      </c>
      <c r="M21" s="149">
        <f t="shared" si="4"/>
        <v>19444673</v>
      </c>
      <c r="N21" s="152">
        <f t="shared" si="5"/>
        <v>121785057</v>
      </c>
      <c r="O21" s="5"/>
      <c r="P21" s="85"/>
      <c r="Q21" s="111"/>
    </row>
    <row r="22" spans="2:20" ht="16.5" x14ac:dyDescent="0.2">
      <c r="B22" s="28" t="s">
        <v>28</v>
      </c>
      <c r="C22" s="124">
        <v>6000000001</v>
      </c>
      <c r="D22" s="45">
        <v>0</v>
      </c>
      <c r="E22" s="43" t="s">
        <v>74</v>
      </c>
      <c r="F22" s="48">
        <f>+'2. TASAS PROMEDIO'!F41</f>
        <v>0.18</v>
      </c>
      <c r="G22" s="46">
        <v>0</v>
      </c>
      <c r="H22" s="149">
        <f>ROUND(+C22*F22/1000,2)</f>
        <v>1080000</v>
      </c>
      <c r="I22" s="149">
        <f t="shared" si="1"/>
        <v>0</v>
      </c>
      <c r="J22" s="151">
        <f t="shared" si="2"/>
        <v>1121425</v>
      </c>
      <c r="K22" s="151">
        <f t="shared" si="3"/>
        <v>0</v>
      </c>
      <c r="L22" s="151">
        <f t="shared" si="0"/>
        <v>1121425</v>
      </c>
      <c r="M22" s="149">
        <f t="shared" si="4"/>
        <v>213071</v>
      </c>
      <c r="N22" s="152">
        <f t="shared" si="5"/>
        <v>1334496</v>
      </c>
      <c r="O22" s="5"/>
      <c r="P22" s="85"/>
      <c r="Q22" s="111"/>
    </row>
    <row r="23" spans="2:20" ht="16.5" x14ac:dyDescent="0.2">
      <c r="B23" s="28" t="s">
        <v>29</v>
      </c>
      <c r="C23" s="124">
        <v>3400000001</v>
      </c>
      <c r="D23" s="45">
        <v>0</v>
      </c>
      <c r="E23" s="46" t="s">
        <v>15</v>
      </c>
      <c r="F23" s="48">
        <f>+'2. TASAS PROMEDIO'!F46</f>
        <v>7.1999999999999993</v>
      </c>
      <c r="G23" s="46">
        <v>0</v>
      </c>
      <c r="H23" s="149">
        <f>ROUND(+C23*F23/100,2)</f>
        <v>244800000.06999999</v>
      </c>
      <c r="I23" s="149">
        <f t="shared" si="1"/>
        <v>0</v>
      </c>
      <c r="J23" s="151">
        <f t="shared" si="2"/>
        <v>254189589</v>
      </c>
      <c r="K23" s="151">
        <f t="shared" si="3"/>
        <v>0</v>
      </c>
      <c r="L23" s="151">
        <f t="shared" si="0"/>
        <v>254189589</v>
      </c>
      <c r="M23" s="149">
        <f t="shared" si="4"/>
        <v>48296022</v>
      </c>
      <c r="N23" s="152">
        <f t="shared" si="5"/>
        <v>302485611</v>
      </c>
      <c r="P23" s="85"/>
      <c r="Q23" s="85"/>
    </row>
    <row r="24" spans="2:20" ht="13.5" customHeight="1" thickBot="1" x14ac:dyDescent="0.25">
      <c r="B24" s="26" t="s">
        <v>76</v>
      </c>
      <c r="C24" s="29"/>
      <c r="D24" s="29"/>
      <c r="E24" s="30"/>
      <c r="F24" s="31"/>
      <c r="G24" s="30"/>
      <c r="H24" s="153"/>
      <c r="I24" s="153"/>
      <c r="J24" s="153"/>
      <c r="K24" s="153"/>
      <c r="L24" s="176">
        <v>22083305.030000001</v>
      </c>
      <c r="M24" s="176">
        <f>+L24*19%</f>
        <v>4195827.9556999998</v>
      </c>
      <c r="N24" s="174">
        <f t="shared" si="5"/>
        <v>26279132.989999998</v>
      </c>
      <c r="P24" s="104"/>
      <c r="Q24" s="86"/>
      <c r="R24" s="86"/>
      <c r="T24" s="104"/>
    </row>
    <row r="25" spans="2:20" ht="18.75" customHeight="1" thickBot="1" x14ac:dyDescent="0.3">
      <c r="B25" s="64" t="s">
        <v>157</v>
      </c>
      <c r="C25" s="133">
        <f>SUM(C15:C24)</f>
        <v>92371800250.090073</v>
      </c>
      <c r="D25" s="133">
        <f>SUM(D15:D24)</f>
        <v>2440502273.9275031</v>
      </c>
      <c r="E25" s="65"/>
      <c r="F25" s="65"/>
      <c r="G25" s="65"/>
      <c r="H25" s="133">
        <f t="shared" ref="H25:M25" si="6">SUM(H15:H24)</f>
        <v>590290567.48000002</v>
      </c>
      <c r="I25" s="162">
        <f>SUM(I15:I24)</f>
        <v>2796815.61</v>
      </c>
      <c r="J25" s="133">
        <f t="shared" si="6"/>
        <v>612931851</v>
      </c>
      <c r="K25" s="133">
        <f>SUM(K15:K24)</f>
        <v>2796816</v>
      </c>
      <c r="L25" s="133">
        <f t="shared" si="6"/>
        <v>637811972.02999997</v>
      </c>
      <c r="M25" s="133">
        <f t="shared" si="6"/>
        <v>121184275.9557</v>
      </c>
      <c r="N25" s="113">
        <f>SUM(N15:N24)</f>
        <v>758996247.99000001</v>
      </c>
      <c r="O25" s="178"/>
      <c r="P25" s="115"/>
      <c r="Q25" s="139"/>
      <c r="R25" s="139"/>
      <c r="S25" s="139"/>
    </row>
    <row r="26" spans="2:20" ht="17.25" thickBot="1" x14ac:dyDescent="0.35">
      <c r="B26" s="14"/>
      <c r="C26" s="14"/>
      <c r="D26" s="14"/>
      <c r="E26" s="18"/>
      <c r="F26" s="18"/>
      <c r="G26" s="18"/>
      <c r="H26" s="19"/>
      <c r="I26" s="19"/>
      <c r="J26" s="19"/>
      <c r="K26" s="19"/>
      <c r="L26" s="19"/>
      <c r="M26" s="19"/>
      <c r="N26" s="19"/>
      <c r="P26" s="139"/>
      <c r="Q26" s="86"/>
      <c r="R26" s="86"/>
    </row>
    <row r="27" spans="2:20" ht="16.5" thickBot="1" x14ac:dyDescent="0.3">
      <c r="B27" s="179" t="s">
        <v>153</v>
      </c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1"/>
      <c r="P27" s="115"/>
    </row>
    <row r="28" spans="2:20" ht="63" x14ac:dyDescent="0.2">
      <c r="B28" s="123" t="s">
        <v>0</v>
      </c>
      <c r="C28" s="117" t="s">
        <v>3</v>
      </c>
      <c r="D28" s="117" t="s">
        <v>62</v>
      </c>
      <c r="E28" s="117" t="s">
        <v>30</v>
      </c>
      <c r="F28" s="117" t="s">
        <v>31</v>
      </c>
      <c r="G28" s="117" t="s">
        <v>4</v>
      </c>
      <c r="H28" s="118" t="s">
        <v>73</v>
      </c>
      <c r="I28" s="118" t="s">
        <v>6</v>
      </c>
      <c r="J28" s="118" t="s">
        <v>5</v>
      </c>
      <c r="K28" s="118" t="s">
        <v>6</v>
      </c>
      <c r="L28" s="118" t="s">
        <v>7</v>
      </c>
      <c r="M28" s="118" t="s">
        <v>8</v>
      </c>
      <c r="N28" s="119" t="s">
        <v>9</v>
      </c>
    </row>
    <row r="29" spans="2:20" ht="17.25" thickBot="1" x14ac:dyDescent="0.25">
      <c r="B29" s="121" t="s">
        <v>206</v>
      </c>
      <c r="C29" s="116">
        <v>1000000000</v>
      </c>
      <c r="D29" s="29">
        <v>0</v>
      </c>
      <c r="E29" s="30" t="s">
        <v>15</v>
      </c>
      <c r="F29" s="31">
        <f>+'2. TASAS PROMEDIO'!F56</f>
        <v>9.7118400000000005</v>
      </c>
      <c r="G29" s="30">
        <v>0</v>
      </c>
      <c r="H29" s="32">
        <f>ROUND(+C29*F29/100,2)</f>
        <v>97118400</v>
      </c>
      <c r="I29" s="32">
        <f t="shared" ref="I29" si="7">+D29*G29/1000</f>
        <v>0</v>
      </c>
      <c r="J29" s="32">
        <f>ROUND((+(H29/365)*$M$9),0)</f>
        <v>100843489</v>
      </c>
      <c r="K29" s="32">
        <f t="shared" ref="K29" si="8">+I29/365*$C$9</f>
        <v>0</v>
      </c>
      <c r="L29" s="32">
        <f>+J29+K29</f>
        <v>100843489</v>
      </c>
      <c r="M29" s="32">
        <f t="shared" ref="M29" si="9">ROUND((+L29*0.19),0)</f>
        <v>19160263</v>
      </c>
      <c r="N29" s="120">
        <f>ROUND(+L29+M29,2)</f>
        <v>120003752</v>
      </c>
    </row>
    <row r="30" spans="2:20" ht="16.5" thickBot="1" x14ac:dyDescent="0.3">
      <c r="B30" s="87" t="s">
        <v>154</v>
      </c>
      <c r="C30" s="65">
        <f>+C25+C29</f>
        <v>93371800250.090073</v>
      </c>
      <c r="D30" s="65">
        <v>0</v>
      </c>
      <c r="E30" s="65"/>
      <c r="F30" s="65"/>
      <c r="G30" s="65"/>
      <c r="H30" s="65">
        <f>+H29</f>
        <v>97118400</v>
      </c>
      <c r="I30" s="65">
        <v>0</v>
      </c>
      <c r="J30" s="65">
        <f>+J29</f>
        <v>100843489</v>
      </c>
      <c r="K30" s="65">
        <v>0</v>
      </c>
      <c r="L30" s="65">
        <f>+L29</f>
        <v>100843489</v>
      </c>
      <c r="M30" s="65">
        <f>+M29</f>
        <v>19160263</v>
      </c>
      <c r="N30" s="113">
        <f>+N29</f>
        <v>120003752</v>
      </c>
    </row>
    <row r="31" spans="2:20" ht="13.5" thickBot="1" x14ac:dyDescent="0.25"/>
    <row r="32" spans="2:20" ht="17.25" thickTop="1" thickBot="1" x14ac:dyDescent="0.3">
      <c r="B32" s="182" t="s">
        <v>155</v>
      </c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4"/>
      <c r="N32" s="83">
        <f>+N30+N25</f>
        <v>878999999.99000001</v>
      </c>
      <c r="P32" s="104"/>
    </row>
    <row r="33" ht="13.5" thickTop="1" x14ac:dyDescent="0.2"/>
  </sheetData>
  <mergeCells count="10">
    <mergeCell ref="B27:N27"/>
    <mergeCell ref="B32:M32"/>
    <mergeCell ref="B12:N12"/>
    <mergeCell ref="B2:N2"/>
    <mergeCell ref="B3:N3"/>
    <mergeCell ref="B4:N4"/>
    <mergeCell ref="B13:N13"/>
    <mergeCell ref="B6:C6"/>
    <mergeCell ref="J6:M6"/>
    <mergeCell ref="E6:I6"/>
  </mergeCells>
  <pageMargins left="0.74803149606299213" right="0.74803149606299213" top="0.98425196850393704" bottom="0.98425196850393704" header="0.51181102362204722" footer="0.51181102362204722"/>
  <pageSetup scale="60" orientation="landscape" horizontalDpi="4294967292" verticalDpi="4294967292" r:id="rId1"/>
  <ignoredErrors>
    <ignoredError sqref="M15:M16 M18:M23" formula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2:K60"/>
  <sheetViews>
    <sheetView showGridLines="0" view="pageBreakPreview" topLeftCell="A49" zoomScaleNormal="100" zoomScaleSheetLayoutView="100" workbookViewId="0">
      <selection sqref="A1:G60"/>
    </sheetView>
  </sheetViews>
  <sheetFormatPr baseColWidth="10" defaultRowHeight="15.75" x14ac:dyDescent="0.25"/>
  <cols>
    <col min="1" max="1" width="63.625" customWidth="1"/>
    <col min="2" max="2" width="48.5" customWidth="1"/>
    <col min="3" max="3" width="17.75" customWidth="1"/>
    <col min="5" max="5" width="13.25" customWidth="1"/>
    <col min="8" max="8" width="10.5" customWidth="1"/>
    <col min="9" max="9" width="11" hidden="1" customWidth="1"/>
    <col min="10" max="10" width="23.375" bestFit="1" customWidth="1"/>
    <col min="11" max="11" width="12.375" bestFit="1" customWidth="1"/>
    <col min="12" max="12" width="11.125" bestFit="1" customWidth="1"/>
  </cols>
  <sheetData>
    <row r="2" spans="1:11" x14ac:dyDescent="0.25">
      <c r="A2" s="201" t="s">
        <v>75</v>
      </c>
      <c r="B2" s="201"/>
      <c r="C2" s="201"/>
      <c r="D2" s="201"/>
      <c r="E2" s="201"/>
      <c r="F2" s="201"/>
      <c r="G2" s="201"/>
    </row>
    <row r="3" spans="1:11" x14ac:dyDescent="0.25">
      <c r="A3" s="201" t="s">
        <v>1</v>
      </c>
      <c r="B3" s="201"/>
      <c r="C3" s="201"/>
      <c r="D3" s="201"/>
      <c r="E3" s="201"/>
      <c r="F3" s="201"/>
      <c r="G3" s="201"/>
    </row>
    <row r="4" spans="1:11" x14ac:dyDescent="0.25">
      <c r="A4" s="201" t="s">
        <v>205</v>
      </c>
      <c r="B4" s="201"/>
      <c r="C4" s="201"/>
      <c r="D4" s="201"/>
      <c r="E4" s="201"/>
      <c r="F4" s="201"/>
      <c r="G4" s="201"/>
    </row>
    <row r="6" spans="1:11" x14ac:dyDescent="0.25">
      <c r="A6" s="1"/>
      <c r="B6" s="1"/>
      <c r="C6" s="1"/>
      <c r="D6" s="1"/>
      <c r="E6" s="1"/>
      <c r="F6" s="1"/>
      <c r="G6" s="1"/>
    </row>
    <row r="7" spans="1:11" ht="16.5" thickBot="1" x14ac:dyDescent="0.3">
      <c r="A7" s="1"/>
      <c r="B7" s="1"/>
      <c r="C7" s="1"/>
      <c r="D7" s="1"/>
      <c r="E7" s="1"/>
      <c r="F7" s="1"/>
      <c r="G7" s="1"/>
    </row>
    <row r="8" spans="1:11" ht="15.75" customHeight="1" x14ac:dyDescent="0.25">
      <c r="A8" s="202" t="s">
        <v>12</v>
      </c>
      <c r="B8" s="208" t="s">
        <v>72</v>
      </c>
      <c r="C8" s="204" t="s">
        <v>0</v>
      </c>
      <c r="D8" s="206" t="s">
        <v>13</v>
      </c>
      <c r="E8" s="210" t="s">
        <v>14</v>
      </c>
      <c r="F8" s="211"/>
      <c r="G8" s="212"/>
    </row>
    <row r="9" spans="1:11" ht="39" thickBot="1" x14ac:dyDescent="0.3">
      <c r="A9" s="203"/>
      <c r="B9" s="209"/>
      <c r="C9" s="205"/>
      <c r="D9" s="207"/>
      <c r="E9" s="168" t="s">
        <v>218</v>
      </c>
      <c r="F9" s="67" t="s">
        <v>20</v>
      </c>
      <c r="G9" s="68" t="s">
        <v>21</v>
      </c>
      <c r="K9" s="110"/>
    </row>
    <row r="10" spans="1:11" ht="15.75" customHeight="1" x14ac:dyDescent="0.25">
      <c r="A10" s="69" t="s">
        <v>75</v>
      </c>
      <c r="B10" s="70" t="s">
        <v>159</v>
      </c>
      <c r="C10" s="195" t="s">
        <v>16</v>
      </c>
      <c r="D10" s="100">
        <v>1.91</v>
      </c>
      <c r="E10" s="213">
        <v>0.2</v>
      </c>
      <c r="F10" s="101">
        <f>+D10+E12</f>
        <v>2.2919999999999998</v>
      </c>
      <c r="G10" s="198" t="s">
        <v>17</v>
      </c>
      <c r="I10" s="105">
        <f>+F10-D10</f>
        <v>0.3819999999999999</v>
      </c>
      <c r="J10" s="109"/>
      <c r="K10" s="111"/>
    </row>
    <row r="11" spans="1:11" ht="16.5" x14ac:dyDescent="0.25">
      <c r="A11" s="97" t="s">
        <v>175</v>
      </c>
      <c r="B11" s="97" t="s">
        <v>194</v>
      </c>
      <c r="C11" s="196"/>
      <c r="D11" s="125">
        <v>1.8</v>
      </c>
      <c r="E11" s="214"/>
      <c r="F11" s="102"/>
      <c r="G11" s="199"/>
      <c r="K11" s="110"/>
    </row>
    <row r="12" spans="1:11" ht="16.5" x14ac:dyDescent="0.25">
      <c r="A12" s="96" t="s">
        <v>170</v>
      </c>
      <c r="B12" s="93" t="s">
        <v>169</v>
      </c>
      <c r="C12" s="196"/>
      <c r="D12" s="42">
        <v>2</v>
      </c>
      <c r="E12" s="222">
        <f>+D10*E10</f>
        <v>0.38200000000000001</v>
      </c>
      <c r="F12" s="102"/>
      <c r="G12" s="199"/>
      <c r="K12" s="110"/>
    </row>
    <row r="13" spans="1:11" ht="16.5" x14ac:dyDescent="0.25">
      <c r="A13" s="96" t="s">
        <v>171</v>
      </c>
      <c r="B13" s="94" t="s">
        <v>172</v>
      </c>
      <c r="C13" s="196"/>
      <c r="D13" s="42">
        <v>2.04</v>
      </c>
      <c r="E13" s="223"/>
      <c r="F13" s="102"/>
      <c r="G13" s="199"/>
      <c r="K13" s="111"/>
    </row>
    <row r="14" spans="1:11" ht="16.5" x14ac:dyDescent="0.25">
      <c r="A14" s="92" t="s">
        <v>173</v>
      </c>
      <c r="B14" s="92" t="s">
        <v>174</v>
      </c>
      <c r="C14" s="196"/>
      <c r="D14" s="125">
        <v>2.1</v>
      </c>
      <c r="E14" s="223"/>
      <c r="F14" s="102"/>
      <c r="G14" s="199"/>
      <c r="K14" s="111"/>
    </row>
    <row r="15" spans="1:11" ht="16.5" x14ac:dyDescent="0.25">
      <c r="A15" s="98" t="s">
        <v>207</v>
      </c>
      <c r="B15" s="98" t="s">
        <v>208</v>
      </c>
      <c r="C15" s="196"/>
      <c r="D15" s="126">
        <v>1.75</v>
      </c>
      <c r="E15" s="223"/>
      <c r="F15" s="102"/>
      <c r="G15" s="199"/>
      <c r="K15" s="111"/>
    </row>
    <row r="16" spans="1:11" ht="17.25" thickBot="1" x14ac:dyDescent="0.3">
      <c r="A16" s="96" t="s">
        <v>176</v>
      </c>
      <c r="B16" s="94" t="s">
        <v>177</v>
      </c>
      <c r="C16" s="197"/>
      <c r="D16" s="127">
        <v>2.06</v>
      </c>
      <c r="E16" s="224"/>
      <c r="F16" s="103"/>
      <c r="G16" s="200"/>
      <c r="K16" s="111"/>
    </row>
    <row r="17" spans="1:10" ht="25.5" x14ac:dyDescent="0.25">
      <c r="A17" s="69" t="s">
        <v>75</v>
      </c>
      <c r="B17" s="70" t="s">
        <v>159</v>
      </c>
      <c r="C17" s="191" t="s">
        <v>22</v>
      </c>
      <c r="D17" s="100">
        <v>3.87</v>
      </c>
      <c r="E17" s="213">
        <v>0.15</v>
      </c>
      <c r="F17" s="101">
        <f>+D17+E19</f>
        <v>4.4504999999999999</v>
      </c>
      <c r="G17" s="188" t="s">
        <v>15</v>
      </c>
      <c r="I17" s="105">
        <f>+F17-D17</f>
        <v>0.58049999999999979</v>
      </c>
      <c r="J17" s="109"/>
    </row>
    <row r="18" spans="1:10" x14ac:dyDescent="0.25">
      <c r="A18" s="92" t="s">
        <v>178</v>
      </c>
      <c r="B18" s="92" t="s">
        <v>179</v>
      </c>
      <c r="C18" s="192"/>
      <c r="D18" s="42">
        <v>4</v>
      </c>
      <c r="E18" s="214"/>
      <c r="F18" s="170"/>
      <c r="G18" s="189"/>
    </row>
    <row r="19" spans="1:10" x14ac:dyDescent="0.25">
      <c r="A19" s="97" t="s">
        <v>180</v>
      </c>
      <c r="B19" s="97" t="s">
        <v>181</v>
      </c>
      <c r="C19" s="192"/>
      <c r="D19" s="42">
        <v>3.87</v>
      </c>
      <c r="E19" s="222">
        <f>+D17*E17</f>
        <v>0.58050000000000002</v>
      </c>
      <c r="F19" s="170"/>
      <c r="G19" s="189"/>
    </row>
    <row r="20" spans="1:10" x14ac:dyDescent="0.25">
      <c r="A20" s="98" t="s">
        <v>170</v>
      </c>
      <c r="B20" s="98" t="s">
        <v>169</v>
      </c>
      <c r="C20" s="192"/>
      <c r="D20" s="42">
        <v>3.9</v>
      </c>
      <c r="E20" s="223"/>
      <c r="F20" s="170"/>
      <c r="G20" s="189"/>
    </row>
    <row r="21" spans="1:10" x14ac:dyDescent="0.25">
      <c r="A21" s="98" t="s">
        <v>165</v>
      </c>
      <c r="B21" s="98" t="s">
        <v>166</v>
      </c>
      <c r="C21" s="193"/>
      <c r="D21" s="74">
        <v>3.65</v>
      </c>
      <c r="E21" s="223"/>
      <c r="F21" s="170"/>
      <c r="G21" s="221"/>
    </row>
    <row r="22" spans="1:10" ht="16.5" thickBot="1" x14ac:dyDescent="0.3">
      <c r="A22" s="98" t="s">
        <v>178</v>
      </c>
      <c r="B22" s="98" t="s">
        <v>179</v>
      </c>
      <c r="C22" s="194"/>
      <c r="D22" s="71">
        <v>4.2</v>
      </c>
      <c r="E22" s="224"/>
      <c r="F22" s="171"/>
      <c r="G22" s="190"/>
    </row>
    <row r="23" spans="1:10" ht="25.5" x14ac:dyDescent="0.25">
      <c r="A23" s="69" t="s">
        <v>75</v>
      </c>
      <c r="B23" s="70" t="s">
        <v>159</v>
      </c>
      <c r="C23" s="191" t="s">
        <v>23</v>
      </c>
      <c r="D23" s="100">
        <v>0.11</v>
      </c>
      <c r="E23" s="215">
        <v>0</v>
      </c>
      <c r="F23" s="102">
        <f>+D23+E25</f>
        <v>0.11</v>
      </c>
      <c r="G23" s="188" t="s">
        <v>15</v>
      </c>
      <c r="I23" s="105">
        <f>+F23-D23</f>
        <v>0</v>
      </c>
      <c r="J23" s="109"/>
    </row>
    <row r="24" spans="1:10" x14ac:dyDescent="0.25">
      <c r="A24" s="97" t="s">
        <v>199</v>
      </c>
      <c r="B24" s="97" t="s">
        <v>200</v>
      </c>
      <c r="C24" s="192"/>
      <c r="D24" s="125">
        <v>0.1</v>
      </c>
      <c r="E24" s="216"/>
      <c r="F24" s="102"/>
      <c r="G24" s="189"/>
    </row>
    <row r="25" spans="1:10" x14ac:dyDescent="0.25">
      <c r="A25" s="97" t="s">
        <v>182</v>
      </c>
      <c r="B25" s="97" t="s">
        <v>183</v>
      </c>
      <c r="C25" s="192"/>
      <c r="D25" s="125">
        <v>0.1</v>
      </c>
      <c r="E25" s="225">
        <v>0</v>
      </c>
      <c r="F25" s="102"/>
      <c r="G25" s="189"/>
    </row>
    <row r="26" spans="1:10" x14ac:dyDescent="0.25">
      <c r="A26" s="98" t="s">
        <v>184</v>
      </c>
      <c r="B26" s="98" t="s">
        <v>185</v>
      </c>
      <c r="C26" s="192"/>
      <c r="D26" s="125">
        <v>0.12</v>
      </c>
      <c r="E26" s="226"/>
      <c r="F26" s="102"/>
      <c r="G26" s="189"/>
    </row>
    <row r="27" spans="1:10" x14ac:dyDescent="0.25">
      <c r="A27" s="92" t="s">
        <v>186</v>
      </c>
      <c r="B27" s="92" t="s">
        <v>187</v>
      </c>
      <c r="C27" s="192"/>
      <c r="D27" s="125">
        <v>0.11</v>
      </c>
      <c r="E27" s="226"/>
      <c r="F27" s="102"/>
      <c r="G27" s="189"/>
    </row>
    <row r="28" spans="1:10" ht="16.5" thickBot="1" x14ac:dyDescent="0.3">
      <c r="A28" s="98" t="s">
        <v>180</v>
      </c>
      <c r="B28" s="98" t="s">
        <v>181</v>
      </c>
      <c r="C28" s="194"/>
      <c r="D28" s="127">
        <v>0.2</v>
      </c>
      <c r="E28" s="227"/>
      <c r="F28" s="103"/>
      <c r="G28" s="190"/>
    </row>
    <row r="29" spans="1:10" ht="25.5" x14ac:dyDescent="0.25">
      <c r="A29" s="69" t="s">
        <v>75</v>
      </c>
      <c r="B29" s="70" t="s">
        <v>159</v>
      </c>
      <c r="C29" s="191" t="s">
        <v>24</v>
      </c>
      <c r="D29" s="100">
        <v>0.11</v>
      </c>
      <c r="E29" s="215">
        <v>0</v>
      </c>
      <c r="F29" s="101">
        <f>+D29+E31</f>
        <v>0.11</v>
      </c>
      <c r="G29" s="188" t="s">
        <v>15</v>
      </c>
      <c r="I29" s="105">
        <f>+F29-D29</f>
        <v>0</v>
      </c>
      <c r="J29" s="109"/>
    </row>
    <row r="30" spans="1:10" x14ac:dyDescent="0.25">
      <c r="A30" s="97" t="s">
        <v>199</v>
      </c>
      <c r="B30" s="97" t="s">
        <v>200</v>
      </c>
      <c r="C30" s="192"/>
      <c r="D30" s="125">
        <v>0.1</v>
      </c>
      <c r="E30" s="216"/>
      <c r="F30" s="102"/>
      <c r="G30" s="189"/>
    </row>
    <row r="31" spans="1:10" x14ac:dyDescent="0.25">
      <c r="A31" s="97" t="s">
        <v>182</v>
      </c>
      <c r="B31" s="97" t="s">
        <v>183</v>
      </c>
      <c r="C31" s="192"/>
      <c r="D31" s="125">
        <v>0.1</v>
      </c>
      <c r="E31" s="225">
        <v>0</v>
      </c>
      <c r="F31" s="102"/>
      <c r="G31" s="189"/>
    </row>
    <row r="32" spans="1:10" x14ac:dyDescent="0.25">
      <c r="A32" s="98" t="s">
        <v>184</v>
      </c>
      <c r="B32" s="98" t="s">
        <v>185</v>
      </c>
      <c r="C32" s="192"/>
      <c r="D32" s="125">
        <v>0.12</v>
      </c>
      <c r="E32" s="226"/>
      <c r="F32" s="102"/>
      <c r="G32" s="189"/>
    </row>
    <row r="33" spans="1:11" x14ac:dyDescent="0.25">
      <c r="A33" s="92" t="s">
        <v>186</v>
      </c>
      <c r="B33" s="92" t="s">
        <v>187</v>
      </c>
      <c r="C33" s="192"/>
      <c r="D33" s="125">
        <v>0.11</v>
      </c>
      <c r="E33" s="226"/>
      <c r="F33" s="102"/>
      <c r="G33" s="189"/>
    </row>
    <row r="34" spans="1:11" ht="16.5" thickBot="1" x14ac:dyDescent="0.3">
      <c r="A34" s="98" t="s">
        <v>180</v>
      </c>
      <c r="B34" s="98" t="s">
        <v>181</v>
      </c>
      <c r="C34" s="194"/>
      <c r="D34" s="127">
        <v>0.2</v>
      </c>
      <c r="E34" s="227"/>
      <c r="F34" s="103"/>
      <c r="G34" s="190"/>
    </row>
    <row r="35" spans="1:11" ht="25.5" x14ac:dyDescent="0.25">
      <c r="A35" s="69" t="s">
        <v>75</v>
      </c>
      <c r="B35" s="70" t="s">
        <v>159</v>
      </c>
      <c r="C35" s="191" t="s">
        <v>25</v>
      </c>
      <c r="D35" s="100">
        <v>3.4</v>
      </c>
      <c r="E35" s="215">
        <v>0</v>
      </c>
      <c r="F35" s="101">
        <f>+D35+E37</f>
        <v>3.4</v>
      </c>
      <c r="G35" s="188" t="s">
        <v>15</v>
      </c>
      <c r="I35" s="105">
        <f>+F35-D35</f>
        <v>0</v>
      </c>
      <c r="J35" s="109"/>
    </row>
    <row r="36" spans="1:11" x14ac:dyDescent="0.25">
      <c r="A36" s="92" t="s">
        <v>188</v>
      </c>
      <c r="B36" s="92" t="s">
        <v>189</v>
      </c>
      <c r="C36" s="192"/>
      <c r="D36" s="42">
        <v>3.2</v>
      </c>
      <c r="E36" s="216"/>
      <c r="F36" s="102"/>
      <c r="G36" s="189"/>
    </row>
    <row r="37" spans="1:11" x14ac:dyDescent="0.25">
      <c r="A37" s="97" t="s">
        <v>182</v>
      </c>
      <c r="B37" s="97" t="s">
        <v>183</v>
      </c>
      <c r="C37" s="192"/>
      <c r="D37" s="42">
        <v>3.65</v>
      </c>
      <c r="E37" s="222">
        <v>0</v>
      </c>
      <c r="F37" s="102"/>
      <c r="G37" s="189"/>
    </row>
    <row r="38" spans="1:11" x14ac:dyDescent="0.25">
      <c r="A38" s="99" t="s">
        <v>178</v>
      </c>
      <c r="B38" s="99" t="s">
        <v>179</v>
      </c>
      <c r="C38" s="192"/>
      <c r="D38" s="42">
        <v>3.21</v>
      </c>
      <c r="E38" s="223"/>
      <c r="F38" s="102"/>
      <c r="G38" s="189"/>
    </row>
    <row r="39" spans="1:11" x14ac:dyDescent="0.25">
      <c r="A39" s="99" t="s">
        <v>165</v>
      </c>
      <c r="B39" s="99" t="s">
        <v>166</v>
      </c>
      <c r="C39" s="193"/>
      <c r="D39" s="74">
        <v>4</v>
      </c>
      <c r="E39" s="223"/>
      <c r="F39" s="102"/>
      <c r="G39" s="221"/>
    </row>
    <row r="40" spans="1:11" ht="16.5" thickBot="1" x14ac:dyDescent="0.3">
      <c r="A40" s="98" t="s">
        <v>184</v>
      </c>
      <c r="B40" s="98" t="s">
        <v>185</v>
      </c>
      <c r="C40" s="194"/>
      <c r="D40" s="71">
        <v>4.37</v>
      </c>
      <c r="E40" s="224"/>
      <c r="F40" s="103"/>
      <c r="G40" s="190"/>
    </row>
    <row r="41" spans="1:11" ht="25.5" x14ac:dyDescent="0.25">
      <c r="A41" s="69" t="s">
        <v>75</v>
      </c>
      <c r="B41" s="70" t="s">
        <v>159</v>
      </c>
      <c r="C41" s="191" t="s">
        <v>18</v>
      </c>
      <c r="D41" s="100">
        <v>0.18</v>
      </c>
      <c r="E41" s="215">
        <v>0</v>
      </c>
      <c r="F41" s="101">
        <f>+D41+E43</f>
        <v>0.18</v>
      </c>
      <c r="G41" s="188" t="s">
        <v>17</v>
      </c>
      <c r="I41" s="105">
        <f>+F41-D41</f>
        <v>0</v>
      </c>
      <c r="J41" s="109"/>
    </row>
    <row r="42" spans="1:11" x14ac:dyDescent="0.25">
      <c r="A42" s="92" t="s">
        <v>165</v>
      </c>
      <c r="B42" s="92" t="s">
        <v>166</v>
      </c>
      <c r="C42" s="192"/>
      <c r="D42" s="42">
        <v>0.2</v>
      </c>
      <c r="E42" s="216"/>
      <c r="F42" s="102"/>
      <c r="G42" s="189"/>
    </row>
    <row r="43" spans="1:11" x14ac:dyDescent="0.25">
      <c r="A43" s="97" t="s">
        <v>182</v>
      </c>
      <c r="B43" s="97" t="s">
        <v>183</v>
      </c>
      <c r="C43" s="192"/>
      <c r="D43" s="128">
        <v>0.21</v>
      </c>
      <c r="E43" s="228">
        <v>0</v>
      </c>
      <c r="F43" s="102"/>
      <c r="G43" s="189"/>
    </row>
    <row r="44" spans="1:11" x14ac:dyDescent="0.25">
      <c r="A44" s="92" t="s">
        <v>178</v>
      </c>
      <c r="B44" s="92" t="s">
        <v>179</v>
      </c>
      <c r="C44" s="192"/>
      <c r="D44" s="72">
        <v>0.16</v>
      </c>
      <c r="E44" s="229"/>
      <c r="F44" s="102"/>
      <c r="G44" s="189"/>
    </row>
    <row r="45" spans="1:11" ht="16.5" thickBot="1" x14ac:dyDescent="0.3">
      <c r="A45" s="92" t="s">
        <v>190</v>
      </c>
      <c r="B45" s="92" t="s">
        <v>191</v>
      </c>
      <c r="C45" s="194"/>
      <c r="D45" s="73">
        <v>0.22</v>
      </c>
      <c r="E45" s="230"/>
      <c r="F45" s="103"/>
      <c r="G45" s="190"/>
    </row>
    <row r="46" spans="1:11" ht="25.5" x14ac:dyDescent="0.25">
      <c r="A46" s="69" t="s">
        <v>75</v>
      </c>
      <c r="B46" s="70" t="s">
        <v>159</v>
      </c>
      <c r="C46" s="191" t="s">
        <v>19</v>
      </c>
      <c r="D46" s="100">
        <v>4.5</v>
      </c>
      <c r="E46" s="213">
        <v>0.6</v>
      </c>
      <c r="F46" s="101">
        <f>+D46+E48</f>
        <v>7.1999999999999993</v>
      </c>
      <c r="G46" s="217" t="s">
        <v>15</v>
      </c>
      <c r="I46" s="105">
        <f>+F46-D46</f>
        <v>2.6999999999999993</v>
      </c>
      <c r="J46" s="109"/>
    </row>
    <row r="47" spans="1:11" x14ac:dyDescent="0.25">
      <c r="A47" s="97" t="s">
        <v>192</v>
      </c>
      <c r="B47" s="97" t="s">
        <v>193</v>
      </c>
      <c r="C47" s="192"/>
      <c r="D47" s="42">
        <v>4.45</v>
      </c>
      <c r="E47" s="214"/>
      <c r="F47" s="102"/>
      <c r="G47" s="218"/>
    </row>
    <row r="48" spans="1:11" x14ac:dyDescent="0.25">
      <c r="A48" s="98" t="s">
        <v>175</v>
      </c>
      <c r="B48" s="98" t="s">
        <v>194</v>
      </c>
      <c r="C48" s="192"/>
      <c r="D48" s="42">
        <v>4.9000000000000004</v>
      </c>
      <c r="E48" s="222">
        <f>+D46*E46</f>
        <v>2.6999999999999997</v>
      </c>
      <c r="F48" s="102"/>
      <c r="G48" s="218"/>
      <c r="J48" s="3"/>
      <c r="K48" s="3"/>
    </row>
    <row r="49" spans="1:11" x14ac:dyDescent="0.25">
      <c r="A49" s="92" t="s">
        <v>195</v>
      </c>
      <c r="B49" s="92" t="s">
        <v>196</v>
      </c>
      <c r="C49" s="192"/>
      <c r="D49" s="42">
        <v>5.2</v>
      </c>
      <c r="E49" s="223"/>
      <c r="F49" s="102"/>
      <c r="G49" s="218"/>
      <c r="J49" s="38"/>
      <c r="K49" s="39"/>
    </row>
    <row r="50" spans="1:11" ht="16.5" thickBot="1" x14ac:dyDescent="0.3">
      <c r="A50" s="92" t="s">
        <v>197</v>
      </c>
      <c r="B50" s="92" t="s">
        <v>198</v>
      </c>
      <c r="C50" s="194"/>
      <c r="D50" s="71">
        <v>5.26</v>
      </c>
      <c r="E50" s="223"/>
      <c r="F50" s="103"/>
      <c r="G50" s="219"/>
      <c r="J50" s="38"/>
      <c r="K50" s="39"/>
    </row>
    <row r="51" spans="1:11" ht="25.5" x14ac:dyDescent="0.25">
      <c r="A51" s="69" t="s">
        <v>75</v>
      </c>
      <c r="B51" s="70" t="s">
        <v>159</v>
      </c>
      <c r="C51" s="220" t="s">
        <v>37</v>
      </c>
      <c r="D51" s="100">
        <v>2.2400000000000002</v>
      </c>
      <c r="E51" s="213">
        <v>0.1</v>
      </c>
      <c r="F51" s="101">
        <f>+D51+E53</f>
        <v>2.4640000000000004</v>
      </c>
      <c r="G51" s="217" t="s">
        <v>15</v>
      </c>
      <c r="I51" s="105">
        <f>+F51-D51</f>
        <v>0.2240000000000002</v>
      </c>
      <c r="J51" s="109"/>
      <c r="K51" s="40"/>
    </row>
    <row r="52" spans="1:11" x14ac:dyDescent="0.25">
      <c r="A52" s="92" t="s">
        <v>178</v>
      </c>
      <c r="B52" s="92" t="s">
        <v>179</v>
      </c>
      <c r="C52" s="192"/>
      <c r="D52" s="42">
        <v>2.91</v>
      </c>
      <c r="E52" s="214"/>
      <c r="F52" s="102"/>
      <c r="G52" s="218"/>
    </row>
    <row r="53" spans="1:11" x14ac:dyDescent="0.25">
      <c r="A53" s="97" t="s">
        <v>199</v>
      </c>
      <c r="B53" s="97" t="s">
        <v>200</v>
      </c>
      <c r="C53" s="192"/>
      <c r="D53" s="42">
        <v>2.42</v>
      </c>
      <c r="E53" s="222">
        <f>+D51*E51</f>
        <v>0.22400000000000003</v>
      </c>
      <c r="F53" s="102"/>
      <c r="G53" s="218"/>
    </row>
    <row r="54" spans="1:11" x14ac:dyDescent="0.25">
      <c r="A54" s="92" t="s">
        <v>192</v>
      </c>
      <c r="B54" s="92" t="s">
        <v>193</v>
      </c>
      <c r="C54" s="192"/>
      <c r="D54" s="42">
        <v>2.95</v>
      </c>
      <c r="E54" s="223"/>
      <c r="F54" s="102"/>
      <c r="G54" s="218"/>
    </row>
    <row r="55" spans="1:11" ht="27" thickBot="1" x14ac:dyDescent="0.3">
      <c r="A55" s="92" t="s">
        <v>167</v>
      </c>
      <c r="B55" s="95" t="s">
        <v>168</v>
      </c>
      <c r="C55" s="194"/>
      <c r="D55" s="71">
        <v>2.77</v>
      </c>
      <c r="E55" s="224"/>
      <c r="F55" s="103"/>
      <c r="G55" s="219"/>
    </row>
    <row r="56" spans="1:11" ht="25.5" x14ac:dyDescent="0.25">
      <c r="A56" s="69" t="s">
        <v>75</v>
      </c>
      <c r="B56" s="177" t="s">
        <v>227</v>
      </c>
      <c r="C56" s="191" t="s">
        <v>160</v>
      </c>
      <c r="D56" s="100">
        <v>11.7492</v>
      </c>
      <c r="E56" s="215">
        <v>0</v>
      </c>
      <c r="F56" s="101">
        <f>+AVERAGE(D56:D60)</f>
        <v>9.7118400000000005</v>
      </c>
      <c r="G56" s="217" t="s">
        <v>15</v>
      </c>
      <c r="I56" s="105">
        <f>+F56-D56</f>
        <v>-2.0373599999999996</v>
      </c>
      <c r="J56" s="109"/>
    </row>
    <row r="57" spans="1:11" x14ac:dyDescent="0.25">
      <c r="A57" s="106" t="s">
        <v>201</v>
      </c>
      <c r="B57" s="92" t="s">
        <v>202</v>
      </c>
      <c r="C57" s="192"/>
      <c r="D57" s="42">
        <v>9.57</v>
      </c>
      <c r="E57" s="216"/>
      <c r="F57" s="102"/>
      <c r="G57" s="218"/>
      <c r="H57" s="129"/>
    </row>
    <row r="58" spans="1:11" x14ac:dyDescent="0.25">
      <c r="A58" s="106" t="s">
        <v>190</v>
      </c>
      <c r="B58" s="92" t="s">
        <v>191</v>
      </c>
      <c r="C58" s="192"/>
      <c r="D58" s="42">
        <v>9.2200000000000006</v>
      </c>
      <c r="E58" s="222">
        <v>0</v>
      </c>
      <c r="F58" s="102"/>
      <c r="G58" s="218"/>
    </row>
    <row r="59" spans="1:11" x14ac:dyDescent="0.25">
      <c r="A59" s="106" t="s">
        <v>171</v>
      </c>
      <c r="B59" s="92" t="s">
        <v>172</v>
      </c>
      <c r="C59" s="192"/>
      <c r="D59" s="42">
        <v>9.02</v>
      </c>
      <c r="E59" s="223"/>
      <c r="F59" s="102"/>
      <c r="G59" s="218"/>
      <c r="I59" s="105"/>
    </row>
    <row r="60" spans="1:11" ht="16.5" thickBot="1" x14ac:dyDescent="0.3">
      <c r="A60" s="107" t="s">
        <v>203</v>
      </c>
      <c r="B60" s="169" t="s">
        <v>204</v>
      </c>
      <c r="C60" s="194"/>
      <c r="D60" s="71">
        <v>9</v>
      </c>
      <c r="E60" s="224"/>
      <c r="F60" s="103"/>
      <c r="G60" s="219"/>
    </row>
  </sheetData>
  <mergeCells count="44">
    <mergeCell ref="E58:E60"/>
    <mergeCell ref="E12:E16"/>
    <mergeCell ref="E56:E57"/>
    <mergeCell ref="E19:E22"/>
    <mergeCell ref="E25:E28"/>
    <mergeCell ref="E31:E34"/>
    <mergeCell ref="E37:E40"/>
    <mergeCell ref="E43:E45"/>
    <mergeCell ref="E48:E50"/>
    <mergeCell ref="E53:E55"/>
    <mergeCell ref="E29:E30"/>
    <mergeCell ref="E35:E36"/>
    <mergeCell ref="E41:E42"/>
    <mergeCell ref="E46:E47"/>
    <mergeCell ref="E51:E52"/>
    <mergeCell ref="C56:C60"/>
    <mergeCell ref="G56:G60"/>
    <mergeCell ref="A2:G2"/>
    <mergeCell ref="A3:G3"/>
    <mergeCell ref="G51:G55"/>
    <mergeCell ref="C29:C34"/>
    <mergeCell ref="C51:C55"/>
    <mergeCell ref="C35:C40"/>
    <mergeCell ref="G29:G34"/>
    <mergeCell ref="G35:G40"/>
    <mergeCell ref="C41:C45"/>
    <mergeCell ref="G41:G45"/>
    <mergeCell ref="C46:C50"/>
    <mergeCell ref="G46:G50"/>
    <mergeCell ref="G17:G22"/>
    <mergeCell ref="C23:C28"/>
    <mergeCell ref="G23:G28"/>
    <mergeCell ref="C17:C22"/>
    <mergeCell ref="C10:C16"/>
    <mergeCell ref="G10:G16"/>
    <mergeCell ref="A4:G4"/>
    <mergeCell ref="A8:A9"/>
    <mergeCell ref="C8:C9"/>
    <mergeCell ref="D8:D9"/>
    <mergeCell ref="B8:B9"/>
    <mergeCell ref="E8:G8"/>
    <mergeCell ref="E10:E11"/>
    <mergeCell ref="E17:E18"/>
    <mergeCell ref="E23:E24"/>
  </mergeCells>
  <pageMargins left="0.75" right="0.75" top="1" bottom="1" header="0.5" footer="0.5"/>
  <pageSetup scale="46" orientation="portrait" horizontalDpi="4294967292" verticalDpi="4294967292" r:id="rId1"/>
  <colBreaks count="1" manualBreakCount="1">
    <brk id="7" max="1048575" man="1"/>
  </colBreaks>
  <ignoredErrors>
    <ignoredError sqref="F40 F26:F28 F32:F34 F18:F20 F22 F30 F42:F45 F36:F38 F47:F50 F52:F55" formulaRange="1"/>
  </ignoredError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07840-E827-49AD-BF4D-055AEDD0BFFA}">
  <sheetPr>
    <tabColor theme="8"/>
  </sheetPr>
  <dimension ref="A1:H27"/>
  <sheetViews>
    <sheetView view="pageBreakPreview" zoomScaleNormal="100" zoomScaleSheetLayoutView="100" workbookViewId="0">
      <selection activeCell="E12" sqref="E12"/>
    </sheetView>
  </sheetViews>
  <sheetFormatPr baseColWidth="10" defaultColWidth="10" defaultRowHeight="15.75" x14ac:dyDescent="0.25"/>
  <cols>
    <col min="1" max="1" width="4.625" style="9" customWidth="1"/>
    <col min="2" max="2" width="38.875" style="9" customWidth="1"/>
    <col min="3" max="3" width="20.875" style="9" customWidth="1"/>
    <col min="4" max="4" width="13" style="9" bestFit="1" customWidth="1"/>
    <col min="5" max="5" width="15" style="9" customWidth="1"/>
    <col min="6" max="6" width="14.75" style="9" customWidth="1"/>
    <col min="7" max="7" width="6.125" style="9" customWidth="1"/>
    <col min="8" max="8" width="13.625" style="10" bestFit="1" customWidth="1"/>
    <col min="9" max="9" width="49.625" style="9" bestFit="1" customWidth="1"/>
    <col min="10" max="16384" width="10" style="9"/>
  </cols>
  <sheetData>
    <row r="1" spans="1:8" x14ac:dyDescent="0.25">
      <c r="A1" s="89"/>
      <c r="B1" s="89"/>
      <c r="C1" s="89"/>
      <c r="D1" s="89"/>
      <c r="E1" s="89"/>
      <c r="F1" s="89"/>
      <c r="G1" s="89"/>
      <c r="H1" s="90"/>
    </row>
    <row r="2" spans="1:8" x14ac:dyDescent="0.25">
      <c r="A2" s="89"/>
      <c r="B2" s="231" t="s">
        <v>75</v>
      </c>
      <c r="C2" s="231"/>
      <c r="D2" s="231"/>
      <c r="E2" s="231"/>
      <c r="F2" s="231"/>
      <c r="G2" s="231"/>
      <c r="H2" s="90"/>
    </row>
    <row r="3" spans="1:8" x14ac:dyDescent="0.25">
      <c r="A3" s="89"/>
      <c r="B3" s="232" t="s">
        <v>163</v>
      </c>
      <c r="C3" s="232"/>
      <c r="D3" s="232"/>
      <c r="E3" s="232"/>
      <c r="F3" s="232"/>
      <c r="G3" s="232"/>
      <c r="H3" s="90"/>
    </row>
    <row r="4" spans="1:8" x14ac:dyDescent="0.25">
      <c r="A4" s="89"/>
      <c r="B4" s="89"/>
      <c r="C4" s="89"/>
      <c r="D4" s="89"/>
      <c r="E4" s="89"/>
      <c r="F4" s="89"/>
      <c r="G4" s="89"/>
      <c r="H4" s="90"/>
    </row>
    <row r="5" spans="1:8" ht="16.5" thickBot="1" x14ac:dyDescent="0.3">
      <c r="A5" s="89"/>
      <c r="B5" s="91"/>
      <c r="C5" s="91"/>
      <c r="D5" s="91"/>
      <c r="E5" s="89"/>
      <c r="F5" s="89"/>
      <c r="G5" s="89"/>
      <c r="H5" s="90"/>
    </row>
    <row r="6" spans="1:8" ht="17.25" thickBot="1" x14ac:dyDescent="0.3">
      <c r="B6" s="233" t="s">
        <v>58</v>
      </c>
      <c r="C6" s="234"/>
      <c r="D6" s="234"/>
      <c r="E6" s="234"/>
      <c r="F6" s="10"/>
      <c r="G6" s="90"/>
      <c r="H6" s="90"/>
    </row>
    <row r="7" spans="1:8" ht="33.75" thickBot="1" x14ac:dyDescent="0.3">
      <c r="A7" s="89"/>
      <c r="B7" s="36" t="s">
        <v>56</v>
      </c>
      <c r="C7" s="36" t="s">
        <v>70</v>
      </c>
      <c r="D7" s="36" t="s">
        <v>71</v>
      </c>
      <c r="E7" s="37" t="s">
        <v>3</v>
      </c>
      <c r="F7" s="90"/>
      <c r="G7" s="90"/>
      <c r="H7" s="90"/>
    </row>
    <row r="8" spans="1:8" ht="16.5" thickBot="1" x14ac:dyDescent="0.3">
      <c r="A8" s="89"/>
      <c r="B8" s="33" t="s">
        <v>77</v>
      </c>
      <c r="C8" s="66" t="s">
        <v>78</v>
      </c>
      <c r="D8" s="161" t="s">
        <v>54</v>
      </c>
      <c r="E8" s="34">
        <v>4442262000</v>
      </c>
      <c r="F8" s="90"/>
      <c r="G8" s="90"/>
      <c r="H8" s="90"/>
    </row>
    <row r="9" spans="1:8" ht="16.5" thickBot="1" x14ac:dyDescent="0.3">
      <c r="A9" s="89"/>
      <c r="B9" s="33" t="s">
        <v>79</v>
      </c>
      <c r="C9" s="33" t="s">
        <v>80</v>
      </c>
      <c r="D9" s="161" t="s">
        <v>54</v>
      </c>
      <c r="E9" s="34">
        <v>249400000</v>
      </c>
      <c r="F9" s="90"/>
      <c r="G9" s="90"/>
      <c r="H9" s="90"/>
    </row>
    <row r="10" spans="1:8" ht="16.5" thickBot="1" x14ac:dyDescent="0.3">
      <c r="A10" s="89"/>
      <c r="B10" s="33" t="s">
        <v>81</v>
      </c>
      <c r="C10" s="33" t="s">
        <v>82</v>
      </c>
      <c r="D10" s="161" t="s">
        <v>69</v>
      </c>
      <c r="E10" s="34">
        <v>380000000</v>
      </c>
      <c r="F10" s="90"/>
      <c r="G10" s="90"/>
      <c r="H10" s="90"/>
    </row>
    <row r="11" spans="1:8" ht="16.5" thickBot="1" x14ac:dyDescent="0.3">
      <c r="A11" s="89"/>
      <c r="B11" s="236" t="s">
        <v>214</v>
      </c>
      <c r="C11" s="237"/>
      <c r="D11" s="238"/>
      <c r="E11" s="34">
        <f>(+E8+E9+E10)*0.05</f>
        <v>253583100</v>
      </c>
      <c r="F11" s="90"/>
      <c r="G11" s="90"/>
      <c r="H11" s="90"/>
    </row>
    <row r="12" spans="1:8" ht="17.25" thickBot="1" x14ac:dyDescent="0.3">
      <c r="A12" s="89"/>
      <c r="B12" s="235" t="s">
        <v>9</v>
      </c>
      <c r="C12" s="235"/>
      <c r="D12" s="235"/>
      <c r="E12" s="35">
        <f>+E8+E9+E10+E11</f>
        <v>5325245100</v>
      </c>
      <c r="F12" s="90"/>
      <c r="G12" s="90"/>
      <c r="H12" s="90"/>
    </row>
    <row r="13" spans="1:8" ht="16.5" thickBot="1" x14ac:dyDescent="0.3">
      <c r="A13" s="89"/>
      <c r="F13" s="89"/>
      <c r="G13" s="89"/>
      <c r="H13" s="90"/>
    </row>
    <row r="14" spans="1:8" ht="33.75" thickBot="1" x14ac:dyDescent="0.3">
      <c r="A14" s="89"/>
      <c r="B14" s="49" t="s">
        <v>55</v>
      </c>
      <c r="C14" s="49" t="s">
        <v>3</v>
      </c>
      <c r="D14" s="50" t="s">
        <v>60</v>
      </c>
      <c r="E14" s="50" t="s">
        <v>63</v>
      </c>
      <c r="F14" s="49" t="s">
        <v>59</v>
      </c>
      <c r="G14" s="89"/>
      <c r="H14" s="90"/>
    </row>
    <row r="15" spans="1:8" ht="16.5" thickBot="1" x14ac:dyDescent="0.3">
      <c r="A15" s="89"/>
      <c r="B15" s="33" t="s">
        <v>58</v>
      </c>
      <c r="C15" s="134">
        <f>+E12</f>
        <v>5325245100</v>
      </c>
      <c r="D15" s="52">
        <f>+D16</f>
        <v>0.05</v>
      </c>
      <c r="E15" s="51">
        <f>+C15*0.05</f>
        <v>266262255</v>
      </c>
      <c r="F15" s="51">
        <f t="shared" ref="F15:F23" si="0">+C15+E15</f>
        <v>5591507355</v>
      </c>
      <c r="G15" s="89"/>
      <c r="H15" s="90"/>
    </row>
    <row r="16" spans="1:8" ht="16.5" thickBot="1" x14ac:dyDescent="0.3">
      <c r="A16" s="89"/>
      <c r="B16" s="33" t="s">
        <v>57</v>
      </c>
      <c r="C16" s="134">
        <v>2138629354.49001</v>
      </c>
      <c r="D16" s="52">
        <v>0.05</v>
      </c>
      <c r="E16" s="51">
        <f t="shared" ref="E16:E20" si="1">+C16*5%</f>
        <v>106931467.72450051</v>
      </c>
      <c r="F16" s="51">
        <f t="shared" si="0"/>
        <v>2245560822.2145104</v>
      </c>
      <c r="G16" s="89"/>
      <c r="H16" s="90"/>
    </row>
    <row r="17" spans="1:8" ht="16.5" thickBot="1" x14ac:dyDescent="0.3">
      <c r="A17" s="89"/>
      <c r="B17" s="33" t="s">
        <v>83</v>
      </c>
      <c r="C17" s="134">
        <v>838921061</v>
      </c>
      <c r="D17" s="52">
        <v>0.05</v>
      </c>
      <c r="E17" s="51">
        <f t="shared" si="1"/>
        <v>41946053.050000004</v>
      </c>
      <c r="F17" s="51">
        <f t="shared" si="0"/>
        <v>880867114.04999995</v>
      </c>
      <c r="G17" s="89"/>
      <c r="H17" s="90"/>
    </row>
    <row r="18" spans="1:8" ht="39" thickBot="1" x14ac:dyDescent="0.3">
      <c r="A18" s="89"/>
      <c r="B18" s="82" t="s">
        <v>149</v>
      </c>
      <c r="C18" s="134">
        <v>36641073907.029999</v>
      </c>
      <c r="D18" s="52">
        <v>0.05</v>
      </c>
      <c r="E18" s="51">
        <f t="shared" si="1"/>
        <v>1832053695.3515</v>
      </c>
      <c r="F18" s="51">
        <f t="shared" si="0"/>
        <v>38473127602.3815</v>
      </c>
      <c r="G18" s="89"/>
      <c r="H18" s="90"/>
    </row>
    <row r="19" spans="1:8" ht="16.5" thickBot="1" x14ac:dyDescent="0.3">
      <c r="A19" s="89"/>
      <c r="B19" s="33" t="s">
        <v>150</v>
      </c>
      <c r="C19" s="134">
        <v>2647455079.1400576</v>
      </c>
      <c r="D19" s="52">
        <v>0.05</v>
      </c>
      <c r="E19" s="51">
        <f t="shared" si="1"/>
        <v>132372753.95700288</v>
      </c>
      <c r="F19" s="51">
        <f t="shared" si="0"/>
        <v>2779827833.0970602</v>
      </c>
      <c r="G19" s="89"/>
      <c r="H19" s="90"/>
    </row>
    <row r="20" spans="1:8" ht="16.5" thickBot="1" x14ac:dyDescent="0.3">
      <c r="A20" s="89"/>
      <c r="B20" s="33" t="s">
        <v>151</v>
      </c>
      <c r="C20" s="134">
        <v>1218720976.8900001</v>
      </c>
      <c r="D20" s="52">
        <v>0.05</v>
      </c>
      <c r="E20" s="51">
        <f t="shared" si="1"/>
        <v>60936048.844500005</v>
      </c>
      <c r="F20" s="51">
        <f t="shared" si="0"/>
        <v>1279657025.7345002</v>
      </c>
      <c r="G20" s="89"/>
      <c r="H20" s="90"/>
    </row>
    <row r="21" spans="1:8" ht="16.5" thickBot="1" x14ac:dyDescent="0.3">
      <c r="A21" s="89"/>
      <c r="B21" s="33" t="s">
        <v>84</v>
      </c>
      <c r="C21" s="51">
        <v>2000000</v>
      </c>
      <c r="D21" s="52">
        <v>0</v>
      </c>
      <c r="E21" s="51">
        <v>0</v>
      </c>
      <c r="F21" s="51">
        <f t="shared" si="0"/>
        <v>2000000</v>
      </c>
      <c r="G21" s="89"/>
      <c r="H21" s="90"/>
    </row>
    <row r="22" spans="1:8" ht="16.5" thickBot="1" x14ac:dyDescent="0.3">
      <c r="A22" s="89"/>
      <c r="B22" s="33" t="s">
        <v>161</v>
      </c>
      <c r="C22" s="51">
        <v>25619873072.650002</v>
      </c>
      <c r="D22" s="52">
        <v>0</v>
      </c>
      <c r="E22" s="51">
        <v>0</v>
      </c>
      <c r="F22" s="51">
        <f t="shared" si="0"/>
        <v>25619873072.650002</v>
      </c>
      <c r="G22" s="89"/>
      <c r="H22" s="90"/>
    </row>
    <row r="23" spans="1:8" ht="16.5" thickBot="1" x14ac:dyDescent="0.3">
      <c r="A23" s="89"/>
      <c r="B23" s="33" t="s">
        <v>162</v>
      </c>
      <c r="C23" s="51">
        <v>1128877135.8900001</v>
      </c>
      <c r="D23" s="52">
        <v>0</v>
      </c>
      <c r="E23" s="51">
        <v>0</v>
      </c>
      <c r="F23" s="51">
        <f t="shared" si="0"/>
        <v>1128877135.8900001</v>
      </c>
      <c r="G23" s="89"/>
      <c r="H23" s="90"/>
    </row>
    <row r="24" spans="1:8" ht="26.25" thickBot="1" x14ac:dyDescent="0.3">
      <c r="A24" s="89"/>
      <c r="B24" s="88" t="s">
        <v>85</v>
      </c>
      <c r="C24" s="51">
        <f>+C15*0.1</f>
        <v>532524510</v>
      </c>
      <c r="D24" s="52">
        <v>0</v>
      </c>
      <c r="E24" s="51">
        <f t="shared" ref="E24:E25" si="2">C24*D24</f>
        <v>0</v>
      </c>
      <c r="F24" s="51">
        <f t="shared" ref="F24:F25" si="3">+C24+E24</f>
        <v>532524510</v>
      </c>
      <c r="G24" s="89"/>
      <c r="H24" s="90"/>
    </row>
    <row r="25" spans="1:8" ht="16.5" thickBot="1" x14ac:dyDescent="0.3">
      <c r="A25" s="89"/>
      <c r="B25" s="33" t="s">
        <v>152</v>
      </c>
      <c r="C25" s="51">
        <f>+C15*0.1</f>
        <v>532524510</v>
      </c>
      <c r="D25" s="52">
        <v>0</v>
      </c>
      <c r="E25" s="51">
        <f t="shared" si="2"/>
        <v>0</v>
      </c>
      <c r="F25" s="51">
        <f t="shared" si="3"/>
        <v>532524510</v>
      </c>
      <c r="G25" s="89"/>
      <c r="H25" s="90"/>
    </row>
    <row r="26" spans="1:8" ht="17.25" thickBot="1" x14ac:dyDescent="0.3">
      <c r="A26" s="89"/>
      <c r="B26" s="36" t="s">
        <v>9</v>
      </c>
      <c r="C26" s="53">
        <f>SUM(C15:C25)</f>
        <v>76625844707.090073</v>
      </c>
      <c r="D26" s="54"/>
      <c r="E26" s="53">
        <f>SUM(E15:E25)</f>
        <v>2440502273.9275031</v>
      </c>
      <c r="F26" s="53">
        <f>SUM(F15:F25)</f>
        <v>79066346981.017563</v>
      </c>
      <c r="G26" s="89"/>
      <c r="H26" s="90"/>
    </row>
    <row r="27" spans="1:8" x14ac:dyDescent="0.25">
      <c r="B27" s="89"/>
      <c r="C27" s="89"/>
      <c r="D27" s="89"/>
      <c r="E27" s="89"/>
      <c r="F27" s="89"/>
    </row>
  </sheetData>
  <mergeCells count="5">
    <mergeCell ref="B2:G2"/>
    <mergeCell ref="B3:G3"/>
    <mergeCell ref="B6:E6"/>
    <mergeCell ref="B12:D12"/>
    <mergeCell ref="B11:D11"/>
  </mergeCells>
  <pageMargins left="0.7" right="0.7" top="0.75" bottom="0.75" header="0.3" footer="0.3"/>
  <pageSetup scale="6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/>
  </sheetPr>
  <dimension ref="A2:L28"/>
  <sheetViews>
    <sheetView showGridLines="0" workbookViewId="0">
      <selection activeCell="A24" sqref="A24"/>
    </sheetView>
  </sheetViews>
  <sheetFormatPr baseColWidth="10" defaultColWidth="10" defaultRowHeight="15.75" x14ac:dyDescent="0.25"/>
  <cols>
    <col min="1" max="1" width="3" style="6" customWidth="1"/>
    <col min="2" max="2" width="7" style="6" customWidth="1"/>
    <col min="3" max="3" width="10.625" style="6" bestFit="1" customWidth="1"/>
    <col min="4" max="4" width="17.125" style="6" bestFit="1" customWidth="1"/>
    <col min="5" max="5" width="25.5" style="6" bestFit="1" customWidth="1"/>
    <col min="6" max="6" width="8" style="6" bestFit="1" customWidth="1"/>
    <col min="7" max="7" width="4.875" style="6" bestFit="1" customWidth="1"/>
    <col min="8" max="8" width="11.125" style="6" bestFit="1" customWidth="1"/>
    <col min="9" max="9" width="13" style="6" bestFit="1" customWidth="1"/>
    <col min="10" max="10" width="17.875" style="6" bestFit="1" customWidth="1"/>
    <col min="11" max="11" width="10.875" style="6" customWidth="1"/>
    <col min="12" max="12" width="17.5" style="6" customWidth="1"/>
    <col min="13" max="16384" width="10" style="6"/>
  </cols>
  <sheetData>
    <row r="2" spans="1:12" x14ac:dyDescent="0.25">
      <c r="A2" s="241" t="s">
        <v>75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</row>
    <row r="3" spans="1:12" x14ac:dyDescent="0.25">
      <c r="A3" s="241" t="s">
        <v>215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</row>
    <row r="4" spans="1:12" ht="16.5" thickBot="1" x14ac:dyDescent="0.3"/>
    <row r="5" spans="1:12" ht="32.25" thickBot="1" x14ac:dyDescent="0.3">
      <c r="A5" s="55" t="s">
        <v>40</v>
      </c>
      <c r="B5" s="56" t="s">
        <v>64</v>
      </c>
      <c r="C5" s="56" t="s">
        <v>65</v>
      </c>
      <c r="D5" s="56" t="s">
        <v>66</v>
      </c>
      <c r="E5" s="56" t="s">
        <v>67</v>
      </c>
      <c r="F5" s="56" t="s">
        <v>68</v>
      </c>
      <c r="G5" s="56" t="s">
        <v>41</v>
      </c>
      <c r="H5" s="56" t="s">
        <v>42</v>
      </c>
      <c r="I5" s="56" t="s">
        <v>43</v>
      </c>
      <c r="J5" s="56" t="s">
        <v>44</v>
      </c>
      <c r="K5" s="56" t="s">
        <v>45</v>
      </c>
      <c r="L5" s="56" t="s">
        <v>61</v>
      </c>
    </row>
    <row r="6" spans="1:12" s="7" customFormat="1" ht="16.5" thickBot="1" x14ac:dyDescent="0.3">
      <c r="A6" s="57">
        <v>1</v>
      </c>
      <c r="B6" s="58" t="s">
        <v>86</v>
      </c>
      <c r="C6" s="59" t="s">
        <v>95</v>
      </c>
      <c r="D6" s="58" t="s">
        <v>148</v>
      </c>
      <c r="E6" s="75" t="s">
        <v>91</v>
      </c>
      <c r="F6" s="58">
        <v>2012</v>
      </c>
      <c r="G6" s="60">
        <v>2261</v>
      </c>
      <c r="H6" s="61">
        <v>5</v>
      </c>
      <c r="I6" s="58" t="s">
        <v>92</v>
      </c>
      <c r="J6" s="58" t="s">
        <v>93</v>
      </c>
      <c r="K6" s="164" t="s">
        <v>90</v>
      </c>
      <c r="L6" s="62">
        <v>53995060</v>
      </c>
    </row>
    <row r="7" spans="1:12" s="7" customFormat="1" ht="16.5" thickBot="1" x14ac:dyDescent="0.3">
      <c r="A7" s="57">
        <v>2</v>
      </c>
      <c r="B7" s="58" t="s">
        <v>94</v>
      </c>
      <c r="C7" s="59" t="s">
        <v>95</v>
      </c>
      <c r="D7" s="58" t="s">
        <v>148</v>
      </c>
      <c r="E7" s="75" t="s">
        <v>91</v>
      </c>
      <c r="F7" s="58">
        <v>2012</v>
      </c>
      <c r="G7" s="60">
        <v>2261</v>
      </c>
      <c r="H7" s="61">
        <v>5</v>
      </c>
      <c r="I7" s="58" t="s">
        <v>96</v>
      </c>
      <c r="J7" s="58" t="s">
        <v>97</v>
      </c>
      <c r="K7" s="164" t="s">
        <v>90</v>
      </c>
      <c r="L7" s="62">
        <v>53995060</v>
      </c>
    </row>
    <row r="8" spans="1:12" s="7" customFormat="1" ht="16.5" thickBot="1" x14ac:dyDescent="0.3">
      <c r="A8" s="57">
        <v>3</v>
      </c>
      <c r="B8" s="58" t="s">
        <v>87</v>
      </c>
      <c r="C8" s="59" t="s">
        <v>95</v>
      </c>
      <c r="D8" s="58" t="s">
        <v>148</v>
      </c>
      <c r="E8" s="75" t="s">
        <v>91</v>
      </c>
      <c r="F8" s="58">
        <v>2012</v>
      </c>
      <c r="G8" s="60">
        <v>2261</v>
      </c>
      <c r="H8" s="61">
        <v>5</v>
      </c>
      <c r="I8" s="58" t="s">
        <v>98</v>
      </c>
      <c r="J8" s="58" t="s">
        <v>99</v>
      </c>
      <c r="K8" s="164" t="s">
        <v>90</v>
      </c>
      <c r="L8" s="62">
        <v>53995060</v>
      </c>
    </row>
    <row r="9" spans="1:12" s="7" customFormat="1" ht="16.5" thickBot="1" x14ac:dyDescent="0.3">
      <c r="A9" s="57">
        <v>4</v>
      </c>
      <c r="B9" s="58" t="s">
        <v>89</v>
      </c>
      <c r="C9" s="59" t="s">
        <v>95</v>
      </c>
      <c r="D9" s="58" t="s">
        <v>148</v>
      </c>
      <c r="E9" s="75" t="s">
        <v>91</v>
      </c>
      <c r="F9" s="58">
        <v>2012</v>
      </c>
      <c r="G9" s="60">
        <v>2261</v>
      </c>
      <c r="H9" s="61">
        <v>5</v>
      </c>
      <c r="I9" s="58" t="s">
        <v>100</v>
      </c>
      <c r="J9" s="58" t="s">
        <v>101</v>
      </c>
      <c r="K9" s="164" t="s">
        <v>90</v>
      </c>
      <c r="L9" s="62">
        <v>53995060</v>
      </c>
    </row>
    <row r="10" spans="1:12" s="7" customFormat="1" ht="16.5" thickBot="1" x14ac:dyDescent="0.3">
      <c r="A10" s="57">
        <v>5</v>
      </c>
      <c r="B10" s="58" t="s">
        <v>88</v>
      </c>
      <c r="C10" s="59" t="s">
        <v>95</v>
      </c>
      <c r="D10" s="58" t="s">
        <v>148</v>
      </c>
      <c r="E10" s="75" t="s">
        <v>91</v>
      </c>
      <c r="F10" s="58">
        <v>2012</v>
      </c>
      <c r="G10" s="60">
        <v>2261</v>
      </c>
      <c r="H10" s="61">
        <v>5</v>
      </c>
      <c r="I10" s="58" t="s">
        <v>102</v>
      </c>
      <c r="J10" s="58" t="s">
        <v>103</v>
      </c>
      <c r="K10" s="164" t="s">
        <v>90</v>
      </c>
      <c r="L10" s="62">
        <v>53995060</v>
      </c>
    </row>
    <row r="11" spans="1:12" s="7" customFormat="1" ht="16.5" thickBot="1" x14ac:dyDescent="0.3">
      <c r="A11" s="57">
        <v>6</v>
      </c>
      <c r="B11" s="58" t="s">
        <v>104</v>
      </c>
      <c r="C11" s="59" t="s">
        <v>95</v>
      </c>
      <c r="D11" s="58" t="s">
        <v>148</v>
      </c>
      <c r="E11" s="75" t="s">
        <v>91</v>
      </c>
      <c r="F11" s="58">
        <v>2012</v>
      </c>
      <c r="G11" s="60">
        <v>2261</v>
      </c>
      <c r="H11" s="61">
        <v>5</v>
      </c>
      <c r="I11" s="58" t="s">
        <v>105</v>
      </c>
      <c r="J11" s="58" t="s">
        <v>106</v>
      </c>
      <c r="K11" s="164" t="s">
        <v>90</v>
      </c>
      <c r="L11" s="62">
        <v>53995060</v>
      </c>
    </row>
    <row r="12" spans="1:12" s="7" customFormat="1" ht="16.5" thickBot="1" x14ac:dyDescent="0.3">
      <c r="A12" s="57">
        <v>7</v>
      </c>
      <c r="B12" s="58" t="s">
        <v>107</v>
      </c>
      <c r="C12" s="59" t="s">
        <v>95</v>
      </c>
      <c r="D12" s="58" t="s">
        <v>148</v>
      </c>
      <c r="E12" s="75" t="s">
        <v>91</v>
      </c>
      <c r="F12" s="58">
        <v>2012</v>
      </c>
      <c r="G12" s="60">
        <v>2261</v>
      </c>
      <c r="H12" s="61">
        <v>5</v>
      </c>
      <c r="I12" s="58" t="s">
        <v>108</v>
      </c>
      <c r="J12" s="58" t="s">
        <v>109</v>
      </c>
      <c r="K12" s="164" t="s">
        <v>90</v>
      </c>
      <c r="L12" s="62">
        <v>53995060</v>
      </c>
    </row>
    <row r="13" spans="1:12" s="7" customFormat="1" ht="16.5" thickBot="1" x14ac:dyDescent="0.3">
      <c r="A13" s="57">
        <v>8</v>
      </c>
      <c r="B13" s="58" t="s">
        <v>110</v>
      </c>
      <c r="C13" s="59" t="s">
        <v>111</v>
      </c>
      <c r="D13" s="58" t="s">
        <v>112</v>
      </c>
      <c r="E13" s="75" t="s">
        <v>48</v>
      </c>
      <c r="F13" s="58">
        <v>2013</v>
      </c>
      <c r="G13" s="60">
        <v>1998</v>
      </c>
      <c r="H13" s="61">
        <v>5</v>
      </c>
      <c r="I13" s="58" t="s">
        <v>113</v>
      </c>
      <c r="J13" s="58" t="s">
        <v>114</v>
      </c>
      <c r="K13" s="164" t="s">
        <v>115</v>
      </c>
      <c r="L13" s="108">
        <v>51500000</v>
      </c>
    </row>
    <row r="14" spans="1:12" s="7" customFormat="1" ht="16.5" thickBot="1" x14ac:dyDescent="0.3">
      <c r="A14" s="57">
        <v>9</v>
      </c>
      <c r="B14" s="58" t="s">
        <v>116</v>
      </c>
      <c r="C14" s="59" t="s">
        <v>46</v>
      </c>
      <c r="D14" s="58" t="s">
        <v>117</v>
      </c>
      <c r="E14" s="75" t="s">
        <v>122</v>
      </c>
      <c r="F14" s="58">
        <v>2001</v>
      </c>
      <c r="G14" s="60">
        <v>2300</v>
      </c>
      <c r="H14" s="61">
        <v>2</v>
      </c>
      <c r="I14" s="58" t="s">
        <v>119</v>
      </c>
      <c r="J14" s="58" t="s">
        <v>120</v>
      </c>
      <c r="K14" s="164" t="s">
        <v>118</v>
      </c>
      <c r="L14" s="108">
        <v>24500000</v>
      </c>
    </row>
    <row r="15" spans="1:12" s="7" customFormat="1" ht="16.5" thickBot="1" x14ac:dyDescent="0.3">
      <c r="A15" s="57">
        <v>10</v>
      </c>
      <c r="B15" s="58" t="s">
        <v>121</v>
      </c>
      <c r="C15" s="59" t="s">
        <v>46</v>
      </c>
      <c r="D15" s="58" t="s">
        <v>123</v>
      </c>
      <c r="E15" s="75" t="s">
        <v>124</v>
      </c>
      <c r="F15" s="58">
        <v>2004</v>
      </c>
      <c r="G15" s="60">
        <v>2800</v>
      </c>
      <c r="H15" s="61">
        <v>5</v>
      </c>
      <c r="I15" s="58">
        <v>990256</v>
      </c>
      <c r="J15" s="58" t="s">
        <v>125</v>
      </c>
      <c r="K15" s="164" t="s">
        <v>126</v>
      </c>
      <c r="L15" s="108">
        <v>51300000</v>
      </c>
    </row>
    <row r="16" spans="1:12" s="7" customFormat="1" ht="16.5" thickBot="1" x14ac:dyDescent="0.3">
      <c r="A16" s="57">
        <v>11</v>
      </c>
      <c r="B16" s="58" t="s">
        <v>127</v>
      </c>
      <c r="C16" s="59" t="s">
        <v>46</v>
      </c>
      <c r="D16" s="58" t="s">
        <v>123</v>
      </c>
      <c r="E16" s="75" t="s">
        <v>124</v>
      </c>
      <c r="F16" s="58">
        <v>2004</v>
      </c>
      <c r="G16" s="60">
        <v>2800</v>
      </c>
      <c r="H16" s="61">
        <v>5</v>
      </c>
      <c r="I16" s="58">
        <v>989088</v>
      </c>
      <c r="J16" s="58" t="s">
        <v>128</v>
      </c>
      <c r="K16" s="164" t="s">
        <v>126</v>
      </c>
      <c r="L16" s="108">
        <v>51300000</v>
      </c>
    </row>
    <row r="17" spans="1:12" s="7" customFormat="1" ht="16.5" thickBot="1" x14ac:dyDescent="0.3">
      <c r="A17" s="57">
        <v>12</v>
      </c>
      <c r="B17" s="58" t="s">
        <v>129</v>
      </c>
      <c r="C17" s="59" t="s">
        <v>47</v>
      </c>
      <c r="D17" s="58" t="s">
        <v>130</v>
      </c>
      <c r="E17" s="75" t="s">
        <v>131</v>
      </c>
      <c r="F17" s="58">
        <v>2017</v>
      </c>
      <c r="G17" s="60">
        <v>3956</v>
      </c>
      <c r="H17" s="61">
        <v>7</v>
      </c>
      <c r="I17" s="58" t="s">
        <v>132</v>
      </c>
      <c r="J17" s="58" t="s">
        <v>133</v>
      </c>
      <c r="K17" s="164" t="s">
        <v>134</v>
      </c>
      <c r="L17" s="108">
        <v>205100000</v>
      </c>
    </row>
    <row r="18" spans="1:12" s="7" customFormat="1" ht="16.5" thickBot="1" x14ac:dyDescent="0.3">
      <c r="A18" s="57">
        <v>13</v>
      </c>
      <c r="B18" s="58" t="s">
        <v>135</v>
      </c>
      <c r="C18" s="59" t="s">
        <v>47</v>
      </c>
      <c r="D18" s="58" t="s">
        <v>136</v>
      </c>
      <c r="E18" s="75" t="s">
        <v>131</v>
      </c>
      <c r="F18" s="58">
        <v>2016</v>
      </c>
      <c r="G18" s="60">
        <v>3956</v>
      </c>
      <c r="H18" s="61">
        <v>7</v>
      </c>
      <c r="I18" s="58" t="s">
        <v>137</v>
      </c>
      <c r="J18" s="58" t="s">
        <v>138</v>
      </c>
      <c r="K18" s="164" t="s">
        <v>139</v>
      </c>
      <c r="L18" s="108">
        <v>146300000</v>
      </c>
    </row>
    <row r="19" spans="1:12" s="7" customFormat="1" ht="16.5" thickBot="1" x14ac:dyDescent="0.3">
      <c r="A19" s="57">
        <v>14</v>
      </c>
      <c r="B19" s="58" t="s">
        <v>140</v>
      </c>
      <c r="C19" s="166" t="s">
        <v>216</v>
      </c>
      <c r="D19" s="58" t="s">
        <v>141</v>
      </c>
      <c r="E19" s="75" t="s">
        <v>48</v>
      </c>
      <c r="F19" s="58">
        <v>2013</v>
      </c>
      <c r="G19" s="167">
        <v>3000</v>
      </c>
      <c r="H19" s="61">
        <v>5</v>
      </c>
      <c r="I19" s="58" t="s">
        <v>142</v>
      </c>
      <c r="J19" s="58" t="s">
        <v>143</v>
      </c>
      <c r="K19" s="164" t="s">
        <v>144</v>
      </c>
      <c r="L19" s="163">
        <v>53995060</v>
      </c>
    </row>
    <row r="20" spans="1:12" s="7" customFormat="1" ht="16.5" thickBot="1" x14ac:dyDescent="0.3">
      <c r="A20" s="57">
        <v>15</v>
      </c>
      <c r="B20" s="58" t="s">
        <v>145</v>
      </c>
      <c r="C20" s="166" t="s">
        <v>216</v>
      </c>
      <c r="D20" s="58" t="s">
        <v>141</v>
      </c>
      <c r="E20" s="75" t="s">
        <v>48</v>
      </c>
      <c r="F20" s="58">
        <v>2013</v>
      </c>
      <c r="G20" s="167">
        <v>3000</v>
      </c>
      <c r="H20" s="61">
        <v>5</v>
      </c>
      <c r="I20" s="165" t="s">
        <v>146</v>
      </c>
      <c r="J20" s="58" t="s">
        <v>147</v>
      </c>
      <c r="K20" s="164" t="s">
        <v>144</v>
      </c>
      <c r="L20" s="163">
        <v>53995060</v>
      </c>
    </row>
    <row r="21" spans="1:12" ht="16.5" thickBot="1" x14ac:dyDescent="0.3">
      <c r="A21" s="240" t="s">
        <v>9</v>
      </c>
      <c r="B21" s="240"/>
      <c r="C21" s="240"/>
      <c r="D21" s="240"/>
      <c r="E21" s="240"/>
      <c r="F21" s="240"/>
      <c r="G21" s="240"/>
      <c r="H21" s="240"/>
      <c r="I21" s="240"/>
      <c r="J21" s="240"/>
      <c r="K21" s="240"/>
      <c r="L21" s="63">
        <f>SUM(L6:L20)</f>
        <v>1015955540</v>
      </c>
    </row>
    <row r="22" spans="1:12" ht="15.75" customHeight="1" x14ac:dyDescent="0.25">
      <c r="A22" s="239" t="s">
        <v>213</v>
      </c>
      <c r="B22" s="239"/>
      <c r="C22" s="239"/>
      <c r="D22" s="239"/>
      <c r="E22" s="239"/>
      <c r="F22" s="239"/>
      <c r="G22" s="239"/>
      <c r="H22" s="239"/>
      <c r="I22" s="239"/>
      <c r="J22" s="239"/>
      <c r="K22" s="239"/>
      <c r="L22" s="239"/>
    </row>
    <row r="26" spans="1:12" x14ac:dyDescent="0.25">
      <c r="J26" s="11"/>
    </row>
    <row r="27" spans="1:12" x14ac:dyDescent="0.25">
      <c r="J27" s="11"/>
    </row>
    <row r="28" spans="1:12" x14ac:dyDescent="0.25">
      <c r="J28" s="12"/>
    </row>
  </sheetData>
  <mergeCells count="4">
    <mergeCell ref="A22:L22"/>
    <mergeCell ref="A21:K21"/>
    <mergeCell ref="A3:L3"/>
    <mergeCell ref="A2:L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/>
  </sheetPr>
  <dimension ref="A2:R18"/>
  <sheetViews>
    <sheetView showGridLines="0" view="pageBreakPreview" zoomScaleNormal="100" zoomScaleSheetLayoutView="100" workbookViewId="0">
      <selection activeCell="E14" sqref="E14"/>
    </sheetView>
  </sheetViews>
  <sheetFormatPr baseColWidth="10" defaultColWidth="10" defaultRowHeight="12.75" x14ac:dyDescent="0.2"/>
  <cols>
    <col min="1" max="1" width="3" style="8" bestFit="1" customWidth="1"/>
    <col min="2" max="2" width="7" style="8" bestFit="1" customWidth="1"/>
    <col min="3" max="3" width="10.625" style="8" bestFit="1" customWidth="1"/>
    <col min="4" max="4" width="17.125" style="8" bestFit="1" customWidth="1"/>
    <col min="5" max="5" width="25.5" style="8" bestFit="1" customWidth="1"/>
    <col min="6" max="6" width="8" style="8" bestFit="1" customWidth="1"/>
    <col min="7" max="7" width="4.875" style="8" bestFit="1" customWidth="1"/>
    <col min="8" max="8" width="3.375" style="8" bestFit="1" customWidth="1"/>
    <col min="9" max="9" width="3.625" style="8" bestFit="1" customWidth="1"/>
    <col min="10" max="10" width="13" style="8" bestFit="1" customWidth="1"/>
    <col min="11" max="11" width="17.875" style="8" bestFit="1" customWidth="1"/>
    <col min="12" max="12" width="7.375" style="8" customWidth="1"/>
    <col min="13" max="13" width="13.125" style="8" customWidth="1"/>
    <col min="14" max="14" width="10.125" style="8" bestFit="1" customWidth="1"/>
    <col min="15" max="15" width="11.375" style="8" customWidth="1"/>
    <col min="16" max="16384" width="10" style="8"/>
  </cols>
  <sheetData>
    <row r="2" spans="1:18" ht="15.75" x14ac:dyDescent="0.2">
      <c r="A2" s="241" t="s">
        <v>75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</row>
    <row r="3" spans="1:18" ht="19.5" customHeight="1" x14ac:dyDescent="0.2">
      <c r="A3" s="242" t="s">
        <v>49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8" ht="16.5" customHeight="1" thickBot="1" x14ac:dyDescent="0.25">
      <c r="A4" s="22"/>
      <c r="B4" s="22"/>
      <c r="C4" s="79"/>
      <c r="D4" s="22"/>
      <c r="E4" s="22"/>
      <c r="F4" s="22"/>
      <c r="G4" s="22"/>
      <c r="H4" s="22"/>
      <c r="I4" s="22"/>
      <c r="J4" s="22"/>
      <c r="K4" s="22"/>
      <c r="L4" s="22"/>
    </row>
    <row r="5" spans="1:18" ht="16.5" thickBot="1" x14ac:dyDescent="0.25">
      <c r="A5" s="243" t="s">
        <v>32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5"/>
    </row>
    <row r="6" spans="1:18" ht="66" thickBot="1" x14ac:dyDescent="0.25">
      <c r="A6" s="76" t="s">
        <v>40</v>
      </c>
      <c r="B6" s="77" t="s">
        <v>64</v>
      </c>
      <c r="C6" s="80" t="s">
        <v>65</v>
      </c>
      <c r="D6" s="77" t="s">
        <v>66</v>
      </c>
      <c r="E6" s="77" t="s">
        <v>67</v>
      </c>
      <c r="F6" s="80" t="s">
        <v>68</v>
      </c>
      <c r="G6" s="77" t="s">
        <v>41</v>
      </c>
      <c r="H6" s="78" t="s">
        <v>50</v>
      </c>
      <c r="I6" s="78" t="s">
        <v>51</v>
      </c>
      <c r="J6" s="77" t="s">
        <v>43</v>
      </c>
      <c r="K6" s="77" t="s">
        <v>44</v>
      </c>
      <c r="L6" s="77" t="s">
        <v>52</v>
      </c>
      <c r="M6" s="77" t="s">
        <v>53</v>
      </c>
      <c r="N6" s="77" t="s">
        <v>158</v>
      </c>
      <c r="O6" s="77" t="s">
        <v>211</v>
      </c>
    </row>
    <row r="7" spans="1:18" ht="16.5" thickBot="1" x14ac:dyDescent="0.3">
      <c r="A7" s="57">
        <v>1</v>
      </c>
      <c r="B7" s="58" t="s">
        <v>129</v>
      </c>
      <c r="C7" s="140" t="s">
        <v>47</v>
      </c>
      <c r="D7" s="58" t="s">
        <v>130</v>
      </c>
      <c r="E7" s="141" t="s">
        <v>131</v>
      </c>
      <c r="F7" s="142">
        <v>2017</v>
      </c>
      <c r="G7" s="143">
        <v>3956</v>
      </c>
      <c r="H7" s="144">
        <v>7</v>
      </c>
      <c r="I7" s="144" t="s">
        <v>33</v>
      </c>
      <c r="J7" s="145" t="s">
        <v>132</v>
      </c>
      <c r="K7" s="146" t="s">
        <v>133</v>
      </c>
      <c r="L7" s="144">
        <v>621</v>
      </c>
      <c r="M7" s="147">
        <v>46450</v>
      </c>
      <c r="N7" s="148">
        <v>1067300</v>
      </c>
      <c r="O7" s="148">
        <f>(+N7*10%)+N7</f>
        <v>1174030</v>
      </c>
      <c r="R7" s="138"/>
    </row>
    <row r="8" spans="1:18" ht="16.5" customHeight="1" thickBot="1" x14ac:dyDescent="0.25">
      <c r="A8" s="246" t="s">
        <v>9</v>
      </c>
      <c r="B8" s="247"/>
      <c r="C8" s="247"/>
      <c r="D8" s="247"/>
      <c r="E8" s="247"/>
      <c r="F8" s="247"/>
      <c r="G8" s="247"/>
      <c r="H8" s="247"/>
      <c r="I8" s="247"/>
      <c r="J8" s="247"/>
      <c r="K8" s="247"/>
      <c r="L8" s="247"/>
      <c r="M8" s="248"/>
      <c r="N8" s="81">
        <f>SUM(N7:N7)</f>
        <v>1067300</v>
      </c>
      <c r="O8" s="81">
        <f>SUM(O7:O7)</f>
        <v>1174030</v>
      </c>
    </row>
    <row r="10" spans="1:18" x14ac:dyDescent="0.2">
      <c r="A10" s="112" t="s">
        <v>212</v>
      </c>
    </row>
    <row r="12" spans="1:18" s="6" customFormat="1" ht="15.75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8" s="6" customFormat="1" ht="15.75" x14ac:dyDescent="0.25"/>
    <row r="14" spans="1:18" ht="15.75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8" ht="15.75" x14ac:dyDescent="0.2">
      <c r="C15" s="6"/>
    </row>
    <row r="16" spans="1:18" ht="15.75" x14ac:dyDescent="0.2">
      <c r="C16" s="6"/>
    </row>
    <row r="17" spans="3:3" ht="15.75" x14ac:dyDescent="0.2">
      <c r="C17" s="6"/>
    </row>
    <row r="18" spans="3:3" ht="15.75" x14ac:dyDescent="0.2">
      <c r="C18" s="6"/>
    </row>
  </sheetData>
  <mergeCells count="4">
    <mergeCell ref="A2:O2"/>
    <mergeCell ref="A3:O3"/>
    <mergeCell ref="A5:O5"/>
    <mergeCell ref="A8:M8"/>
  </mergeCells>
  <pageMargins left="0.70866141732283472" right="0.70866141732283472" top="0.74803149606299213" bottom="0.74803149606299213" header="0.31496062992125984" footer="0.31496062992125984"/>
  <pageSetup scale="7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DA011-4361-4B48-9EB2-2DCF35FE1619}">
  <sheetPr>
    <tabColor theme="8"/>
  </sheetPr>
  <dimension ref="A1:L45"/>
  <sheetViews>
    <sheetView view="pageBreakPreview" topLeftCell="A31" zoomScaleNormal="100" zoomScaleSheetLayoutView="100" workbookViewId="0">
      <selection activeCell="M20" sqref="M20"/>
    </sheetView>
  </sheetViews>
  <sheetFormatPr baseColWidth="10" defaultRowHeight="15.75" x14ac:dyDescent="0.25"/>
  <cols>
    <col min="11" max="11" width="8.5" customWidth="1"/>
  </cols>
  <sheetData>
    <row r="1" spans="1:12" ht="25.5" x14ac:dyDescent="0.35">
      <c r="A1" s="249" t="s">
        <v>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129"/>
    </row>
    <row r="2" spans="1:12" ht="25.5" x14ac:dyDescent="0.35">
      <c r="A2" s="135"/>
      <c r="B2" s="135"/>
      <c r="C2" s="135"/>
      <c r="D2" s="135"/>
      <c r="E2" s="129"/>
      <c r="F2" s="129"/>
      <c r="G2" s="129"/>
      <c r="H2" s="129"/>
      <c r="I2" s="129"/>
      <c r="J2" s="129"/>
      <c r="K2" s="129"/>
      <c r="L2" s="129"/>
    </row>
    <row r="3" spans="1:12" ht="25.5" x14ac:dyDescent="0.25">
      <c r="A3" s="250" t="s">
        <v>209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129"/>
    </row>
    <row r="4" spans="1:12" ht="25.5" x14ac:dyDescent="0.35">
      <c r="A4" s="251" t="s">
        <v>210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129"/>
    </row>
    <row r="5" spans="1:12" x14ac:dyDescent="0.25">
      <c r="A5" s="136"/>
      <c r="B5" s="136"/>
      <c r="C5" s="136"/>
      <c r="D5" s="136"/>
      <c r="E5" s="129"/>
      <c r="F5" s="129"/>
      <c r="G5" s="129"/>
      <c r="H5" s="129"/>
      <c r="I5" s="129"/>
      <c r="J5" s="129"/>
      <c r="K5" s="129"/>
      <c r="L5" s="129"/>
    </row>
    <row r="6" spans="1:12" x14ac:dyDescent="0.25">
      <c r="A6" s="137"/>
      <c r="B6" s="137"/>
      <c r="C6" s="137"/>
      <c r="D6" s="137"/>
      <c r="E6" s="129"/>
      <c r="F6" s="129"/>
      <c r="G6" s="129"/>
      <c r="H6" s="129"/>
      <c r="I6" s="129"/>
      <c r="J6" s="129"/>
      <c r="K6" s="129"/>
      <c r="L6" s="129"/>
    </row>
    <row r="7" spans="1:12" x14ac:dyDescent="0.25">
      <c r="A7" s="137"/>
      <c r="B7" s="137"/>
      <c r="C7" s="137"/>
      <c r="D7" s="137"/>
      <c r="E7" s="129"/>
      <c r="F7" s="129"/>
      <c r="G7" s="129"/>
      <c r="H7" s="129"/>
      <c r="I7" s="129"/>
      <c r="J7" s="129"/>
      <c r="K7" s="129"/>
      <c r="L7" s="129"/>
    </row>
    <row r="8" spans="1:12" x14ac:dyDescent="0.25">
      <c r="A8" s="137"/>
      <c r="B8" s="137"/>
      <c r="C8" s="137"/>
      <c r="D8" s="137"/>
      <c r="E8" s="129"/>
      <c r="F8" s="129"/>
      <c r="G8" s="129"/>
      <c r="H8" s="129"/>
      <c r="I8" s="129"/>
      <c r="J8" s="129"/>
      <c r="K8" s="129"/>
      <c r="L8" s="129"/>
    </row>
    <row r="9" spans="1:12" x14ac:dyDescent="0.25">
      <c r="A9" s="137"/>
      <c r="B9" s="137"/>
      <c r="C9" s="137"/>
      <c r="D9" s="137"/>
      <c r="E9" s="129"/>
      <c r="F9" s="129"/>
      <c r="G9" s="129"/>
      <c r="H9" s="129"/>
      <c r="I9" s="129"/>
      <c r="J9" s="129"/>
      <c r="K9" s="129"/>
      <c r="L9" s="129"/>
    </row>
    <row r="10" spans="1:12" x14ac:dyDescent="0.25">
      <c r="A10" s="137"/>
      <c r="B10" s="137"/>
      <c r="C10" s="137"/>
      <c r="D10" s="137"/>
      <c r="E10" s="129"/>
      <c r="F10" s="129"/>
      <c r="G10" s="129"/>
      <c r="H10" s="129"/>
      <c r="I10" s="129"/>
      <c r="J10" s="129"/>
      <c r="K10" s="129"/>
      <c r="L10" s="129"/>
    </row>
    <row r="11" spans="1:12" x14ac:dyDescent="0.25">
      <c r="A11" s="137"/>
      <c r="B11" s="137"/>
      <c r="C11" s="137"/>
      <c r="D11" s="137"/>
      <c r="E11" s="129"/>
      <c r="F11" s="129"/>
      <c r="G11" s="129"/>
      <c r="H11" s="129"/>
      <c r="I11" s="129"/>
      <c r="J11" s="129"/>
      <c r="K11" s="129"/>
      <c r="L11" s="129"/>
    </row>
    <row r="12" spans="1:12" x14ac:dyDescent="0.25">
      <c r="A12" s="137"/>
      <c r="B12" s="137"/>
      <c r="C12" s="137"/>
      <c r="D12" s="137"/>
      <c r="E12" s="129"/>
      <c r="F12" s="129"/>
      <c r="G12" s="129"/>
      <c r="H12" s="129"/>
      <c r="I12" s="129"/>
      <c r="J12" s="129"/>
      <c r="K12" s="129"/>
      <c r="L12" s="129"/>
    </row>
    <row r="13" spans="1:12" x14ac:dyDescent="0.25">
      <c r="A13" s="137"/>
      <c r="B13" s="137"/>
      <c r="C13" s="137"/>
      <c r="D13" s="137"/>
      <c r="E13" s="129"/>
      <c r="F13" s="129"/>
      <c r="G13" s="129"/>
      <c r="H13" s="129"/>
      <c r="I13" s="129"/>
      <c r="J13" s="129"/>
      <c r="K13" s="129"/>
      <c r="L13" s="129"/>
    </row>
    <row r="14" spans="1:12" x14ac:dyDescent="0.25">
      <c r="A14" s="137"/>
      <c r="B14" s="137"/>
      <c r="C14" s="137"/>
      <c r="D14" s="137"/>
      <c r="E14" s="129"/>
      <c r="F14" s="129"/>
      <c r="G14" s="129"/>
      <c r="H14" s="129"/>
      <c r="I14" s="129"/>
      <c r="J14" s="129"/>
      <c r="K14" s="129"/>
      <c r="L14" s="129"/>
    </row>
    <row r="15" spans="1:12" x14ac:dyDescent="0.25">
      <c r="A15" s="137"/>
      <c r="B15" s="137"/>
      <c r="C15" s="137"/>
      <c r="D15" s="137"/>
      <c r="E15" s="129"/>
      <c r="F15" s="129"/>
      <c r="G15" s="129"/>
      <c r="H15" s="129"/>
      <c r="I15" s="129"/>
      <c r="J15" s="129"/>
      <c r="K15" s="129"/>
      <c r="L15" s="129"/>
    </row>
    <row r="16" spans="1:12" x14ac:dyDescent="0.25">
      <c r="A16" s="137"/>
      <c r="B16" s="137"/>
      <c r="C16" s="137"/>
      <c r="D16" s="137"/>
      <c r="E16" s="129"/>
      <c r="F16" s="129"/>
      <c r="G16" s="129"/>
      <c r="H16" s="129"/>
      <c r="I16" s="129"/>
      <c r="J16" s="129"/>
      <c r="K16" s="129"/>
      <c r="L16" s="129"/>
    </row>
    <row r="17" spans="1:12" x14ac:dyDescent="0.25">
      <c r="A17" s="137"/>
      <c r="B17" s="137"/>
      <c r="C17" s="137"/>
      <c r="D17" s="137"/>
      <c r="E17" s="129"/>
      <c r="F17" s="129"/>
      <c r="G17" s="129"/>
      <c r="H17" s="129"/>
      <c r="I17" s="129"/>
      <c r="J17" s="129"/>
      <c r="K17" s="129"/>
      <c r="L17" s="129"/>
    </row>
    <row r="18" spans="1:12" x14ac:dyDescent="0.25">
      <c r="A18" s="137"/>
      <c r="B18" s="137"/>
      <c r="C18" s="137"/>
      <c r="D18" s="137"/>
      <c r="E18" s="129"/>
      <c r="F18" s="129"/>
      <c r="G18" s="129"/>
      <c r="H18" s="129"/>
      <c r="I18" s="129"/>
      <c r="J18" s="129"/>
      <c r="K18" s="129"/>
      <c r="L18" s="129"/>
    </row>
    <row r="19" spans="1:12" x14ac:dyDescent="0.25">
      <c r="A19" s="137"/>
      <c r="B19" s="137"/>
      <c r="C19" s="137"/>
      <c r="D19" s="137"/>
      <c r="E19" s="129"/>
      <c r="F19" s="129"/>
      <c r="G19" s="129"/>
      <c r="H19" s="129"/>
      <c r="I19" s="129"/>
      <c r="J19" s="129"/>
      <c r="K19" s="129"/>
      <c r="L19" s="129"/>
    </row>
    <row r="20" spans="1:12" x14ac:dyDescent="0.25">
      <c r="A20" s="137"/>
      <c r="B20" s="137"/>
      <c r="C20" s="137"/>
      <c r="D20" s="137"/>
      <c r="E20" s="129"/>
      <c r="F20" s="129"/>
      <c r="G20" s="129"/>
      <c r="H20" s="129"/>
      <c r="I20" s="129"/>
      <c r="J20" s="129"/>
      <c r="K20" s="129"/>
      <c r="L20" s="129"/>
    </row>
    <row r="21" spans="1:12" x14ac:dyDescent="0.25">
      <c r="A21" s="137"/>
      <c r="B21" s="137"/>
      <c r="C21" s="137"/>
      <c r="D21" s="137"/>
      <c r="E21" s="129"/>
      <c r="F21" s="129"/>
      <c r="G21" s="129"/>
      <c r="H21" s="129"/>
      <c r="I21" s="129"/>
      <c r="J21" s="129"/>
      <c r="K21" s="129"/>
      <c r="L21" s="129"/>
    </row>
    <row r="22" spans="1:12" x14ac:dyDescent="0.25">
      <c r="A22" s="137"/>
      <c r="B22" s="137"/>
      <c r="C22" s="137"/>
      <c r="D22" s="137"/>
      <c r="E22" s="129"/>
      <c r="F22" s="129"/>
      <c r="G22" s="129"/>
      <c r="H22" s="129"/>
      <c r="I22" s="129"/>
      <c r="J22" s="129"/>
      <c r="K22" s="129"/>
      <c r="L22" s="129"/>
    </row>
    <row r="23" spans="1:12" x14ac:dyDescent="0.25">
      <c r="A23" s="137"/>
      <c r="B23" s="137"/>
      <c r="C23" s="137"/>
      <c r="D23" s="137"/>
      <c r="E23" s="129"/>
      <c r="F23" s="129"/>
      <c r="G23" s="129"/>
      <c r="H23" s="129"/>
      <c r="I23" s="129"/>
      <c r="J23" s="129"/>
      <c r="K23" s="129"/>
      <c r="L23" s="129"/>
    </row>
    <row r="24" spans="1:12" x14ac:dyDescent="0.25">
      <c r="A24" s="137"/>
      <c r="B24" s="137"/>
      <c r="C24" s="137"/>
      <c r="D24" s="137"/>
      <c r="E24" s="129"/>
      <c r="F24" s="129"/>
      <c r="G24" s="129"/>
      <c r="H24" s="129"/>
      <c r="I24" s="129"/>
      <c r="J24" s="129"/>
      <c r="K24" s="129"/>
      <c r="L24" s="129"/>
    </row>
    <row r="25" spans="1:12" x14ac:dyDescent="0.25">
      <c r="A25" s="137"/>
      <c r="B25" s="137"/>
      <c r="C25" s="137"/>
      <c r="D25" s="137"/>
      <c r="E25" s="129"/>
      <c r="F25" s="129"/>
      <c r="G25" s="129"/>
      <c r="H25" s="129"/>
      <c r="I25" s="129"/>
      <c r="J25" s="129"/>
      <c r="K25" s="129"/>
      <c r="L25" s="129"/>
    </row>
    <row r="26" spans="1:12" x14ac:dyDescent="0.25">
      <c r="A26" s="137"/>
      <c r="B26" s="137"/>
      <c r="C26" s="137"/>
      <c r="D26" s="137"/>
      <c r="E26" s="129"/>
      <c r="F26" s="129"/>
      <c r="G26" s="129"/>
      <c r="H26" s="129"/>
      <c r="I26" s="129"/>
      <c r="J26" s="129"/>
      <c r="K26" s="129"/>
      <c r="L26" s="129"/>
    </row>
    <row r="27" spans="1:12" x14ac:dyDescent="0.25">
      <c r="A27" s="137"/>
      <c r="B27" s="137"/>
      <c r="C27" s="137"/>
      <c r="D27" s="137"/>
      <c r="E27" s="129"/>
      <c r="F27" s="129"/>
      <c r="G27" s="129"/>
      <c r="H27" s="129"/>
      <c r="I27" s="129"/>
      <c r="J27" s="129"/>
      <c r="K27" s="129"/>
      <c r="L27" s="129"/>
    </row>
    <row r="28" spans="1:12" x14ac:dyDescent="0.25">
      <c r="A28" s="137"/>
      <c r="B28" s="137"/>
      <c r="C28" s="137"/>
      <c r="D28" s="137"/>
      <c r="E28" s="129"/>
      <c r="F28" s="129"/>
      <c r="G28" s="129"/>
      <c r="H28" s="129"/>
      <c r="I28" s="129"/>
      <c r="J28" s="129"/>
      <c r="K28" s="129"/>
      <c r="L28" s="129"/>
    </row>
    <row r="29" spans="1:12" x14ac:dyDescent="0.25">
      <c r="A29" s="137"/>
      <c r="B29" s="137"/>
      <c r="C29" s="137"/>
      <c r="D29" s="137"/>
      <c r="E29" s="129"/>
      <c r="F29" s="129"/>
      <c r="G29" s="129"/>
      <c r="H29" s="129"/>
      <c r="I29" s="129"/>
      <c r="J29" s="129"/>
      <c r="K29" s="129"/>
      <c r="L29" s="129"/>
    </row>
    <row r="30" spans="1:12" x14ac:dyDescent="0.25">
      <c r="A30" s="137"/>
      <c r="B30" s="137"/>
      <c r="C30" s="137"/>
      <c r="D30" s="137"/>
      <c r="E30" s="129"/>
      <c r="F30" s="129"/>
      <c r="G30" s="129"/>
      <c r="H30" s="129"/>
      <c r="I30" s="129"/>
      <c r="J30" s="129"/>
      <c r="K30" s="129"/>
      <c r="L30" s="129"/>
    </row>
    <row r="31" spans="1:12" x14ac:dyDescent="0.25">
      <c r="A31" s="137"/>
      <c r="B31" s="137"/>
      <c r="C31" s="137"/>
      <c r="D31" s="137"/>
      <c r="E31" s="129"/>
      <c r="F31" s="129"/>
      <c r="G31" s="129"/>
      <c r="H31" s="129"/>
      <c r="I31" s="129"/>
      <c r="J31" s="129"/>
      <c r="K31" s="129"/>
      <c r="L31" s="129"/>
    </row>
    <row r="32" spans="1:12" x14ac:dyDescent="0.25">
      <c r="A32" s="137"/>
      <c r="B32" s="137"/>
      <c r="C32" s="137"/>
      <c r="D32" s="137"/>
      <c r="E32" s="129"/>
      <c r="F32" s="129"/>
      <c r="G32" s="129"/>
      <c r="H32" s="129"/>
      <c r="I32" s="129"/>
      <c r="J32" s="129"/>
      <c r="K32" s="129"/>
      <c r="L32" s="129"/>
    </row>
    <row r="33" spans="1:12" x14ac:dyDescent="0.25">
      <c r="A33" s="137"/>
      <c r="B33" s="137"/>
      <c r="C33" s="137"/>
      <c r="D33" s="137"/>
      <c r="E33" s="129"/>
      <c r="F33" s="129"/>
      <c r="G33" s="129"/>
      <c r="H33" s="129"/>
      <c r="I33" s="129"/>
      <c r="J33" s="129"/>
      <c r="K33" s="129"/>
      <c r="L33" s="129"/>
    </row>
    <row r="34" spans="1:12" x14ac:dyDescent="0.25">
      <c r="A34" s="137"/>
      <c r="B34" s="137"/>
      <c r="C34" s="137"/>
      <c r="D34" s="137"/>
      <c r="E34" s="129"/>
      <c r="F34" s="129"/>
      <c r="G34" s="129"/>
      <c r="H34" s="129"/>
      <c r="I34" s="129"/>
      <c r="J34" s="129"/>
      <c r="K34" s="129"/>
      <c r="L34" s="129"/>
    </row>
    <row r="35" spans="1:12" x14ac:dyDescent="0.25">
      <c r="A35" s="137"/>
      <c r="B35" s="137"/>
      <c r="C35" s="137"/>
      <c r="D35" s="137"/>
      <c r="E35" s="129"/>
      <c r="F35" s="129"/>
      <c r="G35" s="129"/>
      <c r="H35" s="129"/>
      <c r="I35" s="129"/>
      <c r="J35" s="129"/>
      <c r="K35" s="129"/>
      <c r="L35" s="129"/>
    </row>
    <row r="36" spans="1:12" x14ac:dyDescent="0.25">
      <c r="A36" s="137"/>
      <c r="B36" s="137"/>
      <c r="C36" s="137"/>
      <c r="D36" s="137"/>
      <c r="E36" s="129"/>
      <c r="F36" s="129"/>
      <c r="G36" s="129"/>
      <c r="H36" s="129"/>
      <c r="I36" s="129"/>
      <c r="J36" s="129"/>
      <c r="K36" s="129"/>
      <c r="L36" s="129"/>
    </row>
    <row r="37" spans="1:12" x14ac:dyDescent="0.25">
      <c r="A37" s="137"/>
      <c r="B37" s="137"/>
      <c r="C37" s="137"/>
      <c r="D37" s="137"/>
      <c r="E37" s="129"/>
      <c r="F37" s="129"/>
      <c r="G37" s="129"/>
      <c r="H37" s="129"/>
      <c r="I37" s="129"/>
      <c r="J37" s="129"/>
      <c r="K37" s="129"/>
      <c r="L37" s="129"/>
    </row>
    <row r="38" spans="1:12" x14ac:dyDescent="0.25">
      <c r="A38" s="137"/>
      <c r="B38" s="137"/>
      <c r="C38" s="137"/>
      <c r="D38" s="137"/>
      <c r="E38" s="129"/>
      <c r="F38" s="129"/>
      <c r="G38" s="129"/>
      <c r="H38" s="129"/>
      <c r="I38" s="129"/>
      <c r="J38" s="129"/>
      <c r="K38" s="129"/>
      <c r="L38" s="129"/>
    </row>
    <row r="39" spans="1:12" x14ac:dyDescent="0.25">
      <c r="A39" s="137"/>
      <c r="B39" s="137"/>
      <c r="C39" s="137"/>
      <c r="D39" s="137"/>
      <c r="E39" s="129"/>
      <c r="F39" s="129"/>
      <c r="G39" s="129"/>
      <c r="H39" s="129"/>
      <c r="I39" s="129"/>
      <c r="J39" s="129"/>
      <c r="K39" s="129"/>
      <c r="L39" s="129"/>
    </row>
    <row r="40" spans="1:12" x14ac:dyDescent="0.25">
      <c r="A40" s="137"/>
      <c r="B40" s="137"/>
      <c r="C40" s="137"/>
      <c r="D40" s="137"/>
      <c r="E40" s="129"/>
      <c r="F40" s="129"/>
      <c r="G40" s="129"/>
      <c r="H40" s="129"/>
      <c r="I40" s="129"/>
      <c r="J40" s="129"/>
      <c r="K40" s="129"/>
      <c r="L40" s="129"/>
    </row>
    <row r="41" spans="1:12" x14ac:dyDescent="0.25">
      <c r="A41" s="137"/>
      <c r="B41" s="137"/>
      <c r="C41" s="137"/>
      <c r="D41" s="137"/>
      <c r="E41" s="129"/>
      <c r="F41" s="129"/>
      <c r="G41" s="129"/>
      <c r="H41" s="129"/>
      <c r="I41" s="129"/>
      <c r="J41" s="129"/>
      <c r="K41" s="129"/>
      <c r="L41" s="129"/>
    </row>
    <row r="42" spans="1:12" x14ac:dyDescent="0.25">
      <c r="A42" s="137"/>
      <c r="B42" s="137"/>
      <c r="C42" s="137"/>
      <c r="D42" s="137"/>
      <c r="E42" s="129"/>
      <c r="F42" s="129"/>
      <c r="G42" s="129"/>
      <c r="H42" s="129"/>
      <c r="I42" s="129"/>
      <c r="J42" s="129"/>
      <c r="K42" s="129"/>
      <c r="L42" s="129"/>
    </row>
    <row r="43" spans="1:12" x14ac:dyDescent="0.25">
      <c r="A43" s="137"/>
      <c r="B43" s="137"/>
      <c r="C43" s="137"/>
      <c r="D43" s="137"/>
      <c r="E43" s="129"/>
      <c r="F43" s="129"/>
      <c r="G43" s="129"/>
      <c r="H43" s="129"/>
      <c r="I43" s="129"/>
      <c r="J43" s="129"/>
      <c r="K43" s="129"/>
      <c r="L43" s="129"/>
    </row>
    <row r="44" spans="1:12" x14ac:dyDescent="0.25">
      <c r="A44" s="137"/>
      <c r="B44" s="137"/>
      <c r="C44" s="137"/>
      <c r="D44" s="137"/>
      <c r="E44" s="129"/>
      <c r="F44" s="129"/>
      <c r="G44" s="129"/>
      <c r="H44" s="129"/>
      <c r="I44" s="129"/>
      <c r="J44" s="129"/>
      <c r="K44" s="129"/>
      <c r="L44" s="129"/>
    </row>
    <row r="45" spans="1:12" x14ac:dyDescent="0.25">
      <c r="A45" s="137"/>
      <c r="B45" s="137"/>
      <c r="C45" s="137"/>
      <c r="D45" s="137"/>
      <c r="E45" s="129"/>
      <c r="F45" s="129"/>
      <c r="G45" s="129"/>
      <c r="H45" s="129"/>
      <c r="I45" s="129"/>
      <c r="J45" s="129"/>
      <c r="K45" s="129"/>
    </row>
  </sheetData>
  <mergeCells count="3">
    <mergeCell ref="A1:K1"/>
    <mergeCell ref="A3:K3"/>
    <mergeCell ref="A4:K4"/>
  </mergeCells>
  <pageMargins left="0.7" right="0.7" top="0.75" bottom="0.75" header="0.3" footer="0.3"/>
  <pageSetup scale="65" orientation="portrait" r:id="rId1"/>
  <colBreaks count="1" manualBreakCount="1">
    <brk id="11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BAE6A-66E7-48D0-ADF3-2B152C7AB85C}">
  <sheetPr>
    <tabColor rgb="FFFF0000"/>
  </sheetPr>
  <dimension ref="A1:P39"/>
  <sheetViews>
    <sheetView view="pageBreakPreview" zoomScaleNormal="100" zoomScaleSheetLayoutView="100" workbookViewId="0">
      <selection activeCell="S32" sqref="S32"/>
    </sheetView>
  </sheetViews>
  <sheetFormatPr baseColWidth="10" defaultRowHeight="15.75" x14ac:dyDescent="0.25"/>
  <sheetData>
    <row r="1" spans="1:16" x14ac:dyDescent="0.25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</row>
    <row r="2" spans="1:16" ht="18" x14ac:dyDescent="0.25">
      <c r="A2" s="129"/>
      <c r="B2" s="175" t="s">
        <v>226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29"/>
      <c r="P2" s="129"/>
    </row>
    <row r="3" spans="1:16" x14ac:dyDescent="0.25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 x14ac:dyDescent="0.25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</row>
    <row r="5" spans="1:16" x14ac:dyDescent="0.25">
      <c r="A5" s="129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1:16" x14ac:dyDescent="0.25">
      <c r="A6" s="129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</row>
    <row r="7" spans="1:16" x14ac:dyDescent="0.25">
      <c r="A7" s="129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</row>
    <row r="8" spans="1:16" x14ac:dyDescent="0.25">
      <c r="A8" s="12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</row>
    <row r="9" spans="1:16" x14ac:dyDescent="0.25">
      <c r="A9" s="129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</row>
    <row r="10" spans="1:16" x14ac:dyDescent="0.25">
      <c r="A10" s="129"/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</row>
    <row r="11" spans="1:16" x14ac:dyDescent="0.25">
      <c r="A11" s="129"/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</row>
    <row r="12" spans="1:16" x14ac:dyDescent="0.25">
      <c r="A12" s="129"/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</row>
    <row r="13" spans="1:16" x14ac:dyDescent="0.25">
      <c r="A13" s="129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</row>
    <row r="14" spans="1:16" x14ac:dyDescent="0.25">
      <c r="A14" s="129"/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16" x14ac:dyDescent="0.25">
      <c r="A15" s="129"/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</row>
    <row r="16" spans="1:16" x14ac:dyDescent="0.25">
      <c r="A16" s="129"/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</row>
    <row r="17" spans="1:16" x14ac:dyDescent="0.25">
      <c r="A17" s="129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</row>
    <row r="18" spans="1:16" x14ac:dyDescent="0.25">
      <c r="A18" s="129"/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</row>
    <row r="19" spans="1:16" x14ac:dyDescent="0.25">
      <c r="A19" s="129"/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</row>
    <row r="20" spans="1:16" x14ac:dyDescent="0.25">
      <c r="A20" s="129"/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</row>
    <row r="21" spans="1:16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</row>
    <row r="22" spans="1:16" x14ac:dyDescent="0.25">
      <c r="A22" s="129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</row>
    <row r="23" spans="1:16" x14ac:dyDescent="0.25">
      <c r="A23" s="129"/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</row>
    <row r="24" spans="1:16" x14ac:dyDescent="0.25">
      <c r="A24" s="129"/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</row>
    <row r="25" spans="1:16" x14ac:dyDescent="0.25">
      <c r="A25" s="129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</row>
    <row r="26" spans="1:16" x14ac:dyDescent="0.25">
      <c r="A26" s="129"/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</row>
    <row r="27" spans="1:16" x14ac:dyDescent="0.25">
      <c r="A27" s="129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</row>
    <row r="28" spans="1:16" x14ac:dyDescent="0.25">
      <c r="A28" s="129"/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</row>
    <row r="29" spans="1:16" x14ac:dyDescent="0.25">
      <c r="A29" s="129"/>
      <c r="B29" s="129"/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6" x14ac:dyDescent="0.25">
      <c r="A30" s="129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</row>
    <row r="31" spans="1:16" x14ac:dyDescent="0.25">
      <c r="A31" s="129"/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6" x14ac:dyDescent="0.25">
      <c r="A32" s="129"/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</row>
    <row r="33" spans="1:16" x14ac:dyDescent="0.25">
      <c r="A33" s="129"/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</row>
    <row r="34" spans="1:16" x14ac:dyDescent="0.25">
      <c r="A34" s="129"/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</row>
    <row r="35" spans="1:16" x14ac:dyDescent="0.25">
      <c r="P35" s="129"/>
    </row>
    <row r="36" spans="1:16" x14ac:dyDescent="0.25">
      <c r="A36" s="129"/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</row>
    <row r="37" spans="1:16" x14ac:dyDescent="0.25">
      <c r="A37" s="12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</row>
    <row r="38" spans="1:16" x14ac:dyDescent="0.25">
      <c r="A38" s="129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</row>
    <row r="39" spans="1:16" x14ac:dyDescent="0.25">
      <c r="A39" s="129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</row>
  </sheetData>
  <pageMargins left="0.7" right="0.7" top="0.75" bottom="0.75" header="0.3" footer="0.3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1. ESTUDIO DE MERCADO</vt:lpstr>
      <vt:lpstr>2. TASAS PROMEDIO</vt:lpstr>
      <vt:lpstr>3. ANEXO TRDM-2026</vt:lpstr>
      <vt:lpstr>4. AUTOS</vt:lpstr>
      <vt:lpstr>5. SOAT</vt:lpstr>
      <vt:lpstr>TARIFA 2026</vt:lpstr>
      <vt:lpstr>NOTAS SINIESTRALIDAD</vt:lpstr>
      <vt:lpstr>'2. TASAS PROMEDIO'!Área_de_impresión</vt:lpstr>
      <vt:lpstr>'3. ANEXO TRDM-2026'!Área_de_impresión</vt:lpstr>
      <vt:lpstr>'NOTAS SINIESTRALIDAD'!Área_de_impresión</vt:lpstr>
      <vt:lpstr>'TARIFA 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ESTUDIO DE MERCADOS</dc:title>
  <dc:creator>. .</dc:creator>
  <cp:keywords>IDARTES 2021</cp:keywords>
  <cp:lastModifiedBy>Angela Patricia Chavarro Diaz</cp:lastModifiedBy>
  <cp:lastPrinted>2026-07-08T19:57:00Z</cp:lastPrinted>
  <dcterms:created xsi:type="dcterms:W3CDTF">2019-03-31T15:38:58Z</dcterms:created>
  <dcterms:modified xsi:type="dcterms:W3CDTF">2026-10-20T20:09:19Z</dcterms:modified>
</cp:coreProperties>
</file>