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D:\Usuarios\ludy.silva\Documents\6. MENOR CUANTIA VIGNC 2026-2028\FGN-RNO-MEC-0043-2026 MTO AIRES CUCUTA\PUBLICAR\"/>
    </mc:Choice>
  </mc:AlternateContent>
  <xr:revisionPtr revIDLastSave="0" documentId="8_{C89887D6-EC49-4283-8308-97F9E9D52A57}" xr6:coauthVersionLast="47" xr6:coauthVersionMax="47" xr10:uidLastSave="{00000000-0000-0000-0000-000000000000}"/>
  <bookViews>
    <workbookView xWindow="-120" yWindow="-120" windowWidth="29040" windowHeight="15720" activeTab="3" xr2:uid="{00000000-000D-0000-FFFF-FFFF00000000}"/>
  </bookViews>
  <sheets>
    <sheet name="ANEXO 1 - COTIZACIONES" sheetId="2" r:id="rId1"/>
    <sheet name="ANEXO 2 - HISTORICO" sheetId="1" r:id="rId2"/>
    <sheet name="ANEXO 3 - PROY COSTOS" sheetId="3" r:id="rId3"/>
    <sheet name="ANEXO 4 - ESTUDIO DEL SECTOR"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10" i="4" l="1"/>
  <c r="Y109" i="4"/>
  <c r="W110" i="4"/>
  <c r="R110" i="4"/>
  <c r="M110" i="4"/>
  <c r="H35" i="2" l="1"/>
  <c r="N9" i="2" l="1"/>
  <c r="O64" i="1"/>
  <c r="AA87" i="3" l="1"/>
  <c r="AA88" i="3"/>
  <c r="AA89" i="3"/>
  <c r="AA90" i="3"/>
  <c r="AA86" i="3"/>
  <c r="J103" i="4"/>
  <c r="O103" i="4" s="1"/>
  <c r="J104" i="4"/>
  <c r="O104" i="4" s="1"/>
  <c r="J105" i="4"/>
  <c r="O105" i="4" s="1"/>
  <c r="AC105" i="3"/>
  <c r="AA105" i="3"/>
  <c r="AC103" i="3"/>
  <c r="AC104" i="3"/>
  <c r="AA103" i="3"/>
  <c r="AA104" i="3"/>
  <c r="Z103" i="3"/>
  <c r="Z104" i="3"/>
  <c r="Z105" i="3"/>
  <c r="Y103" i="3"/>
  <c r="Y104" i="3"/>
  <c r="Y105" i="3"/>
  <c r="X103" i="3"/>
  <c r="X104" i="3"/>
  <c r="X105" i="3"/>
  <c r="V103" i="3"/>
  <c r="V104" i="3"/>
  <c r="V105" i="3"/>
  <c r="U103" i="3"/>
  <c r="U104" i="3"/>
  <c r="U105" i="3"/>
  <c r="T103" i="3"/>
  <c r="T104" i="3"/>
  <c r="T105" i="3"/>
  <c r="S103" i="3"/>
  <c r="S104" i="3"/>
  <c r="S105" i="3"/>
  <c r="Q103" i="3"/>
  <c r="Q104" i="3"/>
  <c r="Q105" i="3"/>
  <c r="P103" i="3"/>
  <c r="P104" i="3"/>
  <c r="P105" i="3"/>
  <c r="O103" i="3"/>
  <c r="O104" i="3"/>
  <c r="O105" i="3"/>
  <c r="N105" i="3"/>
  <c r="N104" i="3"/>
  <c r="N103" i="3"/>
  <c r="N102" i="3"/>
  <c r="N101" i="3"/>
  <c r="N100" i="3"/>
  <c r="N99" i="3"/>
  <c r="N98" i="3"/>
  <c r="N97" i="3"/>
  <c r="N89" i="3"/>
  <c r="N88" i="3"/>
  <c r="N87" i="3"/>
  <c r="N90" i="3"/>
  <c r="L103" i="3"/>
  <c r="L104" i="3"/>
  <c r="L105" i="3"/>
  <c r="J103" i="3"/>
  <c r="J104" i="3"/>
  <c r="J105" i="3"/>
  <c r="R103" i="1"/>
  <c r="R104" i="1"/>
  <c r="Q103" i="1"/>
  <c r="Q104" i="1"/>
  <c r="P103" i="1"/>
  <c r="P104" i="1"/>
  <c r="O103" i="1"/>
  <c r="O104" i="1"/>
  <c r="L103" i="1"/>
  <c r="L104" i="1"/>
  <c r="AC103" i="2"/>
  <c r="AC104" i="2"/>
  <c r="AC105" i="2"/>
  <c r="AA103" i="2"/>
  <c r="AA104" i="2"/>
  <c r="AA105" i="2"/>
  <c r="Z103" i="2"/>
  <c r="Z104" i="2"/>
  <c r="Z105" i="2"/>
  <c r="Y103" i="2"/>
  <c r="Y104" i="2"/>
  <c r="Y105" i="2"/>
  <c r="X103" i="2"/>
  <c r="X104" i="2"/>
  <c r="X105" i="2"/>
  <c r="V103" i="2"/>
  <c r="V104" i="2"/>
  <c r="V105" i="2"/>
  <c r="U103" i="2"/>
  <c r="U104" i="2"/>
  <c r="U105" i="2"/>
  <c r="T103" i="2"/>
  <c r="T104" i="2"/>
  <c r="T105" i="2"/>
  <c r="S103" i="2"/>
  <c r="S104" i="2"/>
  <c r="S105" i="2"/>
  <c r="Q103" i="2"/>
  <c r="Q104" i="2"/>
  <c r="Q105" i="2"/>
  <c r="P103" i="2"/>
  <c r="P104" i="2"/>
  <c r="P105" i="2"/>
  <c r="O103" i="2"/>
  <c r="O104" i="2"/>
  <c r="O105" i="2"/>
  <c r="N103" i="2"/>
  <c r="N104" i="2"/>
  <c r="N105" i="2"/>
  <c r="K104" i="4" l="1"/>
  <c r="L104" i="4" s="1"/>
  <c r="M104" i="4" s="1"/>
  <c r="K103" i="4"/>
  <c r="L103" i="4" s="1"/>
  <c r="M103" i="4" s="1"/>
  <c r="K105" i="4"/>
  <c r="L105" i="4" s="1"/>
  <c r="M105" i="4" s="1"/>
  <c r="T105" i="4"/>
  <c r="U105" i="4" s="1"/>
  <c r="V105" i="4" s="1"/>
  <c r="P105" i="4"/>
  <c r="Q105" i="4" s="1"/>
  <c r="R105" i="4" s="1"/>
  <c r="T103" i="4"/>
  <c r="U103" i="4" s="1"/>
  <c r="V103" i="4" s="1"/>
  <c r="W103" i="4" s="1"/>
  <c r="P103" i="4"/>
  <c r="Q103" i="4" s="1"/>
  <c r="R103" i="4" s="1"/>
  <c r="T104" i="4"/>
  <c r="U104" i="4" s="1"/>
  <c r="V104" i="4" s="1"/>
  <c r="W104" i="4" s="1"/>
  <c r="P104" i="4"/>
  <c r="Q104" i="4" s="1"/>
  <c r="R104" i="4" s="1"/>
  <c r="L102" i="3"/>
  <c r="J102" i="3"/>
  <c r="O102" i="2"/>
  <c r="P102" i="2" s="1"/>
  <c r="Q102" i="2" s="1"/>
  <c r="N102" i="2"/>
  <c r="S102" i="2" s="1"/>
  <c r="O102" i="1"/>
  <c r="P102" i="1" s="1"/>
  <c r="Q102" i="1" s="1"/>
  <c r="R102" i="1" s="1"/>
  <c r="L102" i="1"/>
  <c r="N101" i="2"/>
  <c r="O101" i="2" s="1"/>
  <c r="N100" i="2"/>
  <c r="O100" i="2" s="1"/>
  <c r="N99" i="2"/>
  <c r="O99" i="2" s="1"/>
  <c r="N98" i="2"/>
  <c r="O98" i="2" s="1"/>
  <c r="N97" i="2"/>
  <c r="O97" i="2" s="1"/>
  <c r="N96" i="2"/>
  <c r="O96" i="2" s="1"/>
  <c r="N95" i="2"/>
  <c r="O95" i="2" s="1"/>
  <c r="N94" i="2"/>
  <c r="O94" i="2" s="1"/>
  <c r="N93" i="2"/>
  <c r="O93" i="2" s="1"/>
  <c r="N92" i="2"/>
  <c r="O92" i="2" s="1"/>
  <c r="N91" i="2"/>
  <c r="O91" i="2" s="1"/>
  <c r="N90" i="2"/>
  <c r="O90" i="2" s="1"/>
  <c r="N89" i="2"/>
  <c r="O89" i="2" s="1"/>
  <c r="N88" i="2"/>
  <c r="O88" i="2" s="1"/>
  <c r="N87" i="2"/>
  <c r="O87" i="2" s="1"/>
  <c r="N86" i="2"/>
  <c r="O86" i="2" s="1"/>
  <c r="N85" i="2"/>
  <c r="O85" i="2" s="1"/>
  <c r="N84" i="2"/>
  <c r="O84" i="2" s="1"/>
  <c r="N83" i="2"/>
  <c r="O83" i="2" s="1"/>
  <c r="N82" i="2"/>
  <c r="O82" i="2" s="1"/>
  <c r="N81" i="2"/>
  <c r="O81" i="2" s="1"/>
  <c r="N80" i="2"/>
  <c r="O80" i="2" s="1"/>
  <c r="N79" i="2"/>
  <c r="O79" i="2" s="1"/>
  <c r="N78" i="2"/>
  <c r="O78" i="2" s="1"/>
  <c r="N77" i="2"/>
  <c r="O77" i="2" s="1"/>
  <c r="N76" i="2"/>
  <c r="O76" i="2" s="1"/>
  <c r="N75" i="2"/>
  <c r="O75" i="2" s="1"/>
  <c r="N74" i="2"/>
  <c r="O74" i="2" s="1"/>
  <c r="N73" i="2"/>
  <c r="O73" i="2" s="1"/>
  <c r="N72" i="2"/>
  <c r="O72" i="2" s="1"/>
  <c r="N71" i="2"/>
  <c r="O71" i="2" s="1"/>
  <c r="N70" i="2"/>
  <c r="O70" i="2" s="1"/>
  <c r="N69" i="2"/>
  <c r="O69" i="2" s="1"/>
  <c r="N68" i="2"/>
  <c r="O68" i="2" s="1"/>
  <c r="N67" i="2"/>
  <c r="O67" i="2" s="1"/>
  <c r="N66" i="2"/>
  <c r="O66" i="2" s="1"/>
  <c r="N65" i="2"/>
  <c r="O65" i="2" s="1"/>
  <c r="N64" i="2"/>
  <c r="O64" i="2" s="1"/>
  <c r="L9" i="1"/>
  <c r="N60" i="2"/>
  <c r="N58" i="2"/>
  <c r="S58" i="2" s="1"/>
  <c r="X58" i="2" s="1"/>
  <c r="Y58" i="2" s="1"/>
  <c r="N57" i="2"/>
  <c r="S57" i="2" s="1"/>
  <c r="X57" i="2" s="1"/>
  <c r="Y57" i="2" s="1"/>
  <c r="N56" i="2"/>
  <c r="N54" i="2"/>
  <c r="N52" i="2"/>
  <c r="S52" i="2" s="1"/>
  <c r="X52" i="2" s="1"/>
  <c r="Y52" i="2" s="1"/>
  <c r="N51" i="2"/>
  <c r="S51" i="2" s="1"/>
  <c r="N48" i="2"/>
  <c r="N47" i="2"/>
  <c r="N45" i="2"/>
  <c r="S45" i="2" s="1"/>
  <c r="X45" i="2" s="1"/>
  <c r="Y45" i="2" s="1"/>
  <c r="N44" i="2"/>
  <c r="S44" i="2" s="1"/>
  <c r="N43" i="2"/>
  <c r="S43" i="2" s="1"/>
  <c r="X43" i="2" s="1"/>
  <c r="Y43" i="2" s="1"/>
  <c r="N42" i="2"/>
  <c r="N41" i="2"/>
  <c r="S41" i="2" s="1"/>
  <c r="X41" i="2" s="1"/>
  <c r="Y41" i="2" s="1"/>
  <c r="N40" i="2"/>
  <c r="O40" i="2" s="1"/>
  <c r="N39" i="2"/>
  <c r="N37" i="2"/>
  <c r="N36" i="2"/>
  <c r="O36" i="2" s="1"/>
  <c r="N35" i="2"/>
  <c r="O35" i="2" s="1"/>
  <c r="N34" i="2"/>
  <c r="N32" i="2"/>
  <c r="N31" i="2"/>
  <c r="S31" i="2" s="1"/>
  <c r="X31" i="2" s="1"/>
  <c r="Y31" i="2" s="1"/>
  <c r="N30" i="2"/>
  <c r="S30" i="2" s="1"/>
  <c r="T30" i="2" s="1"/>
  <c r="N29" i="2"/>
  <c r="S29" i="2" s="1"/>
  <c r="X29" i="2" s="1"/>
  <c r="Y29" i="2" s="1"/>
  <c r="N28" i="2"/>
  <c r="N27" i="2"/>
  <c r="O27" i="2" s="1"/>
  <c r="N25" i="2"/>
  <c r="S25" i="2" s="1"/>
  <c r="X25" i="2" s="1"/>
  <c r="Y25" i="2" s="1"/>
  <c r="N24" i="2"/>
  <c r="S24" i="2" s="1"/>
  <c r="X24" i="2" s="1"/>
  <c r="Y24" i="2" s="1"/>
  <c r="N23" i="2"/>
  <c r="N22" i="2"/>
  <c r="S22" i="2" s="1"/>
  <c r="X22" i="2" s="1"/>
  <c r="Y22" i="2" s="1"/>
  <c r="N21" i="2"/>
  <c r="S21" i="2" s="1"/>
  <c r="T21" i="2" s="1"/>
  <c r="N20" i="2"/>
  <c r="O20" i="2" s="1"/>
  <c r="N19" i="2"/>
  <c r="N18" i="2"/>
  <c r="S18" i="2" s="1"/>
  <c r="X18" i="2" s="1"/>
  <c r="Y18" i="2" s="1"/>
  <c r="N16" i="2"/>
  <c r="S16" i="2" s="1"/>
  <c r="N15" i="2"/>
  <c r="N14" i="2"/>
  <c r="N12" i="2"/>
  <c r="S12" i="2" s="1"/>
  <c r="X12" i="2" s="1"/>
  <c r="Y12" i="2" s="1"/>
  <c r="N11" i="2"/>
  <c r="S11" i="2" s="1"/>
  <c r="N10" i="2"/>
  <c r="S9" i="2"/>
  <c r="T9" i="2" s="1"/>
  <c r="S60" i="2"/>
  <c r="T60" i="2" s="1"/>
  <c r="S54" i="2"/>
  <c r="T54" i="2" s="1"/>
  <c r="S47" i="2"/>
  <c r="T47" i="2" s="1"/>
  <c r="S42" i="2"/>
  <c r="T42" i="2" s="1"/>
  <c r="S37" i="2"/>
  <c r="T37" i="2" s="1"/>
  <c r="S35" i="2"/>
  <c r="S32" i="2"/>
  <c r="T32" i="2" s="1"/>
  <c r="S28" i="2"/>
  <c r="T28" i="2" s="1"/>
  <c r="S27" i="2"/>
  <c r="X27" i="2" s="1"/>
  <c r="Y27" i="2" s="1"/>
  <c r="S23" i="2"/>
  <c r="T23" i="2" s="1"/>
  <c r="S19" i="2"/>
  <c r="T19" i="2" s="1"/>
  <c r="S14" i="2"/>
  <c r="T14" i="2" s="1"/>
  <c r="O60" i="2"/>
  <c r="O54" i="2"/>
  <c r="O51" i="2"/>
  <c r="O47" i="2"/>
  <c r="O42" i="2"/>
  <c r="O37" i="2"/>
  <c r="O32" i="2"/>
  <c r="O28" i="2"/>
  <c r="O23" i="2"/>
  <c r="O19" i="2"/>
  <c r="O14" i="2"/>
  <c r="O11" i="2"/>
  <c r="O9" i="2"/>
  <c r="G60" i="4"/>
  <c r="G58" i="4"/>
  <c r="G57" i="4"/>
  <c r="G56" i="4"/>
  <c r="G54" i="4"/>
  <c r="G52" i="4"/>
  <c r="G51" i="4"/>
  <c r="G45" i="4"/>
  <c r="G44" i="4"/>
  <c r="G43" i="4"/>
  <c r="G42" i="4"/>
  <c r="G41" i="4"/>
  <c r="G40" i="4"/>
  <c r="G39" i="4"/>
  <c r="G37" i="4"/>
  <c r="E37" i="4"/>
  <c r="E36" i="4"/>
  <c r="G35" i="4"/>
  <c r="E35" i="4"/>
  <c r="G34" i="4"/>
  <c r="E34" i="4"/>
  <c r="G32" i="4"/>
  <c r="E32" i="4"/>
  <c r="G31" i="4"/>
  <c r="E30" i="4"/>
  <c r="G29" i="4"/>
  <c r="E29" i="4"/>
  <c r="G28" i="4"/>
  <c r="E28" i="4"/>
  <c r="G27" i="4"/>
  <c r="G25" i="4"/>
  <c r="G24" i="4"/>
  <c r="G23" i="4"/>
  <c r="E23" i="4"/>
  <c r="G22" i="4"/>
  <c r="E22" i="4"/>
  <c r="G21" i="4"/>
  <c r="E21" i="4"/>
  <c r="G20" i="4"/>
  <c r="E20" i="4"/>
  <c r="G19" i="4"/>
  <c r="E19" i="4"/>
  <c r="G18" i="4"/>
  <c r="E18" i="4"/>
  <c r="E16" i="4"/>
  <c r="E15" i="4"/>
  <c r="E14" i="4"/>
  <c r="G12" i="4"/>
  <c r="E12" i="4"/>
  <c r="G11" i="4"/>
  <c r="H11" i="4" s="1"/>
  <c r="E11" i="4"/>
  <c r="G10" i="4"/>
  <c r="E10" i="4"/>
  <c r="G9" i="4"/>
  <c r="G60" i="3"/>
  <c r="G58" i="3"/>
  <c r="G57" i="3"/>
  <c r="G56" i="3"/>
  <c r="G54" i="3"/>
  <c r="G52" i="3"/>
  <c r="G51" i="3"/>
  <c r="G45" i="3"/>
  <c r="G44" i="3"/>
  <c r="G43" i="3"/>
  <c r="G42" i="3"/>
  <c r="G41" i="3"/>
  <c r="G40" i="3"/>
  <c r="G39" i="3"/>
  <c r="G37" i="3"/>
  <c r="E37" i="3"/>
  <c r="E36" i="3"/>
  <c r="G35" i="3"/>
  <c r="E35" i="3"/>
  <c r="G34" i="3"/>
  <c r="E34" i="3"/>
  <c r="G32" i="3"/>
  <c r="E32" i="3"/>
  <c r="G31" i="3"/>
  <c r="E30" i="3"/>
  <c r="G29" i="3"/>
  <c r="E29" i="3"/>
  <c r="G28" i="3"/>
  <c r="E28" i="3"/>
  <c r="G27" i="3"/>
  <c r="G25" i="3"/>
  <c r="G24" i="3"/>
  <c r="G23" i="3"/>
  <c r="E23" i="3"/>
  <c r="G22" i="3"/>
  <c r="E22" i="3"/>
  <c r="G21" i="3"/>
  <c r="E21" i="3"/>
  <c r="G20" i="3"/>
  <c r="E20" i="3"/>
  <c r="G19" i="3"/>
  <c r="E19" i="3"/>
  <c r="G18" i="3"/>
  <c r="E18" i="3"/>
  <c r="E16" i="3"/>
  <c r="E15" i="3"/>
  <c r="E14" i="3"/>
  <c r="G12" i="3"/>
  <c r="E12" i="3"/>
  <c r="G11" i="3"/>
  <c r="E11" i="3"/>
  <c r="G10" i="3"/>
  <c r="E10" i="3"/>
  <c r="G9" i="3"/>
  <c r="E19" i="2"/>
  <c r="E19" i="1"/>
  <c r="G60" i="1"/>
  <c r="G58" i="1"/>
  <c r="G57" i="1"/>
  <c r="G56" i="1"/>
  <c r="G54" i="1"/>
  <c r="G52" i="1"/>
  <c r="G51" i="1"/>
  <c r="G45" i="1"/>
  <c r="G44" i="1"/>
  <c r="G43" i="1"/>
  <c r="G42" i="1"/>
  <c r="G41" i="1"/>
  <c r="G40" i="1"/>
  <c r="G39" i="1"/>
  <c r="G37" i="1"/>
  <c r="E37" i="1"/>
  <c r="E36" i="1"/>
  <c r="G35" i="1"/>
  <c r="E35" i="1"/>
  <c r="G34" i="1"/>
  <c r="E34" i="1"/>
  <c r="G32" i="1"/>
  <c r="E32" i="1"/>
  <c r="G31" i="1"/>
  <c r="E30" i="1"/>
  <c r="G29" i="1"/>
  <c r="E29" i="1"/>
  <c r="G28" i="1"/>
  <c r="E28" i="1"/>
  <c r="G27" i="1"/>
  <c r="G25" i="1"/>
  <c r="G24" i="1"/>
  <c r="G23" i="1"/>
  <c r="E23" i="1"/>
  <c r="G22" i="1"/>
  <c r="E22" i="1"/>
  <c r="G21" i="1"/>
  <c r="E21" i="1"/>
  <c r="G20" i="1"/>
  <c r="E20" i="1"/>
  <c r="G19" i="1"/>
  <c r="G18" i="1"/>
  <c r="E18" i="1"/>
  <c r="E16" i="1"/>
  <c r="E15" i="1"/>
  <c r="E14" i="1"/>
  <c r="G12" i="1"/>
  <c r="E12" i="1"/>
  <c r="G11" i="1"/>
  <c r="E11" i="1"/>
  <c r="G10" i="1"/>
  <c r="E10" i="1"/>
  <c r="G9" i="1"/>
  <c r="G32" i="2"/>
  <c r="E32" i="2"/>
  <c r="E37" i="2"/>
  <c r="G37" i="2"/>
  <c r="G60" i="2"/>
  <c r="G58" i="2"/>
  <c r="G57" i="2"/>
  <c r="G56" i="2"/>
  <c r="G54" i="2"/>
  <c r="G52" i="2"/>
  <c r="G51" i="2"/>
  <c r="G45" i="2"/>
  <c r="G44" i="2"/>
  <c r="G43" i="2"/>
  <c r="G42" i="2"/>
  <c r="G41" i="2"/>
  <c r="G40" i="2"/>
  <c r="G39" i="2"/>
  <c r="G35" i="2"/>
  <c r="G34" i="2"/>
  <c r="G31" i="2"/>
  <c r="G29" i="2"/>
  <c r="G28" i="2"/>
  <c r="G27" i="2"/>
  <c r="G25" i="2"/>
  <c r="G24" i="2"/>
  <c r="G23" i="2"/>
  <c r="G22" i="2"/>
  <c r="G21" i="2"/>
  <c r="G20" i="2"/>
  <c r="G19" i="2"/>
  <c r="G18" i="2"/>
  <c r="G12" i="2"/>
  <c r="G11" i="2"/>
  <c r="G10" i="2"/>
  <c r="G9" i="2"/>
  <c r="E36" i="2"/>
  <c r="E35" i="2"/>
  <c r="E34" i="2"/>
  <c r="E30" i="2"/>
  <c r="E29" i="2"/>
  <c r="E28" i="2"/>
  <c r="E23" i="2"/>
  <c r="E22" i="2"/>
  <c r="E21" i="2"/>
  <c r="E20" i="2"/>
  <c r="E18" i="2"/>
  <c r="E16" i="2"/>
  <c r="E15" i="2"/>
  <c r="E14" i="2"/>
  <c r="E12" i="2"/>
  <c r="E11" i="2"/>
  <c r="E10" i="2"/>
  <c r="Y103" i="4" l="1"/>
  <c r="Y104" i="4"/>
  <c r="X102" i="2"/>
  <c r="Y102" i="2" s="1"/>
  <c r="Z102" i="2" s="1"/>
  <c r="AA102" i="2" s="1"/>
  <c r="AC102" i="2" s="1"/>
  <c r="T102" i="2"/>
  <c r="U102" i="2" s="1"/>
  <c r="V102" i="2" s="1"/>
  <c r="S87" i="2"/>
  <c r="T87" i="2" s="1"/>
  <c r="S95" i="2"/>
  <c r="T95" i="2" s="1"/>
  <c r="O52" i="2"/>
  <c r="X9" i="2"/>
  <c r="Y9" i="2" s="1"/>
  <c r="X32" i="2"/>
  <c r="Y32" i="2" s="1"/>
  <c r="S40" i="2"/>
  <c r="X40" i="2" s="1"/>
  <c r="Y40" i="2" s="1"/>
  <c r="S71" i="2"/>
  <c r="T71" i="2" s="1"/>
  <c r="O16" i="2"/>
  <c r="O31" i="2"/>
  <c r="O44" i="2"/>
  <c r="S20" i="2"/>
  <c r="X20" i="2" s="1"/>
  <c r="Y20" i="2" s="1"/>
  <c r="S79" i="2"/>
  <c r="T79" i="2" s="1"/>
  <c r="O12" i="2"/>
  <c r="S36" i="2"/>
  <c r="X36" i="2" s="1"/>
  <c r="Y36" i="2" s="1"/>
  <c r="X14" i="2"/>
  <c r="Y14" i="2" s="1"/>
  <c r="X37" i="2"/>
  <c r="Y37" i="2" s="1"/>
  <c r="S66" i="2"/>
  <c r="T66" i="2" s="1"/>
  <c r="S74" i="2"/>
  <c r="T74" i="2" s="1"/>
  <c r="S82" i="2"/>
  <c r="T82" i="2" s="1"/>
  <c r="S90" i="2"/>
  <c r="T90" i="2" s="1"/>
  <c r="S98" i="2"/>
  <c r="T98" i="2" s="1"/>
  <c r="X87" i="2"/>
  <c r="Y87" i="2" s="1"/>
  <c r="X60" i="2"/>
  <c r="Y60" i="2" s="1"/>
  <c r="T24" i="2"/>
  <c r="X19" i="2"/>
  <c r="Y19" i="2" s="1"/>
  <c r="X42" i="2"/>
  <c r="Y42" i="2" s="1"/>
  <c r="S67" i="2"/>
  <c r="S75" i="2"/>
  <c r="S83" i="2"/>
  <c r="S91" i="2"/>
  <c r="S99" i="2"/>
  <c r="T43" i="2"/>
  <c r="X23" i="2"/>
  <c r="Y23" i="2" s="1"/>
  <c r="X54" i="2"/>
  <c r="Y54" i="2" s="1"/>
  <c r="S70" i="2"/>
  <c r="T70" i="2" s="1"/>
  <c r="S78" i="2"/>
  <c r="T78" i="2" s="1"/>
  <c r="S86" i="2"/>
  <c r="T86" i="2" s="1"/>
  <c r="S94" i="2"/>
  <c r="T94" i="2" s="1"/>
  <c r="O48" i="2"/>
  <c r="S48" i="2"/>
  <c r="T40" i="2"/>
  <c r="T11" i="2"/>
  <c r="X11" i="2"/>
  <c r="Y11" i="2" s="1"/>
  <c r="X16" i="2"/>
  <c r="Y16" i="2" s="1"/>
  <c r="T16" i="2"/>
  <c r="X44" i="2"/>
  <c r="Y44" i="2" s="1"/>
  <c r="T44" i="2"/>
  <c r="T51" i="2"/>
  <c r="X51" i="2"/>
  <c r="Y51" i="2" s="1"/>
  <c r="O10" i="2"/>
  <c r="S10" i="2"/>
  <c r="O15" i="2"/>
  <c r="S15" i="2"/>
  <c r="S34" i="2"/>
  <c r="O34" i="2"/>
  <c r="S39" i="2"/>
  <c r="O39" i="2"/>
  <c r="O56" i="2"/>
  <c r="S56" i="2"/>
  <c r="T29" i="2"/>
  <c r="O24" i="2"/>
  <c r="O43" i="2"/>
  <c r="X35" i="2"/>
  <c r="Y35" i="2" s="1"/>
  <c r="T35" i="2"/>
  <c r="X28" i="2"/>
  <c r="Y28" i="2" s="1"/>
  <c r="X47" i="2"/>
  <c r="Y47" i="2" s="1"/>
  <c r="T25" i="2"/>
  <c r="T57" i="2"/>
  <c r="T12" i="2"/>
  <c r="T18" i="2"/>
  <c r="T22" i="2"/>
  <c r="T27" i="2"/>
  <c r="T31" i="2"/>
  <c r="T36" i="2"/>
  <c r="T41" i="2"/>
  <c r="T45" i="2"/>
  <c r="T52" i="2"/>
  <c r="T58" i="2"/>
  <c r="X21" i="2"/>
  <c r="Y21" i="2" s="1"/>
  <c r="X30" i="2"/>
  <c r="Y30" i="2" s="1"/>
  <c r="S64" i="2"/>
  <c r="S68" i="2"/>
  <c r="S72" i="2"/>
  <c r="S76" i="2"/>
  <c r="S80" i="2"/>
  <c r="S84" i="2"/>
  <c r="S88" i="2"/>
  <c r="S92" i="2"/>
  <c r="S96" i="2"/>
  <c r="S100" i="2"/>
  <c r="S65" i="2"/>
  <c r="S69" i="2"/>
  <c r="S73" i="2"/>
  <c r="S77" i="2"/>
  <c r="S81" i="2"/>
  <c r="S85" i="2"/>
  <c r="S89" i="2"/>
  <c r="S93" i="2"/>
  <c r="S97" i="2"/>
  <c r="S101" i="2"/>
  <c r="X74" i="2"/>
  <c r="Y74" i="2" s="1"/>
  <c r="X78" i="2"/>
  <c r="Y78" i="2" s="1"/>
  <c r="X98" i="2"/>
  <c r="Y98" i="2" s="1"/>
  <c r="O29" i="2"/>
  <c r="O21" i="2"/>
  <c r="O25" i="2"/>
  <c r="O30" i="2"/>
  <c r="O57" i="2"/>
  <c r="O18" i="2"/>
  <c r="O22" i="2"/>
  <c r="O41" i="2"/>
  <c r="O45" i="2"/>
  <c r="O58" i="2"/>
  <c r="X70" i="2" l="1"/>
  <c r="Y70" i="2" s="1"/>
  <c r="X82" i="2"/>
  <c r="Y82" i="2" s="1"/>
  <c r="T20" i="2"/>
  <c r="X95" i="2"/>
  <c r="Y95" i="2" s="1"/>
  <c r="X66" i="2"/>
  <c r="Y66" i="2" s="1"/>
  <c r="X79" i="2"/>
  <c r="Y79" i="2" s="1"/>
  <c r="X71" i="2"/>
  <c r="Y71" i="2" s="1"/>
  <c r="T91" i="2"/>
  <c r="X91" i="2"/>
  <c r="Y91" i="2" s="1"/>
  <c r="X94" i="2"/>
  <c r="Y94" i="2" s="1"/>
  <c r="T83" i="2"/>
  <c r="X83" i="2"/>
  <c r="Y83" i="2" s="1"/>
  <c r="X90" i="2"/>
  <c r="Y90" i="2" s="1"/>
  <c r="T75" i="2"/>
  <c r="X75" i="2"/>
  <c r="Y75" i="2" s="1"/>
  <c r="X86" i="2"/>
  <c r="Y86" i="2" s="1"/>
  <c r="T99" i="2"/>
  <c r="X99" i="2"/>
  <c r="Y99" i="2" s="1"/>
  <c r="T67" i="2"/>
  <c r="X67" i="2"/>
  <c r="Y67" i="2" s="1"/>
  <c r="T101" i="2"/>
  <c r="X101" i="2"/>
  <c r="Y101" i="2" s="1"/>
  <c r="T85" i="2"/>
  <c r="X85" i="2"/>
  <c r="Y85" i="2" s="1"/>
  <c r="T69" i="2"/>
  <c r="X69" i="2"/>
  <c r="Y69" i="2" s="1"/>
  <c r="T92" i="2"/>
  <c r="X92" i="2"/>
  <c r="Y92" i="2" s="1"/>
  <c r="T76" i="2"/>
  <c r="X76" i="2"/>
  <c r="Y76" i="2" s="1"/>
  <c r="X15" i="2"/>
  <c r="Y15" i="2" s="1"/>
  <c r="T15" i="2"/>
  <c r="T97" i="2"/>
  <c r="X97" i="2"/>
  <c r="Y97" i="2" s="1"/>
  <c r="T81" i="2"/>
  <c r="X81" i="2"/>
  <c r="Y81" i="2" s="1"/>
  <c r="T65" i="2"/>
  <c r="X65" i="2"/>
  <c r="Y65" i="2" s="1"/>
  <c r="T88" i="2"/>
  <c r="X88" i="2"/>
  <c r="Y88" i="2" s="1"/>
  <c r="T72" i="2"/>
  <c r="X72" i="2"/>
  <c r="Y72" i="2" s="1"/>
  <c r="X39" i="2"/>
  <c r="Y39" i="2" s="1"/>
  <c r="T39" i="2"/>
  <c r="T93" i="2"/>
  <c r="X93" i="2"/>
  <c r="Y93" i="2" s="1"/>
  <c r="T77" i="2"/>
  <c r="X77" i="2"/>
  <c r="Y77" i="2" s="1"/>
  <c r="T100" i="2"/>
  <c r="X100" i="2"/>
  <c r="Y100" i="2" s="1"/>
  <c r="T84" i="2"/>
  <c r="X84" i="2"/>
  <c r="Y84" i="2" s="1"/>
  <c r="T68" i="2"/>
  <c r="X68" i="2"/>
  <c r="Y68" i="2" s="1"/>
  <c r="X56" i="2"/>
  <c r="Y56" i="2" s="1"/>
  <c r="T56" i="2"/>
  <c r="X10" i="2"/>
  <c r="Y10" i="2" s="1"/>
  <c r="T10" i="2"/>
  <c r="X48" i="2"/>
  <c r="Y48" i="2" s="1"/>
  <c r="T48" i="2"/>
  <c r="T89" i="2"/>
  <c r="X89" i="2"/>
  <c r="Y89" i="2" s="1"/>
  <c r="T73" i="2"/>
  <c r="X73" i="2"/>
  <c r="Y73" i="2" s="1"/>
  <c r="T96" i="2"/>
  <c r="X96" i="2"/>
  <c r="Y96" i="2" s="1"/>
  <c r="T80" i="2"/>
  <c r="X80" i="2"/>
  <c r="Y80" i="2" s="1"/>
  <c r="T64" i="2"/>
  <c r="X64" i="2"/>
  <c r="Y64" i="2" s="1"/>
  <c r="X34" i="2"/>
  <c r="Y34" i="2" s="1"/>
  <c r="T34" i="2"/>
  <c r="J101" i="3" l="1"/>
  <c r="J100" i="3"/>
  <c r="J99" i="3"/>
  <c r="J98" i="3"/>
  <c r="J97" i="3"/>
  <c r="J96" i="3"/>
  <c r="J90" i="3"/>
  <c r="J89" i="3"/>
  <c r="J88" i="3"/>
  <c r="J87" i="3"/>
  <c r="L90" i="1"/>
  <c r="O90" i="1" s="1"/>
  <c r="L89" i="1"/>
  <c r="O89" i="1" s="1"/>
  <c r="L88" i="1"/>
  <c r="O88" i="1" s="1"/>
  <c r="L87" i="1"/>
  <c r="O87" i="1" s="1"/>
  <c r="L101" i="1"/>
  <c r="O101" i="1" s="1"/>
  <c r="L100" i="1"/>
  <c r="O100" i="1" s="1"/>
  <c r="L99" i="1"/>
  <c r="O99" i="1" s="1"/>
  <c r="L98" i="1"/>
  <c r="O98" i="1" s="1"/>
  <c r="L97" i="1"/>
  <c r="O97" i="1" s="1"/>
  <c r="L96" i="1"/>
  <c r="O96" i="1" s="1"/>
  <c r="Z101" i="2"/>
  <c r="AA101" i="2" s="1"/>
  <c r="Z97" i="2"/>
  <c r="AA97" i="2" s="1"/>
  <c r="Z87" i="2"/>
  <c r="AA87" i="2" s="1"/>
  <c r="U101" i="2"/>
  <c r="V101" i="2" s="1"/>
  <c r="U100" i="2"/>
  <c r="V100" i="2" s="1"/>
  <c r="U99" i="2"/>
  <c r="V99" i="2" s="1"/>
  <c r="U98" i="2"/>
  <c r="V98" i="2" s="1"/>
  <c r="U97" i="2"/>
  <c r="V97" i="2" s="1"/>
  <c r="U90" i="2"/>
  <c r="V90" i="2" s="1"/>
  <c r="U89" i="2"/>
  <c r="V89" i="2" s="1"/>
  <c r="U88" i="2"/>
  <c r="V88" i="2" s="1"/>
  <c r="U87" i="2"/>
  <c r="V87" i="2" s="1"/>
  <c r="P101" i="2"/>
  <c r="Q101" i="2" s="1"/>
  <c r="P100" i="2"/>
  <c r="Q100" i="2" s="1"/>
  <c r="P99" i="2"/>
  <c r="Q99" i="2" s="1"/>
  <c r="P98" i="2"/>
  <c r="Q98" i="2" s="1"/>
  <c r="P97" i="2"/>
  <c r="Q97" i="2" s="1"/>
  <c r="P90" i="2"/>
  <c r="Q90" i="2" s="1"/>
  <c r="P89" i="2"/>
  <c r="Q89" i="2" s="1"/>
  <c r="P88" i="2"/>
  <c r="Q88" i="2" s="1"/>
  <c r="P87" i="2"/>
  <c r="Q87" i="2" s="1"/>
  <c r="AC87" i="2" l="1"/>
  <c r="J102" i="4"/>
  <c r="S102" i="3"/>
  <c r="O102" i="3"/>
  <c r="P102" i="3" s="1"/>
  <c r="Q102" i="3" s="1"/>
  <c r="AC97" i="2"/>
  <c r="AC101" i="2"/>
  <c r="P88" i="1"/>
  <c r="Q88" i="1" s="1"/>
  <c r="R88" i="1" s="1"/>
  <c r="L88" i="3"/>
  <c r="J88" i="4" s="1"/>
  <c r="Q100" i="1"/>
  <c r="R100" i="1" s="1"/>
  <c r="P100" i="1"/>
  <c r="L100" i="3"/>
  <c r="P96" i="1"/>
  <c r="Q96" i="1" s="1"/>
  <c r="R96" i="1" s="1"/>
  <c r="L96" i="3"/>
  <c r="N96" i="3" s="1"/>
  <c r="P87" i="1"/>
  <c r="Q87" i="1" s="1"/>
  <c r="R87" i="1" s="1"/>
  <c r="L87" i="3"/>
  <c r="P98" i="1"/>
  <c r="Q98" i="1" s="1"/>
  <c r="R98" i="1" s="1"/>
  <c r="L98" i="3"/>
  <c r="P89" i="1"/>
  <c r="Q89" i="1" s="1"/>
  <c r="R89" i="1" s="1"/>
  <c r="L89" i="3"/>
  <c r="P99" i="1"/>
  <c r="Q99" i="1" s="1"/>
  <c r="R99" i="1" s="1"/>
  <c r="L99" i="3"/>
  <c r="P90" i="1"/>
  <c r="Q90" i="1" s="1"/>
  <c r="R90" i="1" s="1"/>
  <c r="L90" i="3"/>
  <c r="P97" i="1"/>
  <c r="Q97" i="1" s="1"/>
  <c r="R97" i="1" s="1"/>
  <c r="P101" i="1"/>
  <c r="Q101" i="1" s="1"/>
  <c r="R101" i="1" s="1"/>
  <c r="L101" i="3"/>
  <c r="O100" i="3"/>
  <c r="P100" i="3" s="1"/>
  <c r="Q100" i="3" s="1"/>
  <c r="L97" i="3"/>
  <c r="J97" i="4" s="1"/>
  <c r="J101" i="4"/>
  <c r="Z89" i="2"/>
  <c r="AA89" i="2" s="1"/>
  <c r="AC89" i="2" s="1"/>
  <c r="Z99" i="2"/>
  <c r="AA99" i="2" s="1"/>
  <c r="AC99" i="2" s="1"/>
  <c r="Z88" i="2"/>
  <c r="AA88" i="2" s="1"/>
  <c r="AC88" i="2" s="1"/>
  <c r="Z98" i="2"/>
  <c r="AA98" i="2" s="1"/>
  <c r="AC98" i="2" s="1"/>
  <c r="Z90" i="2"/>
  <c r="AA90" i="2" s="1"/>
  <c r="AC90" i="2" s="1"/>
  <c r="Z100" i="2"/>
  <c r="AA100" i="2" s="1"/>
  <c r="AC100" i="2" s="1"/>
  <c r="S98" i="3" l="1"/>
  <c r="O98" i="3"/>
  <c r="P98" i="3" s="1"/>
  <c r="Q98" i="3" s="1"/>
  <c r="S96" i="3"/>
  <c r="T96" i="3" s="1"/>
  <c r="U96" i="3" s="1"/>
  <c r="V96" i="3" s="1"/>
  <c r="O96" i="3"/>
  <c r="P96" i="3" s="1"/>
  <c r="Q96" i="3" s="1"/>
  <c r="O89" i="3"/>
  <c r="P89" i="3" s="1"/>
  <c r="Q89" i="3" s="1"/>
  <c r="S89" i="3"/>
  <c r="T89" i="3" s="1"/>
  <c r="U89" i="3" s="1"/>
  <c r="V89" i="3" s="1"/>
  <c r="X102" i="3"/>
  <c r="Y102" i="3" s="1"/>
  <c r="Z102" i="3" s="1"/>
  <c r="AA102" i="3" s="1"/>
  <c r="T102" i="3"/>
  <c r="U102" i="3" s="1"/>
  <c r="V102" i="3" s="1"/>
  <c r="J98" i="4"/>
  <c r="O98" i="4" s="1"/>
  <c r="J99" i="4"/>
  <c r="O99" i="4" s="1"/>
  <c r="S99" i="3"/>
  <c r="X99" i="3" s="1"/>
  <c r="Y99" i="3" s="1"/>
  <c r="Z99" i="3" s="1"/>
  <c r="AA99" i="3" s="1"/>
  <c r="O99" i="3"/>
  <c r="P99" i="3" s="1"/>
  <c r="Q99" i="3" s="1"/>
  <c r="O87" i="3"/>
  <c r="P87" i="3" s="1"/>
  <c r="Q87" i="3" s="1"/>
  <c r="S87" i="3"/>
  <c r="X87" i="3" s="1"/>
  <c r="Y87" i="3" s="1"/>
  <c r="Z87" i="3" s="1"/>
  <c r="J87" i="4"/>
  <c r="K87" i="4" s="1"/>
  <c r="L87" i="4" s="1"/>
  <c r="M87" i="4" s="1"/>
  <c r="O90" i="3"/>
  <c r="P90" i="3" s="1"/>
  <c r="Q90" i="3" s="1"/>
  <c r="J90" i="4"/>
  <c r="O90" i="4" s="1"/>
  <c r="S90" i="3"/>
  <c r="T90" i="3" s="1"/>
  <c r="U90" i="3" s="1"/>
  <c r="V90" i="3" s="1"/>
  <c r="J89" i="4"/>
  <c r="O89" i="4" s="1"/>
  <c r="S100" i="3"/>
  <c r="T100" i="3" s="1"/>
  <c r="U100" i="3" s="1"/>
  <c r="V100" i="3" s="1"/>
  <c r="J100" i="4"/>
  <c r="K100" i="4" s="1"/>
  <c r="L100" i="4" s="1"/>
  <c r="M100" i="4" s="1"/>
  <c r="O101" i="3"/>
  <c r="P101" i="3" s="1"/>
  <c r="Q101" i="3" s="1"/>
  <c r="S101" i="3"/>
  <c r="O97" i="3"/>
  <c r="P97" i="3" s="1"/>
  <c r="Q97" i="3" s="1"/>
  <c r="S97" i="3"/>
  <c r="T98" i="3"/>
  <c r="U98" i="3" s="1"/>
  <c r="V98" i="3" s="1"/>
  <c r="X98" i="3"/>
  <c r="Y98" i="3" s="1"/>
  <c r="Z98" i="3" s="1"/>
  <c r="AA98" i="3" s="1"/>
  <c r="O88" i="3"/>
  <c r="P88" i="3" s="1"/>
  <c r="Q88" i="3" s="1"/>
  <c r="S88" i="3"/>
  <c r="K88" i="4"/>
  <c r="L88" i="4" s="1"/>
  <c r="M88" i="4" s="1"/>
  <c r="O88" i="4"/>
  <c r="O97" i="4"/>
  <c r="K97" i="4"/>
  <c r="L97" i="4" s="1"/>
  <c r="M97" i="4" s="1"/>
  <c r="K98" i="4"/>
  <c r="L98" i="4" s="1"/>
  <c r="M98" i="4" s="1"/>
  <c r="O101" i="4"/>
  <c r="K101" i="4"/>
  <c r="L101" i="4" s="1"/>
  <c r="M101" i="4" s="1"/>
  <c r="J96" i="4"/>
  <c r="T87" i="3" l="1"/>
  <c r="U87" i="3" s="1"/>
  <c r="V87" i="3" s="1"/>
  <c r="AC87" i="3" s="1"/>
  <c r="X96" i="3"/>
  <c r="Y96" i="3" s="1"/>
  <c r="Z96" i="3" s="1"/>
  <c r="AA96" i="3" s="1"/>
  <c r="T99" i="3"/>
  <c r="U99" i="3" s="1"/>
  <c r="V99" i="3" s="1"/>
  <c r="K99" i="4"/>
  <c r="L99" i="4" s="1"/>
  <c r="M99" i="4" s="1"/>
  <c r="X89" i="3"/>
  <c r="Y89" i="3" s="1"/>
  <c r="Z89" i="3" s="1"/>
  <c r="AC89" i="3" s="1"/>
  <c r="K90" i="4"/>
  <c r="L90" i="4" s="1"/>
  <c r="M90" i="4" s="1"/>
  <c r="AC102" i="3"/>
  <c r="K89" i="4"/>
  <c r="L89" i="4" s="1"/>
  <c r="M89" i="4" s="1"/>
  <c r="O87" i="4"/>
  <c r="P87" i="4" s="1"/>
  <c r="Q87" i="4" s="1"/>
  <c r="R87" i="4" s="1"/>
  <c r="O102" i="4"/>
  <c r="K102" i="4"/>
  <c r="L102" i="4" s="1"/>
  <c r="M102" i="4" s="1"/>
  <c r="O100" i="4"/>
  <c r="P100" i="4" s="1"/>
  <c r="Q100" i="4" s="1"/>
  <c r="R100" i="4" s="1"/>
  <c r="X90" i="3"/>
  <c r="Y90" i="3" s="1"/>
  <c r="Z90" i="3" s="1"/>
  <c r="AC90" i="3" s="1"/>
  <c r="X100" i="3"/>
  <c r="Y100" i="3" s="1"/>
  <c r="Z100" i="3" s="1"/>
  <c r="AA100" i="3" s="1"/>
  <c r="AC100" i="3" s="1"/>
  <c r="T97" i="3"/>
  <c r="U97" i="3" s="1"/>
  <c r="V97" i="3" s="1"/>
  <c r="X97" i="3"/>
  <c r="Y97" i="3" s="1"/>
  <c r="Z97" i="3" s="1"/>
  <c r="AA97" i="3" s="1"/>
  <c r="AC96" i="3"/>
  <c r="T88" i="3"/>
  <c r="U88" i="3" s="1"/>
  <c r="V88" i="3" s="1"/>
  <c r="X88" i="3"/>
  <c r="Y88" i="3" s="1"/>
  <c r="Z88" i="3" s="1"/>
  <c r="T101" i="3"/>
  <c r="U101" i="3" s="1"/>
  <c r="V101" i="3" s="1"/>
  <c r="X101" i="3"/>
  <c r="Y101" i="3" s="1"/>
  <c r="Z101" i="3" s="1"/>
  <c r="AA101" i="3" s="1"/>
  <c r="P97" i="4"/>
  <c r="Q97" i="4" s="1"/>
  <c r="R97" i="4" s="1"/>
  <c r="T97" i="4"/>
  <c r="U97" i="4" s="1"/>
  <c r="V97" i="4" s="1"/>
  <c r="W97" i="4" s="1"/>
  <c r="P98" i="4"/>
  <c r="Q98" i="4" s="1"/>
  <c r="R98" i="4" s="1"/>
  <c r="T98" i="4"/>
  <c r="U98" i="4" s="1"/>
  <c r="V98" i="4" s="1"/>
  <c r="W98" i="4" s="1"/>
  <c r="P99" i="4"/>
  <c r="Q99" i="4" s="1"/>
  <c r="R99" i="4" s="1"/>
  <c r="T99" i="4"/>
  <c r="U99" i="4" s="1"/>
  <c r="V99" i="4" s="1"/>
  <c r="W99" i="4" s="1"/>
  <c r="P88" i="4"/>
  <c r="Q88" i="4" s="1"/>
  <c r="R88" i="4" s="1"/>
  <c r="T88" i="4"/>
  <c r="U88" i="4" s="1"/>
  <c r="V88" i="4" s="1"/>
  <c r="W88" i="4" s="1"/>
  <c r="K96" i="4"/>
  <c r="L96" i="4" s="1"/>
  <c r="M96" i="4" s="1"/>
  <c r="O96" i="4"/>
  <c r="P101" i="4"/>
  <c r="Q101" i="4" s="1"/>
  <c r="R101" i="4" s="1"/>
  <c r="T101" i="4"/>
  <c r="U101" i="4" s="1"/>
  <c r="V101" i="4" s="1"/>
  <c r="W101" i="4" s="1"/>
  <c r="P89" i="4"/>
  <c r="Q89" i="4" s="1"/>
  <c r="R89" i="4" s="1"/>
  <c r="T89" i="4"/>
  <c r="U89" i="4" s="1"/>
  <c r="V89" i="4" s="1"/>
  <c r="W89" i="4" s="1"/>
  <c r="P90" i="4"/>
  <c r="Q90" i="4" s="1"/>
  <c r="R90" i="4" s="1"/>
  <c r="T90" i="4"/>
  <c r="U90" i="4" s="1"/>
  <c r="V90" i="4" s="1"/>
  <c r="W90" i="4" s="1"/>
  <c r="AC99" i="3"/>
  <c r="AC98" i="3"/>
  <c r="T100" i="4" l="1"/>
  <c r="U100" i="4" s="1"/>
  <c r="V100" i="4" s="1"/>
  <c r="W100" i="4" s="1"/>
  <c r="Y100" i="4" s="1"/>
  <c r="T87" i="4"/>
  <c r="U87" i="4" s="1"/>
  <c r="V87" i="4" s="1"/>
  <c r="W87" i="4" s="1"/>
  <c r="Y87" i="4" s="1"/>
  <c r="AC97" i="3"/>
  <c r="T102" i="4"/>
  <c r="U102" i="4" s="1"/>
  <c r="V102" i="4" s="1"/>
  <c r="W102" i="4" s="1"/>
  <c r="P102" i="4"/>
  <c r="Q102" i="4" s="1"/>
  <c r="R102" i="4" s="1"/>
  <c r="Y88" i="4"/>
  <c r="AC88" i="3"/>
  <c r="AC101" i="3"/>
  <c r="Y101" i="4"/>
  <c r="Y89" i="4"/>
  <c r="Y97" i="4"/>
  <c r="P96" i="4"/>
  <c r="Q96" i="4" s="1"/>
  <c r="R96" i="4" s="1"/>
  <c r="T96" i="4"/>
  <c r="U96" i="4" s="1"/>
  <c r="V96" i="4" s="1"/>
  <c r="W96" i="4" s="1"/>
  <c r="Y99" i="4"/>
  <c r="Y98" i="4"/>
  <c r="Y90" i="4"/>
  <c r="Y102" i="4" l="1"/>
  <c r="Y96" i="4"/>
  <c r="Z96" i="2"/>
  <c r="AA96" i="2" s="1"/>
  <c r="U96" i="2"/>
  <c r="V96" i="2" s="1"/>
  <c r="P96" i="2"/>
  <c r="Q96" i="2" s="1"/>
  <c r="AC96" i="2" l="1"/>
  <c r="H60" i="3" l="1"/>
  <c r="H58" i="3"/>
  <c r="H57" i="3"/>
  <c r="H56" i="3"/>
  <c r="H54" i="3"/>
  <c r="H52" i="3"/>
  <c r="H51" i="3"/>
  <c r="H48" i="3"/>
  <c r="H47" i="3"/>
  <c r="H45" i="3"/>
  <c r="H44" i="3"/>
  <c r="H43" i="3"/>
  <c r="H42" i="3"/>
  <c r="H41" i="3"/>
  <c r="H40" i="3"/>
  <c r="H39" i="3"/>
  <c r="H37" i="3"/>
  <c r="H36" i="3"/>
  <c r="H35" i="3"/>
  <c r="H34" i="3"/>
  <c r="H32" i="3"/>
  <c r="H31" i="3"/>
  <c r="H30" i="3"/>
  <c r="H29" i="3"/>
  <c r="H28" i="3"/>
  <c r="H27" i="3"/>
  <c r="H25" i="3"/>
  <c r="H24" i="3"/>
  <c r="H23" i="3"/>
  <c r="H22" i="3"/>
  <c r="H21" i="3"/>
  <c r="H20" i="3"/>
  <c r="H19" i="3"/>
  <c r="H18" i="3"/>
  <c r="H16" i="3"/>
  <c r="H15" i="3"/>
  <c r="H14" i="3"/>
  <c r="H12" i="3"/>
  <c r="H11" i="3"/>
  <c r="H10" i="3"/>
  <c r="H9" i="3"/>
  <c r="H60" i="1"/>
  <c r="H58" i="1"/>
  <c r="H57" i="1"/>
  <c r="H56" i="1"/>
  <c r="H54" i="1"/>
  <c r="H52" i="1"/>
  <c r="H51" i="1"/>
  <c r="H48" i="1"/>
  <c r="H47" i="1"/>
  <c r="H45" i="1"/>
  <c r="H44" i="1"/>
  <c r="H43" i="1"/>
  <c r="H42" i="1"/>
  <c r="H41" i="1"/>
  <c r="H40" i="1"/>
  <c r="H39" i="1"/>
  <c r="H37" i="1"/>
  <c r="H36" i="1"/>
  <c r="H35" i="1"/>
  <c r="H34" i="1"/>
  <c r="H32" i="1"/>
  <c r="H31" i="1"/>
  <c r="H30" i="1"/>
  <c r="H29" i="1"/>
  <c r="H28" i="1"/>
  <c r="H27" i="1"/>
  <c r="H25" i="1"/>
  <c r="H24" i="1"/>
  <c r="H23" i="1"/>
  <c r="H22" i="1"/>
  <c r="H21" i="1"/>
  <c r="H20" i="1"/>
  <c r="H19" i="1"/>
  <c r="H18" i="1"/>
  <c r="H16" i="1"/>
  <c r="H15" i="1"/>
  <c r="H14" i="1"/>
  <c r="H12" i="1"/>
  <c r="H11" i="1"/>
  <c r="H10" i="1"/>
  <c r="H9" i="1"/>
  <c r="H60" i="2"/>
  <c r="H58" i="2"/>
  <c r="H57" i="2"/>
  <c r="H56" i="2"/>
  <c r="H54" i="2"/>
  <c r="H52" i="2"/>
  <c r="H51" i="2"/>
  <c r="H48" i="2"/>
  <c r="H47" i="2"/>
  <c r="H45" i="2"/>
  <c r="H44" i="2"/>
  <c r="H43" i="2"/>
  <c r="H42" i="2"/>
  <c r="H41" i="2"/>
  <c r="H40" i="2"/>
  <c r="H39" i="2"/>
  <c r="H37" i="2"/>
  <c r="H36" i="2"/>
  <c r="H34" i="2"/>
  <c r="H32" i="2"/>
  <c r="H31" i="2"/>
  <c r="H30" i="2"/>
  <c r="H29" i="2"/>
  <c r="H28" i="2"/>
  <c r="H27" i="2"/>
  <c r="H25" i="2"/>
  <c r="H24" i="2"/>
  <c r="H23" i="2"/>
  <c r="H22" i="2"/>
  <c r="H21" i="2"/>
  <c r="H20" i="2"/>
  <c r="H19" i="2"/>
  <c r="H18" i="2"/>
  <c r="H16" i="2"/>
  <c r="H15" i="2"/>
  <c r="H14" i="2"/>
  <c r="H12" i="2"/>
  <c r="H11" i="2"/>
  <c r="H10" i="2"/>
  <c r="H9" i="2"/>
  <c r="L105" i="1" l="1"/>
  <c r="L95" i="1"/>
  <c r="L94" i="1"/>
  <c r="O94" i="1" s="1"/>
  <c r="P94" i="1" s="1"/>
  <c r="L93" i="1"/>
  <c r="O93" i="1" s="1"/>
  <c r="P93" i="1" s="1"/>
  <c r="L92" i="1"/>
  <c r="O92" i="1" s="1"/>
  <c r="P92" i="1" s="1"/>
  <c r="L60" i="1"/>
  <c r="O60" i="1" s="1"/>
  <c r="L58" i="1"/>
  <c r="O58" i="1" s="1"/>
  <c r="P58" i="1" s="1"/>
  <c r="L57" i="1"/>
  <c r="O57" i="1" s="1"/>
  <c r="L56" i="1"/>
  <c r="O56" i="1" s="1"/>
  <c r="L54" i="1"/>
  <c r="O54" i="1" s="1"/>
  <c r="P54" i="1" s="1"/>
  <c r="L52" i="1"/>
  <c r="O52" i="1" s="1"/>
  <c r="L51" i="1"/>
  <c r="O51" i="1" s="1"/>
  <c r="L48" i="1"/>
  <c r="O48" i="1" s="1"/>
  <c r="L47" i="1"/>
  <c r="O47" i="1" s="1"/>
  <c r="L45" i="1"/>
  <c r="O45" i="1" s="1"/>
  <c r="L44" i="1"/>
  <c r="O44" i="1" s="1"/>
  <c r="P44" i="1" s="1"/>
  <c r="L43" i="1"/>
  <c r="O43" i="1" s="1"/>
  <c r="L42" i="1"/>
  <c r="O42" i="1" s="1"/>
  <c r="L41" i="1"/>
  <c r="O41" i="1" s="1"/>
  <c r="L40" i="1"/>
  <c r="O40" i="1" s="1"/>
  <c r="L39" i="1"/>
  <c r="O39" i="1" s="1"/>
  <c r="L37" i="1"/>
  <c r="O37" i="1" s="1"/>
  <c r="P37" i="1" s="1"/>
  <c r="L36" i="1"/>
  <c r="O36" i="1" s="1"/>
  <c r="L35" i="1"/>
  <c r="O35" i="1" s="1"/>
  <c r="L34" i="1"/>
  <c r="O34" i="1" s="1"/>
  <c r="L32" i="1"/>
  <c r="O32" i="1" s="1"/>
  <c r="L31" i="1"/>
  <c r="O31" i="1" s="1"/>
  <c r="P31" i="1" s="1"/>
  <c r="L30" i="1"/>
  <c r="O30" i="1" s="1"/>
  <c r="L29" i="1"/>
  <c r="O29" i="1" s="1"/>
  <c r="L28" i="1"/>
  <c r="O28" i="1" s="1"/>
  <c r="L27" i="1"/>
  <c r="O27" i="1" s="1"/>
  <c r="L25" i="1"/>
  <c r="O25" i="1" s="1"/>
  <c r="L24" i="1"/>
  <c r="O24" i="1" s="1"/>
  <c r="P24" i="1" s="1"/>
  <c r="L23" i="1"/>
  <c r="O23" i="1" s="1"/>
  <c r="L22" i="1"/>
  <c r="O22" i="1" s="1"/>
  <c r="P25" i="1" l="1"/>
  <c r="Q25" i="1" s="1"/>
  <c r="R25" i="1" s="1"/>
  <c r="P35" i="1"/>
  <c r="Q35" i="1" s="1"/>
  <c r="R35" i="1" s="1"/>
  <c r="P51" i="1"/>
  <c r="Q51" i="1" s="1"/>
  <c r="R51" i="1" s="1"/>
  <c r="P22" i="1"/>
  <c r="Q22" i="1" s="1"/>
  <c r="R22" i="1" s="1"/>
  <c r="P27" i="1"/>
  <c r="Q27" i="1" s="1"/>
  <c r="R27" i="1" s="1"/>
  <c r="L36" i="3"/>
  <c r="P36" i="1"/>
  <c r="Q36" i="1" s="1"/>
  <c r="R36" i="1" s="1"/>
  <c r="P41" i="1"/>
  <c r="Q41" i="1" s="1"/>
  <c r="R41" i="1" s="1"/>
  <c r="P45" i="1"/>
  <c r="Q45" i="1" s="1"/>
  <c r="R45" i="1" s="1"/>
  <c r="P52" i="1"/>
  <c r="Q52" i="1" s="1"/>
  <c r="R52" i="1" s="1"/>
  <c r="P30" i="1"/>
  <c r="Q30" i="1" s="1"/>
  <c r="R30" i="1" s="1"/>
  <c r="P40" i="1"/>
  <c r="Q40" i="1" s="1"/>
  <c r="R40" i="1" s="1"/>
  <c r="P57" i="1"/>
  <c r="Q57" i="1" s="1"/>
  <c r="R57" i="1" s="1"/>
  <c r="P23" i="1"/>
  <c r="Q23" i="1" s="1"/>
  <c r="R23" i="1" s="1"/>
  <c r="P28" i="1"/>
  <c r="Q28" i="1" s="1"/>
  <c r="R28" i="1" s="1"/>
  <c r="P32" i="1"/>
  <c r="Q32" i="1" s="1"/>
  <c r="R32" i="1" s="1"/>
  <c r="P42" i="1"/>
  <c r="Q42" i="1" s="1"/>
  <c r="R42" i="1" s="1"/>
  <c r="P47" i="1"/>
  <c r="Q47" i="1" s="1"/>
  <c r="R47" i="1" s="1"/>
  <c r="P60" i="1"/>
  <c r="Q60" i="1" s="1"/>
  <c r="R60" i="1" s="1"/>
  <c r="P29" i="1"/>
  <c r="Q29" i="1" s="1"/>
  <c r="R29" i="1" s="1"/>
  <c r="P34" i="1"/>
  <c r="Q34" i="1" s="1"/>
  <c r="R34" i="1" s="1"/>
  <c r="P39" i="1"/>
  <c r="Q39" i="1" s="1"/>
  <c r="R39" i="1" s="1"/>
  <c r="L43" i="3"/>
  <c r="P43" i="1"/>
  <c r="Q43" i="1" s="1"/>
  <c r="R43" i="1" s="1"/>
  <c r="P48" i="1"/>
  <c r="Q48" i="1" s="1"/>
  <c r="R48" i="1" s="1"/>
  <c r="P56" i="1"/>
  <c r="Q56" i="1" s="1"/>
  <c r="R56" i="1" s="1"/>
  <c r="L35" i="3"/>
  <c r="L51" i="3"/>
  <c r="Q24" i="1"/>
  <c r="R24" i="1" s="1"/>
  <c r="L24" i="3"/>
  <c r="Q31" i="1"/>
  <c r="R31" i="1" s="1"/>
  <c r="L31" i="3"/>
  <c r="Q93" i="1"/>
  <c r="R93" i="1" s="1"/>
  <c r="L93" i="3"/>
  <c r="Q54" i="1"/>
  <c r="R54" i="1" s="1"/>
  <c r="L54" i="3"/>
  <c r="Q58" i="1"/>
  <c r="R58" i="1" s="1"/>
  <c r="L58" i="3"/>
  <c r="Q37" i="1"/>
  <c r="R37" i="1" s="1"/>
  <c r="L37" i="3"/>
  <c r="Q44" i="1"/>
  <c r="R44" i="1" s="1"/>
  <c r="L44" i="3"/>
  <c r="Q94" i="1"/>
  <c r="R94" i="1" s="1"/>
  <c r="L94" i="3"/>
  <c r="L25" i="3"/>
  <c r="L30" i="3"/>
  <c r="L40" i="3"/>
  <c r="L57" i="3"/>
  <c r="L22" i="3"/>
  <c r="L27" i="3"/>
  <c r="L41" i="3"/>
  <c r="L45" i="3"/>
  <c r="L52" i="3"/>
  <c r="Q92" i="1"/>
  <c r="R92" i="1" s="1"/>
  <c r="L92" i="3"/>
  <c r="L23" i="3"/>
  <c r="L28" i="3"/>
  <c r="L32" i="3"/>
  <c r="L42" i="3"/>
  <c r="L47" i="3"/>
  <c r="L60" i="3"/>
  <c r="L29" i="3"/>
  <c r="L34" i="3"/>
  <c r="L39" i="3"/>
  <c r="L48" i="3"/>
  <c r="L56" i="3"/>
  <c r="J94" i="3"/>
  <c r="N94" i="3" s="1"/>
  <c r="J92" i="3"/>
  <c r="J85" i="3"/>
  <c r="J83" i="3"/>
  <c r="J81" i="3"/>
  <c r="J77" i="3"/>
  <c r="J75" i="3"/>
  <c r="J73" i="3"/>
  <c r="J69" i="3"/>
  <c r="J65" i="3"/>
  <c r="H60" i="4"/>
  <c r="H58" i="4"/>
  <c r="H57" i="4"/>
  <c r="H56" i="4"/>
  <c r="H54" i="4"/>
  <c r="H52" i="4"/>
  <c r="H51" i="4"/>
  <c r="H48" i="4"/>
  <c r="H47" i="4"/>
  <c r="H45" i="4"/>
  <c r="H44" i="4"/>
  <c r="H43" i="4"/>
  <c r="H42" i="4"/>
  <c r="H41" i="4"/>
  <c r="H40" i="4"/>
  <c r="H39" i="4"/>
  <c r="H37" i="4"/>
  <c r="H36" i="4"/>
  <c r="H35" i="4"/>
  <c r="H34" i="4"/>
  <c r="H32" i="4"/>
  <c r="H31" i="4"/>
  <c r="H30" i="4"/>
  <c r="H29" i="4"/>
  <c r="H28" i="4"/>
  <c r="H27" i="4"/>
  <c r="H25" i="4"/>
  <c r="H24" i="4"/>
  <c r="H23" i="4"/>
  <c r="H22" i="4"/>
  <c r="H21" i="4"/>
  <c r="H20" i="4"/>
  <c r="H19" i="4"/>
  <c r="H18" i="4"/>
  <c r="H16" i="4"/>
  <c r="H15" i="4"/>
  <c r="H14" i="4"/>
  <c r="H12" i="4"/>
  <c r="H10" i="4"/>
  <c r="H9" i="4"/>
  <c r="O94" i="3" l="1"/>
  <c r="S94" i="3"/>
  <c r="N92" i="3"/>
  <c r="J92" i="4" s="1"/>
  <c r="P14" i="2"/>
  <c r="Q14" i="2" s="1"/>
  <c r="U81" i="2"/>
  <c r="V81" i="2" s="1"/>
  <c r="P11" i="2"/>
  <c r="Q11" i="2" s="1"/>
  <c r="P16" i="2"/>
  <c r="Q16" i="2" s="1"/>
  <c r="P12" i="2"/>
  <c r="Q12" i="2" s="1"/>
  <c r="U12" i="2"/>
  <c r="V12" i="2" s="1"/>
  <c r="P18" i="2"/>
  <c r="Q18" i="2" s="1"/>
  <c r="Z18" i="2"/>
  <c r="AA18" i="2" s="1"/>
  <c r="U69" i="2"/>
  <c r="V69" i="2" s="1"/>
  <c r="Z85" i="2"/>
  <c r="AA85" i="2" s="1"/>
  <c r="U73" i="2"/>
  <c r="V73" i="2" s="1"/>
  <c r="U92" i="2"/>
  <c r="V92" i="2" s="1"/>
  <c r="P10" i="2"/>
  <c r="Q10" i="2" s="1"/>
  <c r="U31" i="2"/>
  <c r="V31" i="2" s="1"/>
  <c r="Z31" i="2"/>
  <c r="AA31" i="2" s="1"/>
  <c r="U52" i="2"/>
  <c r="V52" i="2" s="1"/>
  <c r="Z52" i="2"/>
  <c r="AA52" i="2" s="1"/>
  <c r="U67" i="2"/>
  <c r="V67" i="2" s="1"/>
  <c r="Z67" i="2"/>
  <c r="AA67" i="2" s="1"/>
  <c r="U71" i="2"/>
  <c r="V71" i="2" s="1"/>
  <c r="Z71" i="2"/>
  <c r="AA71" i="2" s="1"/>
  <c r="U79" i="2"/>
  <c r="V79" i="2" s="1"/>
  <c r="Z79" i="2"/>
  <c r="AA79" i="2" s="1"/>
  <c r="Z69" i="2"/>
  <c r="AA69" i="2" s="1"/>
  <c r="U36" i="2"/>
  <c r="V36" i="2" s="1"/>
  <c r="Z36" i="2"/>
  <c r="AA36" i="2" s="1"/>
  <c r="U58" i="2"/>
  <c r="V58" i="2" s="1"/>
  <c r="Z58" i="2"/>
  <c r="AA58" i="2" s="1"/>
  <c r="J68" i="3"/>
  <c r="J72" i="3"/>
  <c r="P76" i="2"/>
  <c r="Q76" i="2" s="1"/>
  <c r="J76" i="3"/>
  <c r="P80" i="2"/>
  <c r="Q80" i="2" s="1"/>
  <c r="J80" i="3"/>
  <c r="P84" i="2"/>
  <c r="Q84" i="2" s="1"/>
  <c r="J84" i="3"/>
  <c r="P91" i="2"/>
  <c r="Q91" i="2" s="1"/>
  <c r="J91" i="3"/>
  <c r="P95" i="2"/>
  <c r="Q95" i="2" s="1"/>
  <c r="J95" i="3"/>
  <c r="U19" i="2"/>
  <c r="V19" i="2" s="1"/>
  <c r="Z19" i="2"/>
  <c r="AA19" i="2" s="1"/>
  <c r="U23" i="2"/>
  <c r="V23" i="2" s="1"/>
  <c r="Z23" i="2"/>
  <c r="AA23" i="2" s="1"/>
  <c r="U28" i="2"/>
  <c r="V28" i="2" s="1"/>
  <c r="Z28" i="2"/>
  <c r="AA28" i="2" s="1"/>
  <c r="U32" i="2"/>
  <c r="V32" i="2" s="1"/>
  <c r="Z32" i="2"/>
  <c r="AA32" i="2" s="1"/>
  <c r="U37" i="2"/>
  <c r="V37" i="2" s="1"/>
  <c r="Z37" i="2"/>
  <c r="AA37" i="2" s="1"/>
  <c r="U42" i="2"/>
  <c r="V42" i="2" s="1"/>
  <c r="Z42" i="2"/>
  <c r="AA42" i="2" s="1"/>
  <c r="U47" i="2"/>
  <c r="V47" i="2" s="1"/>
  <c r="Z47" i="2"/>
  <c r="AA47" i="2" s="1"/>
  <c r="U54" i="2"/>
  <c r="V54" i="2" s="1"/>
  <c r="Z54" i="2"/>
  <c r="AA54" i="2" s="1"/>
  <c r="U60" i="2"/>
  <c r="V60" i="2" s="1"/>
  <c r="Z60" i="2"/>
  <c r="AA60" i="2" s="1"/>
  <c r="U22" i="2"/>
  <c r="V22" i="2" s="1"/>
  <c r="Z22" i="2"/>
  <c r="AA22" i="2" s="1"/>
  <c r="U41" i="2"/>
  <c r="V41" i="2" s="1"/>
  <c r="Z41" i="2"/>
  <c r="AA41" i="2" s="1"/>
  <c r="U77" i="2"/>
  <c r="V77" i="2" s="1"/>
  <c r="Z77" i="2"/>
  <c r="AA77" i="2" s="1"/>
  <c r="P15" i="2"/>
  <c r="Q15" i="2" s="1"/>
  <c r="P20" i="2"/>
  <c r="Q20" i="2" s="1"/>
  <c r="J20" i="3"/>
  <c r="P24" i="2"/>
  <c r="Q24" i="2" s="1"/>
  <c r="J24" i="3"/>
  <c r="N24" i="3" s="1"/>
  <c r="P29" i="2"/>
  <c r="Q29" i="2" s="1"/>
  <c r="J29" i="3"/>
  <c r="N29" i="3" s="1"/>
  <c r="P34" i="2"/>
  <c r="Q34" i="2" s="1"/>
  <c r="J34" i="3"/>
  <c r="N34" i="3" s="1"/>
  <c r="P39" i="2"/>
  <c r="Q39" i="2" s="1"/>
  <c r="J39" i="3"/>
  <c r="N39" i="3" s="1"/>
  <c r="P43" i="2"/>
  <c r="Q43" i="2" s="1"/>
  <c r="J43" i="3"/>
  <c r="N43" i="3" s="1"/>
  <c r="P48" i="2"/>
  <c r="Q48" i="2" s="1"/>
  <c r="J48" i="3"/>
  <c r="N48" i="3" s="1"/>
  <c r="P56" i="2"/>
  <c r="Q56" i="2" s="1"/>
  <c r="J56" i="3"/>
  <c r="N56" i="3" s="1"/>
  <c r="U27" i="2"/>
  <c r="V27" i="2" s="1"/>
  <c r="Z27" i="2"/>
  <c r="AA27" i="2" s="1"/>
  <c r="U45" i="2"/>
  <c r="V45" i="2" s="1"/>
  <c r="Z45" i="2"/>
  <c r="AA45" i="2" s="1"/>
  <c r="U66" i="2"/>
  <c r="V66" i="2" s="1"/>
  <c r="Z66" i="2"/>
  <c r="AA66" i="2" s="1"/>
  <c r="U70" i="2"/>
  <c r="V70" i="2" s="1"/>
  <c r="Z70" i="2"/>
  <c r="AA70" i="2" s="1"/>
  <c r="U74" i="2"/>
  <c r="V74" i="2" s="1"/>
  <c r="Z74" i="2"/>
  <c r="AA74" i="2" s="1"/>
  <c r="U78" i="2"/>
  <c r="V78" i="2" s="1"/>
  <c r="Z78" i="2"/>
  <c r="AA78" i="2" s="1"/>
  <c r="U82" i="2"/>
  <c r="V82" i="2" s="1"/>
  <c r="Z82" i="2"/>
  <c r="AA82" i="2" s="1"/>
  <c r="U86" i="2"/>
  <c r="V86" i="2" s="1"/>
  <c r="Z86" i="2"/>
  <c r="AA86" i="2" s="1"/>
  <c r="U93" i="2"/>
  <c r="V93" i="2" s="1"/>
  <c r="Z93" i="2"/>
  <c r="AA93" i="2" s="1"/>
  <c r="U65" i="2"/>
  <c r="V65" i="2" s="1"/>
  <c r="Z65" i="2"/>
  <c r="AA65" i="2" s="1"/>
  <c r="P21" i="2"/>
  <c r="Q21" i="2" s="1"/>
  <c r="J21" i="3"/>
  <c r="P25" i="2"/>
  <c r="Q25" i="2" s="1"/>
  <c r="J25" i="3"/>
  <c r="N25" i="3" s="1"/>
  <c r="P30" i="2"/>
  <c r="Q30" i="2" s="1"/>
  <c r="J30" i="3"/>
  <c r="N30" i="3" s="1"/>
  <c r="P35" i="2"/>
  <c r="Q35" i="2" s="1"/>
  <c r="J35" i="3"/>
  <c r="N35" i="3" s="1"/>
  <c r="P40" i="2"/>
  <c r="Q40" i="2" s="1"/>
  <c r="J40" i="3"/>
  <c r="N40" i="3" s="1"/>
  <c r="P44" i="2"/>
  <c r="Q44" i="2" s="1"/>
  <c r="J44" i="3"/>
  <c r="N44" i="3" s="1"/>
  <c r="P51" i="2"/>
  <c r="Q51" i="2" s="1"/>
  <c r="J51" i="3"/>
  <c r="N51" i="3" s="1"/>
  <c r="P57" i="2"/>
  <c r="Q57" i="2" s="1"/>
  <c r="J57" i="3"/>
  <c r="N57" i="3" s="1"/>
  <c r="P22" i="2"/>
  <c r="Q22" i="2" s="1"/>
  <c r="J22" i="3"/>
  <c r="N22" i="3" s="1"/>
  <c r="P27" i="2"/>
  <c r="Q27" i="2" s="1"/>
  <c r="J27" i="3"/>
  <c r="N27" i="3" s="1"/>
  <c r="P31" i="2"/>
  <c r="Q31" i="2" s="1"/>
  <c r="J31" i="3"/>
  <c r="N31" i="3" s="1"/>
  <c r="P36" i="2"/>
  <c r="Q36" i="2" s="1"/>
  <c r="J36" i="3"/>
  <c r="N36" i="3" s="1"/>
  <c r="P41" i="2"/>
  <c r="Q41" i="2" s="1"/>
  <c r="J41" i="3"/>
  <c r="N41" i="3" s="1"/>
  <c r="P45" i="2"/>
  <c r="Q45" i="2" s="1"/>
  <c r="J45" i="3"/>
  <c r="N45" i="3" s="1"/>
  <c r="P52" i="2"/>
  <c r="Q52" i="2" s="1"/>
  <c r="J52" i="3"/>
  <c r="N52" i="3" s="1"/>
  <c r="P58" i="2"/>
  <c r="Q58" i="2" s="1"/>
  <c r="J58" i="3"/>
  <c r="N58" i="3" s="1"/>
  <c r="P66" i="2"/>
  <c r="Q66" i="2" s="1"/>
  <c r="J66" i="3"/>
  <c r="P70" i="2"/>
  <c r="Q70" i="2" s="1"/>
  <c r="J70" i="3"/>
  <c r="P74" i="2"/>
  <c r="Q74" i="2" s="1"/>
  <c r="J74" i="3"/>
  <c r="P78" i="2"/>
  <c r="Q78" i="2" s="1"/>
  <c r="J78" i="3"/>
  <c r="P82" i="2"/>
  <c r="Q82" i="2" s="1"/>
  <c r="J82" i="3"/>
  <c r="P86" i="2"/>
  <c r="Q86" i="2" s="1"/>
  <c r="J86" i="3"/>
  <c r="P93" i="2"/>
  <c r="Q93" i="2" s="1"/>
  <c r="J93" i="3"/>
  <c r="N93" i="3" s="1"/>
  <c r="P19" i="2"/>
  <c r="Q19" i="2" s="1"/>
  <c r="J19" i="3"/>
  <c r="P23" i="2"/>
  <c r="Q23" i="2" s="1"/>
  <c r="J23" i="3"/>
  <c r="N23" i="3" s="1"/>
  <c r="P28" i="2"/>
  <c r="Q28" i="2" s="1"/>
  <c r="J28" i="3"/>
  <c r="N28" i="3" s="1"/>
  <c r="P32" i="2"/>
  <c r="Q32" i="2" s="1"/>
  <c r="J32" i="3"/>
  <c r="N32" i="3" s="1"/>
  <c r="P37" i="2"/>
  <c r="Q37" i="2" s="1"/>
  <c r="J37" i="3"/>
  <c r="N37" i="3" s="1"/>
  <c r="P42" i="2"/>
  <c r="Q42" i="2" s="1"/>
  <c r="J42" i="3"/>
  <c r="N42" i="3" s="1"/>
  <c r="P47" i="2"/>
  <c r="Q47" i="2" s="1"/>
  <c r="J47" i="3"/>
  <c r="N47" i="3" s="1"/>
  <c r="P54" i="2"/>
  <c r="Q54" i="2" s="1"/>
  <c r="J54" i="3"/>
  <c r="N54" i="3" s="1"/>
  <c r="P60" i="2"/>
  <c r="Q60" i="2" s="1"/>
  <c r="J60" i="3"/>
  <c r="N60" i="3" s="1"/>
  <c r="P67" i="2"/>
  <c r="Q67" i="2" s="1"/>
  <c r="J67" i="3"/>
  <c r="P71" i="2"/>
  <c r="Q71" i="2" s="1"/>
  <c r="J71" i="3"/>
  <c r="P79" i="2"/>
  <c r="Q79" i="2" s="1"/>
  <c r="J79" i="3"/>
  <c r="P94" i="3"/>
  <c r="Q94" i="3" s="1"/>
  <c r="J94" i="4"/>
  <c r="P68" i="2"/>
  <c r="Q68" i="2" s="1"/>
  <c r="P72" i="2"/>
  <c r="Q72" i="2" s="1"/>
  <c r="P73" i="2"/>
  <c r="Q73" i="2" s="1"/>
  <c r="P75" i="2"/>
  <c r="Q75" i="2" s="1"/>
  <c r="P77" i="2"/>
  <c r="Q77" i="2" s="1"/>
  <c r="P81" i="2"/>
  <c r="Q81" i="2" s="1"/>
  <c r="P83" i="2"/>
  <c r="Q83" i="2" s="1"/>
  <c r="P85" i="2"/>
  <c r="Q85" i="2" s="1"/>
  <c r="P92" i="2"/>
  <c r="Q92" i="2" s="1"/>
  <c r="P94" i="2"/>
  <c r="Q94" i="2" s="1"/>
  <c r="P65" i="2"/>
  <c r="Q65" i="2" s="1"/>
  <c r="P69" i="2"/>
  <c r="Q69" i="2" s="1"/>
  <c r="O54" i="3" l="1"/>
  <c r="S54" i="3"/>
  <c r="O32" i="3"/>
  <c r="S32" i="3"/>
  <c r="O93" i="3"/>
  <c r="S93" i="3"/>
  <c r="O41" i="3"/>
  <c r="P41" i="3" s="1"/>
  <c r="Q41" i="3" s="1"/>
  <c r="S41" i="3"/>
  <c r="O31" i="3"/>
  <c r="S31" i="3"/>
  <c r="O51" i="3"/>
  <c r="P51" i="3" s="1"/>
  <c r="Q51" i="3" s="1"/>
  <c r="S51" i="3"/>
  <c r="O40" i="3"/>
  <c r="P40" i="3" s="1"/>
  <c r="Q40" i="3" s="1"/>
  <c r="S40" i="3"/>
  <c r="O30" i="3"/>
  <c r="P30" i="3" s="1"/>
  <c r="Q30" i="3" s="1"/>
  <c r="S30" i="3"/>
  <c r="O48" i="3"/>
  <c r="S48" i="3"/>
  <c r="O39" i="3"/>
  <c r="P39" i="3" s="1"/>
  <c r="Q39" i="3" s="1"/>
  <c r="S39" i="3"/>
  <c r="O29" i="3"/>
  <c r="S29" i="3"/>
  <c r="O42" i="3"/>
  <c r="P42" i="3" s="1"/>
  <c r="Q42" i="3" s="1"/>
  <c r="S42" i="3"/>
  <c r="O23" i="3"/>
  <c r="S23" i="3"/>
  <c r="O52" i="3"/>
  <c r="P52" i="3" s="1"/>
  <c r="Q52" i="3" s="1"/>
  <c r="S52" i="3"/>
  <c r="O22" i="3"/>
  <c r="S22" i="3"/>
  <c r="T94" i="3"/>
  <c r="U94" i="3" s="1"/>
  <c r="V94" i="3" s="1"/>
  <c r="X94" i="3"/>
  <c r="Y94" i="3" s="1"/>
  <c r="Z94" i="3" s="1"/>
  <c r="AA94" i="3" s="1"/>
  <c r="O60" i="3"/>
  <c r="S60" i="3"/>
  <c r="O47" i="3"/>
  <c r="S47" i="3"/>
  <c r="O37" i="3"/>
  <c r="S37" i="3"/>
  <c r="O28" i="3"/>
  <c r="P28" i="3" s="1"/>
  <c r="Q28" i="3" s="1"/>
  <c r="S28" i="3"/>
  <c r="O58" i="3"/>
  <c r="S58" i="3"/>
  <c r="O45" i="3"/>
  <c r="S45" i="3"/>
  <c r="O36" i="3"/>
  <c r="S36" i="3"/>
  <c r="O27" i="3"/>
  <c r="S27" i="3"/>
  <c r="O57" i="3"/>
  <c r="S57" i="3"/>
  <c r="O44" i="3"/>
  <c r="P44" i="3" s="1"/>
  <c r="Q44" i="3" s="1"/>
  <c r="S44" i="3"/>
  <c r="O35" i="3"/>
  <c r="S35" i="3"/>
  <c r="O25" i="3"/>
  <c r="P25" i="3" s="1"/>
  <c r="Q25" i="3" s="1"/>
  <c r="S25" i="3"/>
  <c r="O56" i="3"/>
  <c r="S56" i="3"/>
  <c r="O43" i="3"/>
  <c r="P43" i="3" s="1"/>
  <c r="Q43" i="3" s="1"/>
  <c r="S43" i="3"/>
  <c r="O34" i="3"/>
  <c r="S34" i="3"/>
  <c r="O24" i="3"/>
  <c r="S24" i="3"/>
  <c r="O92" i="3"/>
  <c r="P92" i="3" s="1"/>
  <c r="Q92" i="3" s="1"/>
  <c r="S92" i="3"/>
  <c r="O94" i="4"/>
  <c r="K94" i="4"/>
  <c r="L94" i="4" s="1"/>
  <c r="M94" i="4" s="1"/>
  <c r="K92" i="4"/>
  <c r="L92" i="4" s="1"/>
  <c r="M92" i="4" s="1"/>
  <c r="O92" i="4"/>
  <c r="U85" i="2"/>
  <c r="V85" i="2" s="1"/>
  <c r="AC93" i="2"/>
  <c r="Z81" i="2"/>
  <c r="AA81" i="2" s="1"/>
  <c r="Z92" i="2"/>
  <c r="AA92" i="2" s="1"/>
  <c r="Z12" i="2"/>
  <c r="AA12" i="2" s="1"/>
  <c r="U18" i="2"/>
  <c r="V18" i="2" s="1"/>
  <c r="Z73" i="2"/>
  <c r="AA73" i="2" s="1"/>
  <c r="U30" i="2"/>
  <c r="V30" i="2" s="1"/>
  <c r="Z30" i="2"/>
  <c r="AA30" i="2" s="1"/>
  <c r="U83" i="2"/>
  <c r="V83" i="2" s="1"/>
  <c r="Z83" i="2"/>
  <c r="AA83" i="2" s="1"/>
  <c r="J45" i="4"/>
  <c r="P27" i="3"/>
  <c r="Q27" i="3" s="1"/>
  <c r="U48" i="2"/>
  <c r="V48" i="2" s="1"/>
  <c r="Z48" i="2"/>
  <c r="AA48" i="2" s="1"/>
  <c r="J24" i="4"/>
  <c r="P24" i="3"/>
  <c r="Q24" i="3" s="1"/>
  <c r="U80" i="2"/>
  <c r="V80" i="2" s="1"/>
  <c r="Z80" i="2"/>
  <c r="AA80" i="2" s="1"/>
  <c r="U68" i="2"/>
  <c r="V68" i="2" s="1"/>
  <c r="Z68" i="2"/>
  <c r="AA68" i="2" s="1"/>
  <c r="U44" i="2"/>
  <c r="V44" i="2" s="1"/>
  <c r="Z44" i="2"/>
  <c r="AA44" i="2" s="1"/>
  <c r="J60" i="4"/>
  <c r="P60" i="3"/>
  <c r="Q60" i="3" s="1"/>
  <c r="J37" i="4"/>
  <c r="P37" i="3"/>
  <c r="Q37" i="3" s="1"/>
  <c r="U75" i="2"/>
  <c r="V75" i="2" s="1"/>
  <c r="Z75" i="2"/>
  <c r="AA75" i="2" s="1"/>
  <c r="J35" i="4"/>
  <c r="U56" i="2"/>
  <c r="V56" i="2" s="1"/>
  <c r="Z56" i="2"/>
  <c r="AA56" i="2" s="1"/>
  <c r="U34" i="2"/>
  <c r="V34" i="2" s="1"/>
  <c r="Z34" i="2"/>
  <c r="AA34" i="2" s="1"/>
  <c r="U15" i="2"/>
  <c r="V15" i="2" s="1"/>
  <c r="Z15" i="2"/>
  <c r="AA15" i="2" s="1"/>
  <c r="U84" i="2"/>
  <c r="V84" i="2" s="1"/>
  <c r="Z84" i="2"/>
  <c r="AA84" i="2" s="1"/>
  <c r="U40" i="2"/>
  <c r="V40" i="2" s="1"/>
  <c r="Z40" i="2"/>
  <c r="AA40" i="2" s="1"/>
  <c r="U21" i="2"/>
  <c r="V21" i="2" s="1"/>
  <c r="Z21" i="2"/>
  <c r="AA21" i="2" s="1"/>
  <c r="P93" i="3"/>
  <c r="Q93" i="3" s="1"/>
  <c r="J93" i="4"/>
  <c r="J52" i="4"/>
  <c r="J41" i="4"/>
  <c r="J22" i="4"/>
  <c r="P22" i="3"/>
  <c r="Q22" i="3" s="1"/>
  <c r="U39" i="2"/>
  <c r="V39" i="2" s="1"/>
  <c r="Z39" i="2"/>
  <c r="AA39" i="2" s="1"/>
  <c r="U20" i="2"/>
  <c r="V20" i="2" s="1"/>
  <c r="Z20" i="2"/>
  <c r="AA20" i="2" s="1"/>
  <c r="U91" i="2"/>
  <c r="V91" i="2" s="1"/>
  <c r="Z91" i="2"/>
  <c r="AA91" i="2" s="1"/>
  <c r="U72" i="2"/>
  <c r="V72" i="2" s="1"/>
  <c r="Z72" i="2"/>
  <c r="AA72" i="2" s="1"/>
  <c r="U10" i="2"/>
  <c r="V10" i="2" s="1"/>
  <c r="Z10" i="2"/>
  <c r="AA10" i="2" s="1"/>
  <c r="U51" i="2"/>
  <c r="V51" i="2" s="1"/>
  <c r="Z51" i="2"/>
  <c r="AA51" i="2" s="1"/>
  <c r="U11" i="2"/>
  <c r="V11" i="2" s="1"/>
  <c r="Z11" i="2"/>
  <c r="AA11" i="2" s="1"/>
  <c r="J58" i="4"/>
  <c r="P58" i="3"/>
  <c r="Q58" i="3" s="1"/>
  <c r="J36" i="4"/>
  <c r="P36" i="3"/>
  <c r="Q36" i="3" s="1"/>
  <c r="U14" i="2"/>
  <c r="V14" i="2" s="1"/>
  <c r="Z14" i="2"/>
  <c r="AA14" i="2" s="1"/>
  <c r="J43" i="4"/>
  <c r="U29" i="2"/>
  <c r="V29" i="2" s="1"/>
  <c r="Z29" i="2"/>
  <c r="AA29" i="2" s="1"/>
  <c r="U25" i="2"/>
  <c r="V25" i="2" s="1"/>
  <c r="Z25" i="2"/>
  <c r="AA25" i="2" s="1"/>
  <c r="J44" i="4"/>
  <c r="J25" i="4"/>
  <c r="J48" i="4"/>
  <c r="P29" i="3"/>
  <c r="Q29" i="3" s="1"/>
  <c r="U57" i="2"/>
  <c r="V57" i="2" s="1"/>
  <c r="Z57" i="2"/>
  <c r="AA57" i="2" s="1"/>
  <c r="U35" i="2"/>
  <c r="V35" i="2" s="1"/>
  <c r="Z35" i="2"/>
  <c r="AA35" i="2" s="1"/>
  <c r="U16" i="2"/>
  <c r="V16" i="2" s="1"/>
  <c r="Z16" i="2"/>
  <c r="AA16" i="2" s="1"/>
  <c r="J54" i="4"/>
  <c r="P54" i="3"/>
  <c r="Q54" i="3" s="1"/>
  <c r="J23" i="4"/>
  <c r="P23" i="3"/>
  <c r="Q23" i="3" s="1"/>
  <c r="U94" i="2"/>
  <c r="V94" i="2" s="1"/>
  <c r="Z94" i="2"/>
  <c r="AA94" i="2" s="1"/>
  <c r="J51" i="4"/>
  <c r="J40" i="4"/>
  <c r="J30" i="4"/>
  <c r="U43" i="2"/>
  <c r="V43" i="2" s="1"/>
  <c r="Z43" i="2"/>
  <c r="AA43" i="2" s="1"/>
  <c r="J39" i="4"/>
  <c r="U24" i="2"/>
  <c r="V24" i="2" s="1"/>
  <c r="Z24" i="2"/>
  <c r="AA24" i="2" s="1"/>
  <c r="U95" i="2"/>
  <c r="V95" i="2" s="1"/>
  <c r="Z95" i="2"/>
  <c r="AA95" i="2" s="1"/>
  <c r="U76" i="2"/>
  <c r="V76" i="2" s="1"/>
  <c r="Z76" i="2"/>
  <c r="AA76" i="2" s="1"/>
  <c r="T34" i="3" l="1"/>
  <c r="X34" i="3"/>
  <c r="Y34" i="3" s="1"/>
  <c r="Z34" i="3" s="1"/>
  <c r="AA34" i="3" s="1"/>
  <c r="T58" i="3"/>
  <c r="U58" i="3" s="1"/>
  <c r="V58" i="3" s="1"/>
  <c r="X58" i="3"/>
  <c r="Y58" i="3" s="1"/>
  <c r="Z58" i="3" s="1"/>
  <c r="T60" i="3"/>
  <c r="X60" i="3"/>
  <c r="Y60" i="3" s="1"/>
  <c r="Z60" i="3" s="1"/>
  <c r="T42" i="3"/>
  <c r="X42" i="3"/>
  <c r="Y42" i="3" s="1"/>
  <c r="Z42" i="3" s="1"/>
  <c r="T39" i="3"/>
  <c r="X39" i="3"/>
  <c r="Y39" i="3" s="1"/>
  <c r="Z39" i="3" s="1"/>
  <c r="AA39" i="3" s="1"/>
  <c r="T54" i="3"/>
  <c r="U54" i="3" s="1"/>
  <c r="V54" i="3" s="1"/>
  <c r="X54" i="3"/>
  <c r="Y54" i="3" s="1"/>
  <c r="Z54" i="3" s="1"/>
  <c r="AA54" i="3" s="1"/>
  <c r="T30" i="3"/>
  <c r="X30" i="3"/>
  <c r="Y30" i="3" s="1"/>
  <c r="T51" i="3"/>
  <c r="U51" i="3" s="1"/>
  <c r="V51" i="3" s="1"/>
  <c r="X51" i="3"/>
  <c r="Y51" i="3" s="1"/>
  <c r="Z51" i="3" s="1"/>
  <c r="T41" i="3"/>
  <c r="U41" i="3" s="1"/>
  <c r="V41" i="3" s="1"/>
  <c r="X41" i="3"/>
  <c r="Y41" i="3" s="1"/>
  <c r="Z41" i="3" s="1"/>
  <c r="AA41" i="3" s="1"/>
  <c r="T56" i="3"/>
  <c r="U56" i="3" s="1"/>
  <c r="V56" i="3" s="1"/>
  <c r="X56" i="3"/>
  <c r="Y56" i="3" s="1"/>
  <c r="Z56" i="3" s="1"/>
  <c r="AA56" i="3" s="1"/>
  <c r="T35" i="3"/>
  <c r="X35" i="3"/>
  <c r="Y35" i="3" s="1"/>
  <c r="Z35" i="3" s="1"/>
  <c r="T36" i="3"/>
  <c r="U36" i="3" s="1"/>
  <c r="V36" i="3" s="1"/>
  <c r="X36" i="3"/>
  <c r="Y36" i="3" s="1"/>
  <c r="Z36" i="3" s="1"/>
  <c r="AA36" i="3" s="1"/>
  <c r="T37" i="3"/>
  <c r="X37" i="3"/>
  <c r="Y37" i="3" s="1"/>
  <c r="Z37" i="3" s="1"/>
  <c r="AA37" i="3" s="1"/>
  <c r="T22" i="3"/>
  <c r="U22" i="3" s="1"/>
  <c r="V22" i="3" s="1"/>
  <c r="X22" i="3"/>
  <c r="Y22" i="3" s="1"/>
  <c r="Z22" i="3" s="1"/>
  <c r="AA22" i="3" s="1"/>
  <c r="T93" i="3"/>
  <c r="X93" i="3"/>
  <c r="Y93" i="3" s="1"/>
  <c r="Z93" i="3" s="1"/>
  <c r="AA93" i="3" s="1"/>
  <c r="T24" i="3"/>
  <c r="U24" i="3" s="1"/>
  <c r="V24" i="3" s="1"/>
  <c r="X24" i="3"/>
  <c r="Y24" i="3" s="1"/>
  <c r="Z24" i="3" s="1"/>
  <c r="T43" i="3"/>
  <c r="X43" i="3"/>
  <c r="Y43" i="3" s="1"/>
  <c r="Z43" i="3" s="1"/>
  <c r="T25" i="3"/>
  <c r="U25" i="3" s="1"/>
  <c r="V25" i="3" s="1"/>
  <c r="X25" i="3"/>
  <c r="Y25" i="3" s="1"/>
  <c r="Z25" i="3" s="1"/>
  <c r="AA25" i="3" s="1"/>
  <c r="T44" i="3"/>
  <c r="X44" i="3"/>
  <c r="Y44" i="3" s="1"/>
  <c r="Z44" i="3" s="1"/>
  <c r="AA44" i="3" s="1"/>
  <c r="T27" i="3"/>
  <c r="X27" i="3"/>
  <c r="Y27" i="3" s="1"/>
  <c r="Z27" i="3" s="1"/>
  <c r="AA27" i="3" s="1"/>
  <c r="T45" i="3"/>
  <c r="X45" i="3"/>
  <c r="Y45" i="3" s="1"/>
  <c r="Z45" i="3" s="1"/>
  <c r="AA45" i="3" s="1"/>
  <c r="T28" i="3"/>
  <c r="U28" i="3" s="1"/>
  <c r="V28" i="3" s="1"/>
  <c r="X28" i="3"/>
  <c r="Y28" i="3" s="1"/>
  <c r="Z28" i="3" s="1"/>
  <c r="AA28" i="3" s="1"/>
  <c r="T47" i="3"/>
  <c r="X47" i="3"/>
  <c r="Y47" i="3" s="1"/>
  <c r="X52" i="3"/>
  <c r="Y52" i="3" s="1"/>
  <c r="Z52" i="3" s="1"/>
  <c r="T52" i="3"/>
  <c r="U52" i="3" s="1"/>
  <c r="V52" i="3" s="1"/>
  <c r="T23" i="3"/>
  <c r="X23" i="3"/>
  <c r="Y23" i="3" s="1"/>
  <c r="Z23" i="3" s="1"/>
  <c r="T29" i="3"/>
  <c r="U29" i="3" s="1"/>
  <c r="V29" i="3" s="1"/>
  <c r="X29" i="3"/>
  <c r="Y29" i="3" s="1"/>
  <c r="Z29" i="3" s="1"/>
  <c r="T48" i="3"/>
  <c r="X48" i="3"/>
  <c r="Y48" i="3" s="1"/>
  <c r="Z48" i="3" s="1"/>
  <c r="AA48" i="3" s="1"/>
  <c r="T32" i="3"/>
  <c r="U32" i="3" s="1"/>
  <c r="V32" i="3" s="1"/>
  <c r="X32" i="3"/>
  <c r="Y32" i="3" s="1"/>
  <c r="T57" i="3"/>
  <c r="X57" i="3"/>
  <c r="Y57" i="3" s="1"/>
  <c r="Z57" i="3" s="1"/>
  <c r="AA57" i="3" s="1"/>
  <c r="T92" i="3"/>
  <c r="U92" i="3" s="1"/>
  <c r="V92" i="3" s="1"/>
  <c r="X92" i="3"/>
  <c r="Y92" i="3" s="1"/>
  <c r="Z92" i="3" s="1"/>
  <c r="AA92" i="3" s="1"/>
  <c r="T40" i="3"/>
  <c r="X40" i="3"/>
  <c r="Y40" i="3" s="1"/>
  <c r="Z40" i="3" s="1"/>
  <c r="AA40" i="3" s="1"/>
  <c r="T31" i="3"/>
  <c r="X31" i="3"/>
  <c r="Y31" i="3" s="1"/>
  <c r="Z31" i="3" s="1"/>
  <c r="AA31" i="3" s="1"/>
  <c r="O25" i="4"/>
  <c r="K25" i="4"/>
  <c r="O93" i="4"/>
  <c r="K93" i="4"/>
  <c r="L93" i="4" s="1"/>
  <c r="M93" i="4" s="1"/>
  <c r="O35" i="4"/>
  <c r="K35" i="4"/>
  <c r="L35" i="4" s="1"/>
  <c r="M35" i="4" s="1"/>
  <c r="O37" i="4"/>
  <c r="K37" i="4"/>
  <c r="L37" i="4" s="1"/>
  <c r="M37" i="4" s="1"/>
  <c r="K39" i="4"/>
  <c r="L39" i="4" s="1"/>
  <c r="M39" i="4" s="1"/>
  <c r="O39" i="4"/>
  <c r="O30" i="4"/>
  <c r="K30" i="4"/>
  <c r="L30" i="4" s="1"/>
  <c r="M30" i="4" s="1"/>
  <c r="O51" i="4"/>
  <c r="K51" i="4"/>
  <c r="O58" i="4"/>
  <c r="K58" i="4"/>
  <c r="L58" i="4" s="1"/>
  <c r="M58" i="4" s="1"/>
  <c r="O41" i="4"/>
  <c r="K41" i="4"/>
  <c r="L41" i="4" s="1"/>
  <c r="M41" i="4" s="1"/>
  <c r="P94" i="4"/>
  <c r="Q94" i="4" s="1"/>
  <c r="R94" i="4" s="1"/>
  <c r="T94" i="4"/>
  <c r="U94" i="4" s="1"/>
  <c r="V94" i="4" s="1"/>
  <c r="W94" i="4" s="1"/>
  <c r="O54" i="4"/>
  <c r="K54" i="4"/>
  <c r="L54" i="4" s="1"/>
  <c r="M54" i="4" s="1"/>
  <c r="K48" i="4"/>
  <c r="L48" i="4" s="1"/>
  <c r="M48" i="4" s="1"/>
  <c r="O48" i="4"/>
  <c r="O44" i="4"/>
  <c r="K44" i="4"/>
  <c r="L44" i="4" s="1"/>
  <c r="M44" i="4" s="1"/>
  <c r="O60" i="4"/>
  <c r="K60" i="4"/>
  <c r="L60" i="4" s="1"/>
  <c r="M60" i="4" s="1"/>
  <c r="K24" i="4"/>
  <c r="O24" i="4"/>
  <c r="O45" i="4"/>
  <c r="K45" i="4"/>
  <c r="L45" i="4" s="1"/>
  <c r="M45" i="4" s="1"/>
  <c r="P92" i="4"/>
  <c r="T92" i="4"/>
  <c r="U92" i="4" s="1"/>
  <c r="V92" i="4" s="1"/>
  <c r="W92" i="4" s="1"/>
  <c r="O40" i="4"/>
  <c r="K40" i="4"/>
  <c r="L40" i="4" s="1"/>
  <c r="M40" i="4" s="1"/>
  <c r="O23" i="4"/>
  <c r="K23" i="4"/>
  <c r="L23" i="4" s="1"/>
  <c r="M23" i="4" s="1"/>
  <c r="K43" i="4"/>
  <c r="L43" i="4" s="1"/>
  <c r="M43" i="4" s="1"/>
  <c r="O43" i="4"/>
  <c r="O36" i="4"/>
  <c r="K36" i="4"/>
  <c r="L36" i="4" s="1"/>
  <c r="M36" i="4" s="1"/>
  <c r="O22" i="4"/>
  <c r="K22" i="4"/>
  <c r="L22" i="4" s="1"/>
  <c r="M22" i="4" s="1"/>
  <c r="O52" i="4"/>
  <c r="K52" i="4"/>
  <c r="L52" i="4" s="1"/>
  <c r="M52" i="4" s="1"/>
  <c r="J29" i="4"/>
  <c r="P48" i="3"/>
  <c r="Q48" i="3" s="1"/>
  <c r="P35" i="3"/>
  <c r="Q35" i="3" s="1"/>
  <c r="U35" i="3"/>
  <c r="V35" i="3" s="1"/>
  <c r="J31" i="4"/>
  <c r="J28" i="4"/>
  <c r="P47" i="3"/>
  <c r="Q47" i="3" s="1"/>
  <c r="Z47" i="3"/>
  <c r="J32" i="4"/>
  <c r="J34" i="4"/>
  <c r="P56" i="3"/>
  <c r="Q56" i="3" s="1"/>
  <c r="J27" i="4"/>
  <c r="P45" i="3"/>
  <c r="Q45" i="3" s="1"/>
  <c r="J42" i="4"/>
  <c r="J57" i="4"/>
  <c r="P31" i="3"/>
  <c r="Q31" i="3" s="1"/>
  <c r="P57" i="3"/>
  <c r="Q57" i="3" s="1"/>
  <c r="J56" i="4"/>
  <c r="J47" i="4"/>
  <c r="P32" i="3"/>
  <c r="Q32" i="3" s="1"/>
  <c r="P34" i="3"/>
  <c r="Q34" i="3" s="1"/>
  <c r="AC94" i="3"/>
  <c r="AC94" i="2"/>
  <c r="Z30" i="3"/>
  <c r="AA30" i="3" s="1"/>
  <c r="U30" i="3"/>
  <c r="V30" i="3" s="1"/>
  <c r="U60" i="3"/>
  <c r="V60" i="3" s="1"/>
  <c r="U45" i="3"/>
  <c r="V45" i="3" s="1"/>
  <c r="U23" i="3"/>
  <c r="V23" i="3" s="1"/>
  <c r="L25" i="4"/>
  <c r="M25" i="4" s="1"/>
  <c r="U37" i="3"/>
  <c r="V37" i="3" s="1"/>
  <c r="L24" i="4"/>
  <c r="M24" i="4" s="1"/>
  <c r="U39" i="3"/>
  <c r="V39" i="3" s="1"/>
  <c r="L51" i="4"/>
  <c r="M51" i="4" s="1"/>
  <c r="U43" i="3"/>
  <c r="V43" i="3" s="1"/>
  <c r="U57" i="3"/>
  <c r="V57" i="3" s="1"/>
  <c r="Q92" i="4"/>
  <c r="R92" i="4" s="1"/>
  <c r="U93" i="3"/>
  <c r="V93" i="3" s="1"/>
  <c r="U40" i="3"/>
  <c r="V40" i="3" s="1"/>
  <c r="U44" i="3"/>
  <c r="V44" i="3" s="1"/>
  <c r="AC95" i="2"/>
  <c r="AC92" i="3" l="1"/>
  <c r="K56" i="4"/>
  <c r="L56" i="4" s="1"/>
  <c r="M56" i="4" s="1"/>
  <c r="O56" i="4"/>
  <c r="O27" i="4"/>
  <c r="K27" i="4"/>
  <c r="L27" i="4" s="1"/>
  <c r="M27" i="4" s="1"/>
  <c r="O32" i="4"/>
  <c r="K32" i="4"/>
  <c r="L32" i="4" s="1"/>
  <c r="M32" i="4" s="1"/>
  <c r="P22" i="4"/>
  <c r="Q22" i="4" s="1"/>
  <c r="R22" i="4" s="1"/>
  <c r="T22" i="4"/>
  <c r="U22" i="4" s="1"/>
  <c r="V22" i="4" s="1"/>
  <c r="T40" i="4"/>
  <c r="U40" i="4" s="1"/>
  <c r="V40" i="4" s="1"/>
  <c r="P40" i="4"/>
  <c r="Q40" i="4" s="1"/>
  <c r="R40" i="4" s="1"/>
  <c r="P45" i="4"/>
  <c r="Q45" i="4" s="1"/>
  <c r="R45" i="4" s="1"/>
  <c r="T45" i="4"/>
  <c r="U45" i="4" s="1"/>
  <c r="V45" i="4" s="1"/>
  <c r="W45" i="4" s="1"/>
  <c r="T60" i="4"/>
  <c r="U60" i="4" s="1"/>
  <c r="P60" i="4"/>
  <c r="P58" i="4"/>
  <c r="Q58" i="4" s="1"/>
  <c r="R58" i="4" s="1"/>
  <c r="T58" i="4"/>
  <c r="U58" i="4" s="1"/>
  <c r="V58" i="4" s="1"/>
  <c r="T30" i="4"/>
  <c r="U30" i="4" s="1"/>
  <c r="V30" i="4" s="1"/>
  <c r="P30" i="4"/>
  <c r="Q30" i="4" s="1"/>
  <c r="R30" i="4" s="1"/>
  <c r="T37" i="4"/>
  <c r="U37" i="4" s="1"/>
  <c r="V37" i="4" s="1"/>
  <c r="W37" i="4" s="1"/>
  <c r="P37" i="4"/>
  <c r="Q37" i="4" s="1"/>
  <c r="R37" i="4" s="1"/>
  <c r="P93" i="4"/>
  <c r="Q93" i="4" s="1"/>
  <c r="R93" i="4" s="1"/>
  <c r="T93" i="4"/>
  <c r="U93" i="4" s="1"/>
  <c r="V93" i="4" s="1"/>
  <c r="W93" i="4" s="1"/>
  <c r="O28" i="4"/>
  <c r="K28" i="4"/>
  <c r="L28" i="4" s="1"/>
  <c r="M28" i="4" s="1"/>
  <c r="T48" i="4"/>
  <c r="U48" i="4" s="1"/>
  <c r="P48" i="4"/>
  <c r="Q48" i="4" s="1"/>
  <c r="R48" i="4" s="1"/>
  <c r="O42" i="4"/>
  <c r="K42" i="4"/>
  <c r="L42" i="4" s="1"/>
  <c r="M42" i="4" s="1"/>
  <c r="O31" i="4"/>
  <c r="K31" i="4"/>
  <c r="L31" i="4" s="1"/>
  <c r="M31" i="4" s="1"/>
  <c r="T24" i="4"/>
  <c r="U24" i="4" s="1"/>
  <c r="V24" i="4" s="1"/>
  <c r="P24" i="4"/>
  <c r="Q24" i="4" s="1"/>
  <c r="R24" i="4" s="1"/>
  <c r="T39" i="4"/>
  <c r="U39" i="4" s="1"/>
  <c r="V39" i="4" s="1"/>
  <c r="W39" i="4" s="1"/>
  <c r="P39" i="4"/>
  <c r="Q39" i="4" s="1"/>
  <c r="R39" i="4" s="1"/>
  <c r="O57" i="4"/>
  <c r="K57" i="4"/>
  <c r="L57" i="4" s="1"/>
  <c r="M57" i="4" s="1"/>
  <c r="K34" i="4"/>
  <c r="O34" i="4"/>
  <c r="T43" i="4"/>
  <c r="U43" i="4" s="1"/>
  <c r="V43" i="4" s="1"/>
  <c r="W43" i="4" s="1"/>
  <c r="P43" i="4"/>
  <c r="Q43" i="4" s="1"/>
  <c r="R43" i="4" s="1"/>
  <c r="O47" i="4"/>
  <c r="K47" i="4"/>
  <c r="L47" i="4" s="1"/>
  <c r="M47" i="4" s="1"/>
  <c r="K29" i="4"/>
  <c r="L29" i="4" s="1"/>
  <c r="M29" i="4" s="1"/>
  <c r="O29" i="4"/>
  <c r="P52" i="4"/>
  <c r="Q52" i="4" s="1"/>
  <c r="R52" i="4" s="1"/>
  <c r="T52" i="4"/>
  <c r="U52" i="4" s="1"/>
  <c r="V52" i="4" s="1"/>
  <c r="P36" i="4"/>
  <c r="Q36" i="4" s="1"/>
  <c r="R36" i="4" s="1"/>
  <c r="T36" i="4"/>
  <c r="U36" i="4" s="1"/>
  <c r="V36" i="4" s="1"/>
  <c r="T23" i="4"/>
  <c r="U23" i="4" s="1"/>
  <c r="P23" i="4"/>
  <c r="Q23" i="4" s="1"/>
  <c r="R23" i="4" s="1"/>
  <c r="T44" i="4"/>
  <c r="U44" i="4" s="1"/>
  <c r="V44" i="4" s="1"/>
  <c r="P44" i="4"/>
  <c r="Q44" i="4" s="1"/>
  <c r="R44" i="4" s="1"/>
  <c r="T54" i="4"/>
  <c r="U54" i="4" s="1"/>
  <c r="P54" i="4"/>
  <c r="Q54" i="4" s="1"/>
  <c r="R54" i="4" s="1"/>
  <c r="P41" i="4"/>
  <c r="Q41" i="4" s="1"/>
  <c r="R41" i="4" s="1"/>
  <c r="T41" i="4"/>
  <c r="U41" i="4" s="1"/>
  <c r="V41" i="4" s="1"/>
  <c r="W41" i="4" s="1"/>
  <c r="T51" i="4"/>
  <c r="U51" i="4" s="1"/>
  <c r="V51" i="4" s="1"/>
  <c r="P51" i="4"/>
  <c r="Q51" i="4" s="1"/>
  <c r="R51" i="4" s="1"/>
  <c r="T35" i="4"/>
  <c r="U35" i="4" s="1"/>
  <c r="V35" i="4" s="1"/>
  <c r="P35" i="4"/>
  <c r="Q35" i="4" s="1"/>
  <c r="R35" i="4" s="1"/>
  <c r="T25" i="4"/>
  <c r="U25" i="4" s="1"/>
  <c r="V25" i="4" s="1"/>
  <c r="P25" i="4"/>
  <c r="Q25" i="4" s="1"/>
  <c r="R25" i="4" s="1"/>
  <c r="L34" i="4"/>
  <c r="M34" i="4" s="1"/>
  <c r="U27" i="3"/>
  <c r="V27" i="3" s="1"/>
  <c r="AC27" i="3" s="1"/>
  <c r="U42" i="3"/>
  <c r="V42" i="3" s="1"/>
  <c r="U31" i="3"/>
  <c r="V31" i="3" s="1"/>
  <c r="AC31" i="3" s="1"/>
  <c r="U47" i="3"/>
  <c r="V47" i="3" s="1"/>
  <c r="U48" i="3"/>
  <c r="V48" i="3" s="1"/>
  <c r="AC48" i="3" s="1"/>
  <c r="U34" i="3"/>
  <c r="V34" i="3" s="1"/>
  <c r="AC34" i="3" s="1"/>
  <c r="Z32" i="3"/>
  <c r="AA32" i="3" s="1"/>
  <c r="AC32" i="3" s="1"/>
  <c r="AC57" i="3"/>
  <c r="AC44" i="3"/>
  <c r="AC40" i="3"/>
  <c r="AC39" i="3"/>
  <c r="AC28" i="3"/>
  <c r="AC37" i="3"/>
  <c r="AC25" i="3"/>
  <c r="AC30" i="3"/>
  <c r="V48" i="4"/>
  <c r="V60" i="4"/>
  <c r="Q60" i="4"/>
  <c r="R60" i="4" s="1"/>
  <c r="AC22" i="3"/>
  <c r="AA42" i="3"/>
  <c r="AA52" i="3"/>
  <c r="AC52" i="3" s="1"/>
  <c r="AC36" i="3"/>
  <c r="AC54" i="3"/>
  <c r="AC41" i="3"/>
  <c r="AC45" i="3"/>
  <c r="AA60" i="3"/>
  <c r="AC60" i="3" s="1"/>
  <c r="AC56" i="3"/>
  <c r="V23" i="4"/>
  <c r="AC93" i="3"/>
  <c r="V54" i="4"/>
  <c r="AA51" i="3"/>
  <c r="AC51" i="3" s="1"/>
  <c r="AA47" i="3"/>
  <c r="AA24" i="3"/>
  <c r="AC24" i="3" s="1"/>
  <c r="AA43" i="3"/>
  <c r="AC43" i="3" s="1"/>
  <c r="AA29" i="3"/>
  <c r="AC29" i="3" s="1"/>
  <c r="AA35" i="3"/>
  <c r="AC35" i="3" s="1"/>
  <c r="AA58" i="3"/>
  <c r="AC58" i="3" s="1"/>
  <c r="AA23" i="3"/>
  <c r="AC23" i="3" s="1"/>
  <c r="P9" i="2"/>
  <c r="U9" i="2"/>
  <c r="V9" i="2" s="1"/>
  <c r="AC36" i="2"/>
  <c r="J64" i="3"/>
  <c r="J9" i="3"/>
  <c r="N9" i="3" s="1"/>
  <c r="O9" i="3" s="1"/>
  <c r="P9" i="3" s="1"/>
  <c r="J10" i="3"/>
  <c r="J11" i="3"/>
  <c r="J12" i="3"/>
  <c r="J14" i="3"/>
  <c r="J15" i="3"/>
  <c r="J16" i="3"/>
  <c r="J18" i="3"/>
  <c r="Z64" i="2"/>
  <c r="AA64" i="2" s="1"/>
  <c r="AA106" i="2" s="1"/>
  <c r="P64" i="2"/>
  <c r="Q64" i="2" s="1"/>
  <c r="AC42" i="3" l="1"/>
  <c r="T57" i="4"/>
  <c r="U57" i="4" s="1"/>
  <c r="V57" i="4" s="1"/>
  <c r="P57" i="4"/>
  <c r="Q57" i="4" s="1"/>
  <c r="R57" i="4" s="1"/>
  <c r="T42" i="4"/>
  <c r="U42" i="4" s="1"/>
  <c r="V42" i="4" s="1"/>
  <c r="W42" i="4" s="1"/>
  <c r="P42" i="4"/>
  <c r="Q42" i="4" s="1"/>
  <c r="R42" i="4" s="1"/>
  <c r="T28" i="4"/>
  <c r="U28" i="4" s="1"/>
  <c r="V28" i="4" s="1"/>
  <c r="P28" i="4"/>
  <c r="Q28" i="4" s="1"/>
  <c r="R28" i="4" s="1"/>
  <c r="P27" i="4"/>
  <c r="Q27" i="4" s="1"/>
  <c r="R27" i="4" s="1"/>
  <c r="T27" i="4"/>
  <c r="U27" i="4" s="1"/>
  <c r="V27" i="4" s="1"/>
  <c r="W27" i="4" s="1"/>
  <c r="T34" i="4"/>
  <c r="U34" i="4" s="1"/>
  <c r="V34" i="4" s="1"/>
  <c r="W34" i="4" s="1"/>
  <c r="P34" i="4"/>
  <c r="Q34" i="4" s="1"/>
  <c r="R34" i="4" s="1"/>
  <c r="T56" i="4"/>
  <c r="U56" i="4" s="1"/>
  <c r="V56" i="4" s="1"/>
  <c r="W56" i="4" s="1"/>
  <c r="P56" i="4"/>
  <c r="Q56" i="4" s="1"/>
  <c r="R56" i="4" s="1"/>
  <c r="T47" i="4"/>
  <c r="U47" i="4" s="1"/>
  <c r="V47" i="4" s="1"/>
  <c r="W47" i="4" s="1"/>
  <c r="P47" i="4"/>
  <c r="Q47" i="4" s="1"/>
  <c r="R47" i="4" s="1"/>
  <c r="P31" i="4"/>
  <c r="Q31" i="4" s="1"/>
  <c r="R31" i="4" s="1"/>
  <c r="T31" i="4"/>
  <c r="U31" i="4" s="1"/>
  <c r="V31" i="4" s="1"/>
  <c r="W31" i="4" s="1"/>
  <c r="T32" i="4"/>
  <c r="U32" i="4" s="1"/>
  <c r="V32" i="4" s="1"/>
  <c r="W32" i="4" s="1"/>
  <c r="P32" i="4"/>
  <c r="Q32" i="4" s="1"/>
  <c r="R32" i="4" s="1"/>
  <c r="T29" i="4"/>
  <c r="U29" i="4" s="1"/>
  <c r="V29" i="4" s="1"/>
  <c r="W29" i="4" s="1"/>
  <c r="P29" i="4"/>
  <c r="Q29" i="4" s="1"/>
  <c r="R29" i="4" s="1"/>
  <c r="AC47" i="3"/>
  <c r="Y45" i="4"/>
  <c r="Y43" i="4"/>
  <c r="Y41" i="4"/>
  <c r="W44" i="4"/>
  <c r="Y44" i="4" s="1"/>
  <c r="W23" i="4"/>
  <c r="Y23" i="4" s="1"/>
  <c r="W25" i="4"/>
  <c r="Y25" i="4" s="1"/>
  <c r="W30" i="4"/>
  <c r="Y30" i="4" s="1"/>
  <c r="Y37" i="4"/>
  <c r="Y39" i="4"/>
  <c r="W52" i="4"/>
  <c r="Y52" i="4" s="1"/>
  <c r="Q9" i="2"/>
  <c r="Q61" i="2" s="1"/>
  <c r="Q107" i="2" s="1"/>
  <c r="W40" i="4"/>
  <c r="Y40" i="4" s="1"/>
  <c r="W51" i="4"/>
  <c r="Y51" i="4" s="1"/>
  <c r="W35" i="4"/>
  <c r="Y35" i="4" s="1"/>
  <c r="W36" i="4"/>
  <c r="Y36" i="4" s="1"/>
  <c r="W57" i="4"/>
  <c r="W54" i="4"/>
  <c r="Y54" i="4" s="1"/>
  <c r="W58" i="4"/>
  <c r="Y58" i="4" s="1"/>
  <c r="W24" i="4"/>
  <c r="Y24" i="4" s="1"/>
  <c r="W22" i="4"/>
  <c r="Y22" i="4" s="1"/>
  <c r="W60" i="4"/>
  <c r="Y60" i="4" s="1"/>
  <c r="W48" i="4"/>
  <c r="Y48" i="4" s="1"/>
  <c r="W28" i="4"/>
  <c r="AC19" i="2"/>
  <c r="AC24" i="2"/>
  <c r="AC30" i="2"/>
  <c r="AC12" i="2"/>
  <c r="AC11" i="2"/>
  <c r="AC54" i="2"/>
  <c r="AC22" i="2"/>
  <c r="AC15" i="2"/>
  <c r="AC28" i="2"/>
  <c r="AC21" i="2"/>
  <c r="AC44" i="2"/>
  <c r="AC48" i="2"/>
  <c r="AC32" i="2"/>
  <c r="AC34" i="2"/>
  <c r="AC65" i="2"/>
  <c r="AC86" i="2"/>
  <c r="U64" i="2"/>
  <c r="V64" i="2" s="1"/>
  <c r="AC64" i="2" s="1"/>
  <c r="AC76" i="2"/>
  <c r="AC70" i="2"/>
  <c r="AC80" i="2"/>
  <c r="AC82" i="2"/>
  <c r="AC68" i="2"/>
  <c r="AC72" i="2"/>
  <c r="AC74" i="2"/>
  <c r="AC84" i="2"/>
  <c r="AC73" i="2"/>
  <c r="AC78" i="2"/>
  <c r="AC18" i="2"/>
  <c r="AC14" i="2"/>
  <c r="AC81" i="2"/>
  <c r="AC69" i="2"/>
  <c r="AC77" i="2"/>
  <c r="AC85" i="2"/>
  <c r="AC66" i="2"/>
  <c r="AC92" i="2"/>
  <c r="Q106" i="2"/>
  <c r="Z9" i="2"/>
  <c r="AA9" i="2" s="1"/>
  <c r="AC10" i="2"/>
  <c r="AC91" i="2"/>
  <c r="AC16" i="2"/>
  <c r="AC20" i="2"/>
  <c r="Y28" i="4" l="1"/>
  <c r="Y47" i="4"/>
  <c r="Y27" i="4"/>
  <c r="Y32" i="4"/>
  <c r="Y29" i="4"/>
  <c r="Y31" i="4"/>
  <c r="Y56" i="4"/>
  <c r="Y57" i="4"/>
  <c r="Y34" i="4"/>
  <c r="Y42" i="4"/>
  <c r="AC51" i="2"/>
  <c r="V61" i="2"/>
  <c r="V107" i="2" s="1"/>
  <c r="AC9" i="2"/>
  <c r="AA61" i="2"/>
  <c r="AA107" i="2" s="1"/>
  <c r="AC39" i="2"/>
  <c r="AC27" i="2"/>
  <c r="AC57" i="2"/>
  <c r="AC31" i="2"/>
  <c r="AC42" i="2"/>
  <c r="AC35" i="2"/>
  <c r="AC56" i="2"/>
  <c r="AC23" i="2"/>
  <c r="AC41" i="2"/>
  <c r="AC37" i="2"/>
  <c r="AC60" i="2"/>
  <c r="AC25" i="2"/>
  <c r="AC45" i="2"/>
  <c r="AC29" i="2"/>
  <c r="AC43" i="2"/>
  <c r="AC52" i="2"/>
  <c r="AC47" i="2"/>
  <c r="AC58" i="2"/>
  <c r="AC40" i="2"/>
  <c r="AC83" i="2"/>
  <c r="V106" i="2"/>
  <c r="AC75" i="2"/>
  <c r="AC67" i="2"/>
  <c r="AC71" i="2"/>
  <c r="AC79" i="2"/>
  <c r="AC61" i="2" l="1"/>
  <c r="AC107" i="2" s="1"/>
  <c r="AC106" i="2"/>
  <c r="L65" i="1" l="1"/>
  <c r="O65" i="1" s="1"/>
  <c r="P65" i="1" s="1"/>
  <c r="L66" i="1"/>
  <c r="O66" i="1" s="1"/>
  <c r="P66" i="1" s="1"/>
  <c r="L67" i="1"/>
  <c r="O67" i="1" s="1"/>
  <c r="P67" i="1" s="1"/>
  <c r="L68" i="1"/>
  <c r="O68" i="1" s="1"/>
  <c r="P68" i="1" s="1"/>
  <c r="L69" i="1"/>
  <c r="O69" i="1" s="1"/>
  <c r="P69" i="1" s="1"/>
  <c r="L70" i="1"/>
  <c r="O70" i="1" s="1"/>
  <c r="P70" i="1" s="1"/>
  <c r="L71" i="1"/>
  <c r="O71" i="1" s="1"/>
  <c r="P71" i="1" s="1"/>
  <c r="L72" i="1"/>
  <c r="O72" i="1" s="1"/>
  <c r="P72" i="1" s="1"/>
  <c r="L73" i="1"/>
  <c r="O73" i="1" s="1"/>
  <c r="P73" i="1" s="1"/>
  <c r="L74" i="1"/>
  <c r="O74" i="1" s="1"/>
  <c r="P74" i="1" s="1"/>
  <c r="L75" i="1"/>
  <c r="O75" i="1" s="1"/>
  <c r="P75" i="1" s="1"/>
  <c r="L76" i="1"/>
  <c r="O76" i="1" s="1"/>
  <c r="P76" i="1" s="1"/>
  <c r="L77" i="1"/>
  <c r="O77" i="1" s="1"/>
  <c r="P77" i="1" s="1"/>
  <c r="L78" i="1"/>
  <c r="O78" i="1" s="1"/>
  <c r="P78" i="1" s="1"/>
  <c r="L79" i="1"/>
  <c r="O79" i="1" s="1"/>
  <c r="P79" i="1" s="1"/>
  <c r="L80" i="1"/>
  <c r="O80" i="1" s="1"/>
  <c r="P80" i="1" s="1"/>
  <c r="L81" i="1"/>
  <c r="O81" i="1" s="1"/>
  <c r="P81" i="1" s="1"/>
  <c r="L82" i="1"/>
  <c r="O82" i="1" s="1"/>
  <c r="P82" i="1" s="1"/>
  <c r="L83" i="1"/>
  <c r="O83" i="1" s="1"/>
  <c r="P83" i="1" s="1"/>
  <c r="L84" i="1"/>
  <c r="O84" i="1" s="1"/>
  <c r="P84" i="1" s="1"/>
  <c r="L85" i="1"/>
  <c r="O85" i="1" s="1"/>
  <c r="P85" i="1" s="1"/>
  <c r="L86" i="1"/>
  <c r="O86" i="1" s="1"/>
  <c r="P86" i="1" s="1"/>
  <c r="L91" i="1"/>
  <c r="O91" i="1" s="1"/>
  <c r="P91" i="1" s="1"/>
  <c r="O95" i="1"/>
  <c r="O105" i="1"/>
  <c r="L64" i="1"/>
  <c r="P64" i="1" s="1"/>
  <c r="O9" i="1"/>
  <c r="P9" i="1" s="1"/>
  <c r="L10" i="1"/>
  <c r="O10" i="1" s="1"/>
  <c r="P10" i="1" s="1"/>
  <c r="L11" i="1"/>
  <c r="O11" i="1" s="1"/>
  <c r="P11" i="1" s="1"/>
  <c r="L12" i="1"/>
  <c r="O12" i="1" s="1"/>
  <c r="P12" i="1" s="1"/>
  <c r="L14" i="1"/>
  <c r="O14" i="1" s="1"/>
  <c r="P14" i="1" s="1"/>
  <c r="L15" i="1"/>
  <c r="O15" i="1" s="1"/>
  <c r="P15" i="1" s="1"/>
  <c r="L16" i="1"/>
  <c r="O16" i="1" s="1"/>
  <c r="P16" i="1" s="1"/>
  <c r="L18" i="1"/>
  <c r="O18" i="1" s="1"/>
  <c r="P18" i="1" s="1"/>
  <c r="L19" i="1"/>
  <c r="O19" i="1" s="1"/>
  <c r="P19" i="1" s="1"/>
  <c r="L20" i="1"/>
  <c r="O20" i="1" s="1"/>
  <c r="P20" i="1" s="1"/>
  <c r="L21" i="1"/>
  <c r="O21" i="1" s="1"/>
  <c r="P21" i="1" s="1"/>
  <c r="L95" i="3" l="1"/>
  <c r="N95" i="3" s="1"/>
  <c r="S95" i="3" s="1"/>
  <c r="P95" i="1"/>
  <c r="P105" i="1"/>
  <c r="Q105" i="1" s="1"/>
  <c r="R105" i="1" s="1"/>
  <c r="O95" i="3"/>
  <c r="P95" i="3" s="1"/>
  <c r="Q95" i="3" s="1"/>
  <c r="Q9" i="1"/>
  <c r="R9" i="1" s="1"/>
  <c r="L9" i="3"/>
  <c r="Q75" i="1"/>
  <c r="R75" i="1" s="1"/>
  <c r="L75" i="3"/>
  <c r="N75" i="3" s="1"/>
  <c r="Q16" i="1"/>
  <c r="R16" i="1" s="1"/>
  <c r="L16" i="3"/>
  <c r="N16" i="3" s="1"/>
  <c r="Q82" i="1"/>
  <c r="R82" i="1" s="1"/>
  <c r="L82" i="3"/>
  <c r="N82" i="3" s="1"/>
  <c r="Q67" i="1"/>
  <c r="R67" i="1" s="1"/>
  <c r="L67" i="3"/>
  <c r="N67" i="3" s="1"/>
  <c r="Q19" i="1"/>
  <c r="R19" i="1" s="1"/>
  <c r="L19" i="3"/>
  <c r="N19" i="3" s="1"/>
  <c r="Q15" i="1"/>
  <c r="R15" i="1" s="1"/>
  <c r="L15" i="3"/>
  <c r="N15" i="3" s="1"/>
  <c r="Q11" i="1"/>
  <c r="R11" i="1" s="1"/>
  <c r="L11" i="3"/>
  <c r="N11" i="3" s="1"/>
  <c r="Q64" i="1"/>
  <c r="R64" i="1" s="1"/>
  <c r="L64" i="3"/>
  <c r="N64" i="3" s="1"/>
  <c r="Q95" i="1"/>
  <c r="R95" i="1" s="1"/>
  <c r="Q85" i="1"/>
  <c r="R85" i="1" s="1"/>
  <c r="L85" i="3"/>
  <c r="N85" i="3" s="1"/>
  <c r="Q81" i="1"/>
  <c r="R81" i="1" s="1"/>
  <c r="L81" i="3"/>
  <c r="N81" i="3" s="1"/>
  <c r="Q77" i="1"/>
  <c r="R77" i="1" s="1"/>
  <c r="L77" i="3"/>
  <c r="N77" i="3" s="1"/>
  <c r="Q74" i="1"/>
  <c r="R74" i="1" s="1"/>
  <c r="L74" i="3"/>
  <c r="N74" i="3" s="1"/>
  <c r="Q70" i="1"/>
  <c r="R70" i="1" s="1"/>
  <c r="L70" i="3"/>
  <c r="N70" i="3" s="1"/>
  <c r="Q66" i="1"/>
  <c r="R66" i="1" s="1"/>
  <c r="L66" i="3"/>
  <c r="N66" i="3" s="1"/>
  <c r="Q12" i="1"/>
  <c r="R12" i="1" s="1"/>
  <c r="L12" i="3"/>
  <c r="N12" i="3" s="1"/>
  <c r="Q86" i="1"/>
  <c r="R86" i="1" s="1"/>
  <c r="L86" i="3"/>
  <c r="N86" i="3" s="1"/>
  <c r="Q71" i="1"/>
  <c r="R71" i="1" s="1"/>
  <c r="L71" i="3"/>
  <c r="N71" i="3" s="1"/>
  <c r="Q14" i="1"/>
  <c r="R14" i="1" s="1"/>
  <c r="L14" i="3"/>
  <c r="N14" i="3" s="1"/>
  <c r="Q10" i="1"/>
  <c r="R10" i="1" s="1"/>
  <c r="L10" i="3"/>
  <c r="N10" i="3" s="1"/>
  <c r="Q91" i="1"/>
  <c r="R91" i="1" s="1"/>
  <c r="L91" i="3"/>
  <c r="N91" i="3" s="1"/>
  <c r="Q84" i="1"/>
  <c r="R84" i="1" s="1"/>
  <c r="L84" i="3"/>
  <c r="N84" i="3" s="1"/>
  <c r="Q80" i="1"/>
  <c r="R80" i="1" s="1"/>
  <c r="L80" i="3"/>
  <c r="N80" i="3" s="1"/>
  <c r="Q76" i="1"/>
  <c r="R76" i="1" s="1"/>
  <c r="L76" i="3"/>
  <c r="N76" i="3" s="1"/>
  <c r="Q73" i="1"/>
  <c r="R73" i="1" s="1"/>
  <c r="L73" i="3"/>
  <c r="N73" i="3" s="1"/>
  <c r="Q69" i="1"/>
  <c r="R69" i="1" s="1"/>
  <c r="L69" i="3"/>
  <c r="N69" i="3" s="1"/>
  <c r="Q65" i="1"/>
  <c r="R65" i="1" s="1"/>
  <c r="L65" i="3"/>
  <c r="N65" i="3" s="1"/>
  <c r="Q20" i="1"/>
  <c r="R20" i="1" s="1"/>
  <c r="L20" i="3"/>
  <c r="N20" i="3" s="1"/>
  <c r="Q78" i="1"/>
  <c r="R78" i="1" s="1"/>
  <c r="L78" i="3"/>
  <c r="N78" i="3" s="1"/>
  <c r="Q18" i="1"/>
  <c r="R18" i="1" s="1"/>
  <c r="L18" i="3"/>
  <c r="N18" i="3" s="1"/>
  <c r="Q21" i="1"/>
  <c r="R21" i="1" s="1"/>
  <c r="L21" i="3"/>
  <c r="N21" i="3" s="1"/>
  <c r="Q83" i="1"/>
  <c r="R83" i="1" s="1"/>
  <c r="L83" i="3"/>
  <c r="N83" i="3" s="1"/>
  <c r="Q79" i="1"/>
  <c r="R79" i="1" s="1"/>
  <c r="L79" i="3"/>
  <c r="N79" i="3" s="1"/>
  <c r="Q72" i="1"/>
  <c r="R72" i="1" s="1"/>
  <c r="L72" i="3"/>
  <c r="N72" i="3" s="1"/>
  <c r="Q68" i="1"/>
  <c r="R68" i="1" s="1"/>
  <c r="L68" i="3"/>
  <c r="N68" i="3" s="1"/>
  <c r="J95" i="4" l="1"/>
  <c r="O95" i="4" s="1"/>
  <c r="O21" i="3"/>
  <c r="P21" i="3" s="1"/>
  <c r="Q21" i="3" s="1"/>
  <c r="S21" i="3"/>
  <c r="O11" i="3"/>
  <c r="S11" i="3"/>
  <c r="O19" i="3"/>
  <c r="P19" i="3" s="1"/>
  <c r="Q19" i="3" s="1"/>
  <c r="S19" i="3"/>
  <c r="O75" i="3"/>
  <c r="S75" i="3"/>
  <c r="O72" i="3"/>
  <c r="P72" i="3" s="1"/>
  <c r="Q72" i="3" s="1"/>
  <c r="S72" i="3"/>
  <c r="O65" i="3"/>
  <c r="P65" i="3" s="1"/>
  <c r="Q65" i="3" s="1"/>
  <c r="S65" i="3"/>
  <c r="O80" i="3"/>
  <c r="P80" i="3" s="1"/>
  <c r="Q80" i="3" s="1"/>
  <c r="S80" i="3"/>
  <c r="O14" i="3"/>
  <c r="S14" i="3"/>
  <c r="O86" i="3"/>
  <c r="P86" i="3" s="1"/>
  <c r="Q86" i="3" s="1"/>
  <c r="S86" i="3"/>
  <c r="O66" i="3"/>
  <c r="P66" i="3" s="1"/>
  <c r="Q66" i="3" s="1"/>
  <c r="S66" i="3"/>
  <c r="O74" i="3"/>
  <c r="P74" i="3" s="1"/>
  <c r="Q74" i="3" s="1"/>
  <c r="S74" i="3"/>
  <c r="O81" i="3"/>
  <c r="P81" i="3" s="1"/>
  <c r="Q81" i="3" s="1"/>
  <c r="S81" i="3"/>
  <c r="O18" i="3"/>
  <c r="S18" i="3"/>
  <c r="O64" i="3"/>
  <c r="P64" i="3" s="1"/>
  <c r="Q64" i="3" s="1"/>
  <c r="S64" i="3"/>
  <c r="O15" i="3"/>
  <c r="P15" i="3" s="1"/>
  <c r="Q15" i="3" s="1"/>
  <c r="S15" i="3"/>
  <c r="O67" i="3"/>
  <c r="P67" i="3" s="1"/>
  <c r="Q67" i="3" s="1"/>
  <c r="S67" i="3"/>
  <c r="O16" i="3"/>
  <c r="S16" i="3"/>
  <c r="S9" i="3"/>
  <c r="T95" i="3"/>
  <c r="U95" i="3" s="1"/>
  <c r="V95" i="3" s="1"/>
  <c r="X95" i="3"/>
  <c r="Y95" i="3" s="1"/>
  <c r="O78" i="3"/>
  <c r="P78" i="3" s="1"/>
  <c r="Q78" i="3" s="1"/>
  <c r="S78" i="3"/>
  <c r="O82" i="3"/>
  <c r="P82" i="3" s="1"/>
  <c r="Q82" i="3" s="1"/>
  <c r="S82" i="3"/>
  <c r="O83" i="3"/>
  <c r="S83" i="3"/>
  <c r="O73" i="3"/>
  <c r="P73" i="3" s="1"/>
  <c r="Q73" i="3" s="1"/>
  <c r="S73" i="3"/>
  <c r="O91" i="3"/>
  <c r="S91" i="3"/>
  <c r="O68" i="3"/>
  <c r="P68" i="3" s="1"/>
  <c r="Q68" i="3" s="1"/>
  <c r="S68" i="3"/>
  <c r="O79" i="3"/>
  <c r="P79" i="3" s="1"/>
  <c r="Q79" i="3" s="1"/>
  <c r="S79" i="3"/>
  <c r="O20" i="3"/>
  <c r="P20" i="3" s="1"/>
  <c r="Q20" i="3" s="1"/>
  <c r="S20" i="3"/>
  <c r="O69" i="3"/>
  <c r="P69" i="3" s="1"/>
  <c r="Q69" i="3" s="1"/>
  <c r="S69" i="3"/>
  <c r="O76" i="3"/>
  <c r="P76" i="3" s="1"/>
  <c r="Q76" i="3" s="1"/>
  <c r="S76" i="3"/>
  <c r="O84" i="3"/>
  <c r="S84" i="3"/>
  <c r="O10" i="3"/>
  <c r="P10" i="3" s="1"/>
  <c r="Q10" i="3" s="1"/>
  <c r="S10" i="3"/>
  <c r="O71" i="3"/>
  <c r="P71" i="3" s="1"/>
  <c r="Q71" i="3" s="1"/>
  <c r="S71" i="3"/>
  <c r="O12" i="3"/>
  <c r="S12" i="3"/>
  <c r="O70" i="3"/>
  <c r="P70" i="3" s="1"/>
  <c r="Q70" i="3" s="1"/>
  <c r="S70" i="3"/>
  <c r="O77" i="3"/>
  <c r="P77" i="3" s="1"/>
  <c r="Q77" i="3" s="1"/>
  <c r="S77" i="3"/>
  <c r="O85" i="3"/>
  <c r="P85" i="3" s="1"/>
  <c r="Q85" i="3" s="1"/>
  <c r="S85" i="3"/>
  <c r="K95" i="4"/>
  <c r="L95" i="4" s="1"/>
  <c r="M95" i="4" s="1"/>
  <c r="J84" i="4"/>
  <c r="J85" i="4"/>
  <c r="J91" i="4"/>
  <c r="J86" i="4"/>
  <c r="Z95" i="3"/>
  <c r="AA95" i="3" s="1"/>
  <c r="R49" i="1"/>
  <c r="R61" i="1" s="1"/>
  <c r="R107" i="1" s="1"/>
  <c r="R106" i="1"/>
  <c r="J68" i="4"/>
  <c r="J73" i="4"/>
  <c r="P14" i="3"/>
  <c r="Q14" i="3" s="1"/>
  <c r="J14" i="4"/>
  <c r="J65" i="4"/>
  <c r="P91" i="3"/>
  <c r="Q91" i="3" s="1"/>
  <c r="J66" i="4"/>
  <c r="J81" i="4"/>
  <c r="J15" i="4"/>
  <c r="J83" i="4"/>
  <c r="P83" i="3"/>
  <c r="Q83" i="3" s="1"/>
  <c r="J78" i="4"/>
  <c r="J69" i="4"/>
  <c r="J76" i="4"/>
  <c r="P84" i="3"/>
  <c r="Q84" i="3" s="1"/>
  <c r="J10" i="4"/>
  <c r="J71" i="4"/>
  <c r="J70" i="4"/>
  <c r="J77" i="4"/>
  <c r="J64" i="4"/>
  <c r="J82" i="4"/>
  <c r="P75" i="3"/>
  <c r="Q75" i="3" s="1"/>
  <c r="J75" i="4"/>
  <c r="J9" i="4"/>
  <c r="J79" i="4"/>
  <c r="J80" i="4"/>
  <c r="J74" i="4"/>
  <c r="J67" i="4"/>
  <c r="J72" i="4"/>
  <c r="T71" i="3" l="1"/>
  <c r="X71" i="3"/>
  <c r="Y71" i="3" s="1"/>
  <c r="T83" i="3"/>
  <c r="U83" i="3" s="1"/>
  <c r="V83" i="3" s="1"/>
  <c r="X83" i="3"/>
  <c r="Y83" i="3" s="1"/>
  <c r="Z83" i="3" s="1"/>
  <c r="AA83" i="3" s="1"/>
  <c r="T65" i="3"/>
  <c r="X65" i="3"/>
  <c r="Y65" i="3" s="1"/>
  <c r="T85" i="3"/>
  <c r="U85" i="3" s="1"/>
  <c r="V85" i="3" s="1"/>
  <c r="X85" i="3"/>
  <c r="Y85" i="3" s="1"/>
  <c r="Z85" i="3" s="1"/>
  <c r="AA85" i="3" s="1"/>
  <c r="T84" i="3"/>
  <c r="X84" i="3"/>
  <c r="Y84" i="3" s="1"/>
  <c r="Z84" i="3" s="1"/>
  <c r="AA84" i="3" s="1"/>
  <c r="T79" i="3"/>
  <c r="U79" i="3" s="1"/>
  <c r="V79" i="3" s="1"/>
  <c r="X79" i="3"/>
  <c r="Y79" i="3" s="1"/>
  <c r="Z79" i="3" s="1"/>
  <c r="AA79" i="3" s="1"/>
  <c r="T78" i="3"/>
  <c r="X78" i="3"/>
  <c r="Y78" i="3" s="1"/>
  <c r="T67" i="3"/>
  <c r="U67" i="3" s="1"/>
  <c r="V67" i="3" s="1"/>
  <c r="X67" i="3"/>
  <c r="Y67" i="3" s="1"/>
  <c r="Z67" i="3" s="1"/>
  <c r="AA67" i="3" s="1"/>
  <c r="T81" i="3"/>
  <c r="X81" i="3"/>
  <c r="Y81" i="3" s="1"/>
  <c r="T14" i="3"/>
  <c r="U14" i="3" s="1"/>
  <c r="V14" i="3" s="1"/>
  <c r="X14" i="3"/>
  <c r="Y14" i="3" s="1"/>
  <c r="Z14" i="3" s="1"/>
  <c r="AA14" i="3" s="1"/>
  <c r="T11" i="3"/>
  <c r="X11" i="3"/>
  <c r="Y11" i="3" s="1"/>
  <c r="T77" i="3"/>
  <c r="U77" i="3" s="1"/>
  <c r="V77" i="3" s="1"/>
  <c r="X77" i="3"/>
  <c r="Y77" i="3" s="1"/>
  <c r="Z77" i="3" s="1"/>
  <c r="AA77" i="3" s="1"/>
  <c r="T12" i="3"/>
  <c r="X12" i="3"/>
  <c r="Y12" i="3" s="1"/>
  <c r="T10" i="3"/>
  <c r="U10" i="3" s="1"/>
  <c r="V10" i="3" s="1"/>
  <c r="X10" i="3"/>
  <c r="Y10" i="3" s="1"/>
  <c r="Z10" i="3" s="1"/>
  <c r="AA10" i="3" s="1"/>
  <c r="T76" i="3"/>
  <c r="X76" i="3"/>
  <c r="Y76" i="3" s="1"/>
  <c r="T20" i="3"/>
  <c r="U20" i="3" s="1"/>
  <c r="V20" i="3" s="1"/>
  <c r="X20" i="3"/>
  <c r="Y20" i="3" s="1"/>
  <c r="Z20" i="3" s="1"/>
  <c r="AA20" i="3" s="1"/>
  <c r="T68" i="3"/>
  <c r="X68" i="3"/>
  <c r="Y68" i="3" s="1"/>
  <c r="T73" i="3"/>
  <c r="U73" i="3" s="1"/>
  <c r="V73" i="3" s="1"/>
  <c r="X73" i="3"/>
  <c r="Y73" i="3" s="1"/>
  <c r="Z73" i="3" s="1"/>
  <c r="AA73" i="3" s="1"/>
  <c r="T82" i="3"/>
  <c r="X82" i="3"/>
  <c r="Y82" i="3" s="1"/>
  <c r="Z82" i="3" s="1"/>
  <c r="AA82" i="3" s="1"/>
  <c r="T16" i="3"/>
  <c r="U16" i="3" s="1"/>
  <c r="V16" i="3" s="1"/>
  <c r="X16" i="3"/>
  <c r="Y16" i="3" s="1"/>
  <c r="Z16" i="3" s="1"/>
  <c r="AA16" i="3" s="1"/>
  <c r="T15" i="3"/>
  <c r="X15" i="3"/>
  <c r="Y15" i="3" s="1"/>
  <c r="T18" i="3"/>
  <c r="U18" i="3" s="1"/>
  <c r="V18" i="3" s="1"/>
  <c r="X18" i="3"/>
  <c r="Y18" i="3" s="1"/>
  <c r="Z18" i="3" s="1"/>
  <c r="AA18" i="3" s="1"/>
  <c r="T74" i="3"/>
  <c r="X74" i="3"/>
  <c r="Y74" i="3" s="1"/>
  <c r="T86" i="3"/>
  <c r="U86" i="3" s="1"/>
  <c r="V86" i="3" s="1"/>
  <c r="X86" i="3"/>
  <c r="Y86" i="3" s="1"/>
  <c r="Z86" i="3" s="1"/>
  <c r="T80" i="3"/>
  <c r="X80" i="3"/>
  <c r="Y80" i="3" s="1"/>
  <c r="T72" i="3"/>
  <c r="U72" i="3" s="1"/>
  <c r="V72" i="3" s="1"/>
  <c r="X72" i="3"/>
  <c r="Y72" i="3" s="1"/>
  <c r="Z72" i="3" s="1"/>
  <c r="AA72" i="3" s="1"/>
  <c r="T19" i="3"/>
  <c r="X19" i="3"/>
  <c r="Y19" i="3" s="1"/>
  <c r="Z19" i="3" s="1"/>
  <c r="AA19" i="3" s="1"/>
  <c r="T21" i="3"/>
  <c r="U21" i="3" s="1"/>
  <c r="V21" i="3" s="1"/>
  <c r="X21" i="3"/>
  <c r="Y21" i="3" s="1"/>
  <c r="Z21" i="3" s="1"/>
  <c r="AA21" i="3" s="1"/>
  <c r="T70" i="3"/>
  <c r="X70" i="3"/>
  <c r="Y70" i="3" s="1"/>
  <c r="T69" i="3"/>
  <c r="U69" i="3" s="1"/>
  <c r="V69" i="3" s="1"/>
  <c r="X69" i="3"/>
  <c r="Y69" i="3" s="1"/>
  <c r="Z69" i="3" s="1"/>
  <c r="AA69" i="3" s="1"/>
  <c r="T91" i="3"/>
  <c r="X91" i="3"/>
  <c r="Y91" i="3" s="1"/>
  <c r="X9" i="3"/>
  <c r="Y9" i="3" s="1"/>
  <c r="Z9" i="3" s="1"/>
  <c r="AA9" i="3" s="1"/>
  <c r="T9" i="3"/>
  <c r="U9" i="3" s="1"/>
  <c r="V9" i="3" s="1"/>
  <c r="T64" i="3"/>
  <c r="X64" i="3"/>
  <c r="Y64" i="3" s="1"/>
  <c r="Z64" i="3" s="1"/>
  <c r="AA64" i="3" s="1"/>
  <c r="T66" i="3"/>
  <c r="U66" i="3" s="1"/>
  <c r="V66" i="3" s="1"/>
  <c r="X66" i="3"/>
  <c r="Y66" i="3" s="1"/>
  <c r="Z66" i="3" s="1"/>
  <c r="AA66" i="3" s="1"/>
  <c r="T75" i="3"/>
  <c r="X75" i="3"/>
  <c r="Y75" i="3" s="1"/>
  <c r="K75" i="4"/>
  <c r="L75" i="4" s="1"/>
  <c r="M75" i="4" s="1"/>
  <c r="O75" i="4"/>
  <c r="K66" i="4"/>
  <c r="O66" i="4"/>
  <c r="K72" i="4"/>
  <c r="L72" i="4" s="1"/>
  <c r="M72" i="4" s="1"/>
  <c r="O72" i="4"/>
  <c r="K79" i="4"/>
  <c r="O79" i="4"/>
  <c r="K64" i="4"/>
  <c r="L64" i="4" s="1"/>
  <c r="M64" i="4" s="1"/>
  <c r="O64" i="4"/>
  <c r="K76" i="4"/>
  <c r="L76" i="4" s="1"/>
  <c r="M76" i="4" s="1"/>
  <c r="O76" i="4"/>
  <c r="O81" i="4"/>
  <c r="K81" i="4"/>
  <c r="L81" i="4" s="1"/>
  <c r="M81" i="4" s="1"/>
  <c r="O14" i="4"/>
  <c r="K14" i="4"/>
  <c r="L14" i="4" s="1"/>
  <c r="M14" i="4" s="1"/>
  <c r="K84" i="4"/>
  <c r="L84" i="4" s="1"/>
  <c r="M84" i="4" s="1"/>
  <c r="O84" i="4"/>
  <c r="K74" i="4"/>
  <c r="O74" i="4"/>
  <c r="K71" i="4"/>
  <c r="L71" i="4" s="1"/>
  <c r="M71" i="4" s="1"/>
  <c r="O71" i="4"/>
  <c r="O69" i="4"/>
  <c r="K69" i="4"/>
  <c r="L69" i="4" s="1"/>
  <c r="M69" i="4" s="1"/>
  <c r="K67" i="4"/>
  <c r="L67" i="4" s="1"/>
  <c r="M67" i="4" s="1"/>
  <c r="O67" i="4"/>
  <c r="K70" i="4"/>
  <c r="O70" i="4"/>
  <c r="K83" i="4"/>
  <c r="L83" i="4" s="1"/>
  <c r="M83" i="4" s="1"/>
  <c r="O83" i="4"/>
  <c r="K68" i="4"/>
  <c r="O68" i="4"/>
  <c r="K86" i="4"/>
  <c r="L86" i="4" s="1"/>
  <c r="M86" i="4" s="1"/>
  <c r="O86" i="4"/>
  <c r="P95" i="4"/>
  <c r="T95" i="4"/>
  <c r="U95" i="4" s="1"/>
  <c r="V95" i="4" s="1"/>
  <c r="W95" i="4" s="1"/>
  <c r="K80" i="4"/>
  <c r="L80" i="4" s="1"/>
  <c r="M80" i="4" s="1"/>
  <c r="O80" i="4"/>
  <c r="O77" i="4"/>
  <c r="K77" i="4"/>
  <c r="L77" i="4" s="1"/>
  <c r="M77" i="4" s="1"/>
  <c r="K15" i="4"/>
  <c r="L15" i="4" s="1"/>
  <c r="M15" i="4" s="1"/>
  <c r="O15" i="4"/>
  <c r="O85" i="4"/>
  <c r="K85" i="4"/>
  <c r="L85" i="4" s="1"/>
  <c r="M85" i="4" s="1"/>
  <c r="O9" i="4"/>
  <c r="K9" i="4"/>
  <c r="L9" i="4" s="1"/>
  <c r="M9" i="4" s="1"/>
  <c r="K82" i="4"/>
  <c r="L82" i="4" s="1"/>
  <c r="M82" i="4" s="1"/>
  <c r="O82" i="4"/>
  <c r="K10" i="4"/>
  <c r="L10" i="4" s="1"/>
  <c r="M10" i="4" s="1"/>
  <c r="O10" i="4"/>
  <c r="K78" i="4"/>
  <c r="O78" i="4"/>
  <c r="O65" i="4"/>
  <c r="K65" i="4"/>
  <c r="L65" i="4" s="1"/>
  <c r="M65" i="4" s="1"/>
  <c r="O73" i="4"/>
  <c r="K73" i="4"/>
  <c r="L73" i="4" s="1"/>
  <c r="M73" i="4" s="1"/>
  <c r="K91" i="4"/>
  <c r="L91" i="4" s="1"/>
  <c r="M91" i="4" s="1"/>
  <c r="O91" i="4"/>
  <c r="Q9" i="3"/>
  <c r="J19" i="4"/>
  <c r="J16" i="4"/>
  <c r="J18" i="4"/>
  <c r="P16" i="3"/>
  <c r="Q16" i="3" s="1"/>
  <c r="J21" i="4"/>
  <c r="J20" i="4"/>
  <c r="Z11" i="3"/>
  <c r="AA11" i="3" s="1"/>
  <c r="P12" i="3"/>
  <c r="Q12" i="3" s="1"/>
  <c r="Z12" i="3"/>
  <c r="AA12" i="3" s="1"/>
  <c r="J11" i="4"/>
  <c r="P11" i="3"/>
  <c r="Q11" i="3" s="1"/>
  <c r="P18" i="3"/>
  <c r="Q18" i="3" s="1"/>
  <c r="J12" i="4"/>
  <c r="AC95" i="3"/>
  <c r="Q95" i="4"/>
  <c r="R95" i="4" s="1"/>
  <c r="L70" i="4"/>
  <c r="M70" i="4" s="1"/>
  <c r="Z76" i="3"/>
  <c r="AA76" i="3" s="1"/>
  <c r="U76" i="3"/>
  <c r="V76" i="3" s="1"/>
  <c r="L66" i="4"/>
  <c r="M66" i="4" s="1"/>
  <c r="L74" i="4"/>
  <c r="M74" i="4" s="1"/>
  <c r="L79" i="4"/>
  <c r="M79" i="4" s="1"/>
  <c r="Z71" i="3"/>
  <c r="AA71" i="3" s="1"/>
  <c r="U71" i="3"/>
  <c r="V71" i="3" s="1"/>
  <c r="L78" i="4"/>
  <c r="M78" i="4" s="1"/>
  <c r="Z81" i="3"/>
  <c r="AA81" i="3" s="1"/>
  <c r="U81" i="3"/>
  <c r="V81" i="3" s="1"/>
  <c r="Z91" i="3"/>
  <c r="AA91" i="3" s="1"/>
  <c r="U91" i="3"/>
  <c r="V91" i="3" s="1"/>
  <c r="Z65" i="3"/>
  <c r="AA65" i="3" s="1"/>
  <c r="U65" i="3"/>
  <c r="V65" i="3" s="1"/>
  <c r="Q106" i="3"/>
  <c r="U82" i="3"/>
  <c r="V82" i="3" s="1"/>
  <c r="U19" i="3"/>
  <c r="V19" i="3" s="1"/>
  <c r="U12" i="3"/>
  <c r="V12" i="3" s="1"/>
  <c r="Z15" i="3"/>
  <c r="AA15" i="3" s="1"/>
  <c r="U15" i="3"/>
  <c r="V15" i="3" s="1"/>
  <c r="Z68" i="3"/>
  <c r="AA68" i="3" s="1"/>
  <c r="U68" i="3"/>
  <c r="V68" i="3" s="1"/>
  <c r="Z74" i="3"/>
  <c r="AA74" i="3" s="1"/>
  <c r="U74" i="3"/>
  <c r="V74" i="3" s="1"/>
  <c r="Z80" i="3"/>
  <c r="AA80" i="3" s="1"/>
  <c r="U80" i="3"/>
  <c r="V80" i="3" s="1"/>
  <c r="Z75" i="3"/>
  <c r="AA75" i="3" s="1"/>
  <c r="U75" i="3"/>
  <c r="V75" i="3" s="1"/>
  <c r="U64" i="3"/>
  <c r="V64" i="3" s="1"/>
  <c r="Z70" i="3"/>
  <c r="AA70" i="3" s="1"/>
  <c r="U70" i="3"/>
  <c r="V70" i="3" s="1"/>
  <c r="U84" i="3"/>
  <c r="V84" i="3" s="1"/>
  <c r="Z78" i="3"/>
  <c r="AA78" i="3" s="1"/>
  <c r="U78" i="3"/>
  <c r="V78" i="3" s="1"/>
  <c r="L68" i="4"/>
  <c r="M68" i="4" s="1"/>
  <c r="AC9" i="3" l="1"/>
  <c r="W105" i="4"/>
  <c r="Y105" i="4" s="1"/>
  <c r="P68" i="4"/>
  <c r="Q68" i="4" s="1"/>
  <c r="R68" i="4" s="1"/>
  <c r="T68" i="4"/>
  <c r="U68" i="4" s="1"/>
  <c r="P79" i="4"/>
  <c r="Q79" i="4" s="1"/>
  <c r="R79" i="4" s="1"/>
  <c r="T79" i="4"/>
  <c r="U79" i="4" s="1"/>
  <c r="V79" i="4" s="1"/>
  <c r="W79" i="4" s="1"/>
  <c r="O11" i="4"/>
  <c r="K11" i="4"/>
  <c r="L11" i="4" s="1"/>
  <c r="M11" i="4" s="1"/>
  <c r="K20" i="4"/>
  <c r="L20" i="4" s="1"/>
  <c r="M20" i="4" s="1"/>
  <c r="O20" i="4"/>
  <c r="O18" i="4"/>
  <c r="K18" i="4"/>
  <c r="L18" i="4" s="1"/>
  <c r="M18" i="4" s="1"/>
  <c r="P73" i="4"/>
  <c r="Q73" i="4" s="1"/>
  <c r="R73" i="4" s="1"/>
  <c r="T73" i="4"/>
  <c r="U73" i="4" s="1"/>
  <c r="V73" i="4" s="1"/>
  <c r="W73" i="4" s="1"/>
  <c r="P85" i="4"/>
  <c r="Q85" i="4" s="1"/>
  <c r="R85" i="4" s="1"/>
  <c r="T85" i="4"/>
  <c r="U85" i="4" s="1"/>
  <c r="V85" i="4" s="1"/>
  <c r="W85" i="4" s="1"/>
  <c r="P77" i="4"/>
  <c r="Q77" i="4" s="1"/>
  <c r="R77" i="4" s="1"/>
  <c r="T77" i="4"/>
  <c r="U77" i="4" s="1"/>
  <c r="V77" i="4" s="1"/>
  <c r="W77" i="4" s="1"/>
  <c r="P69" i="4"/>
  <c r="Q69" i="4" s="1"/>
  <c r="R69" i="4" s="1"/>
  <c r="T69" i="4"/>
  <c r="U69" i="4" s="1"/>
  <c r="V69" i="4" s="1"/>
  <c r="W69" i="4" s="1"/>
  <c r="T14" i="4"/>
  <c r="U14" i="4" s="1"/>
  <c r="V14" i="4" s="1"/>
  <c r="W14" i="4" s="1"/>
  <c r="P14" i="4"/>
  <c r="Q14" i="4" s="1"/>
  <c r="R14" i="4" s="1"/>
  <c r="P78" i="4"/>
  <c r="Q78" i="4" s="1"/>
  <c r="R78" i="4" s="1"/>
  <c r="T78" i="4"/>
  <c r="U78" i="4" s="1"/>
  <c r="V78" i="4" s="1"/>
  <c r="W78" i="4" s="1"/>
  <c r="P82" i="4"/>
  <c r="Q82" i="4" s="1"/>
  <c r="R82" i="4" s="1"/>
  <c r="T82" i="4"/>
  <c r="U82" i="4" s="1"/>
  <c r="V82" i="4" s="1"/>
  <c r="W82" i="4" s="1"/>
  <c r="P70" i="4"/>
  <c r="Q70" i="4" s="1"/>
  <c r="R70" i="4" s="1"/>
  <c r="T70" i="4"/>
  <c r="U70" i="4" s="1"/>
  <c r="P74" i="4"/>
  <c r="Q74" i="4" s="1"/>
  <c r="R74" i="4" s="1"/>
  <c r="T74" i="4"/>
  <c r="U74" i="4" s="1"/>
  <c r="V74" i="4" s="1"/>
  <c r="W74" i="4" s="1"/>
  <c r="P76" i="4"/>
  <c r="Q76" i="4" s="1"/>
  <c r="R76" i="4" s="1"/>
  <c r="T76" i="4"/>
  <c r="U76" i="4" s="1"/>
  <c r="V76" i="4" s="1"/>
  <c r="W76" i="4" s="1"/>
  <c r="P91" i="4"/>
  <c r="Q91" i="4" s="1"/>
  <c r="R91" i="4" s="1"/>
  <c r="T91" i="4"/>
  <c r="U91" i="4" s="1"/>
  <c r="V91" i="4" s="1"/>
  <c r="W91" i="4" s="1"/>
  <c r="Y91" i="4" s="1"/>
  <c r="T10" i="4"/>
  <c r="U10" i="4" s="1"/>
  <c r="V10" i="4" s="1"/>
  <c r="W10" i="4" s="1"/>
  <c r="P10" i="4"/>
  <c r="Q10" i="4" s="1"/>
  <c r="R10" i="4" s="1"/>
  <c r="T15" i="4"/>
  <c r="U15" i="4" s="1"/>
  <c r="V15" i="4" s="1"/>
  <c r="W15" i="4" s="1"/>
  <c r="P15" i="4"/>
  <c r="Q15" i="4" s="1"/>
  <c r="R15" i="4" s="1"/>
  <c r="P80" i="4"/>
  <c r="Q80" i="4" s="1"/>
  <c r="R80" i="4" s="1"/>
  <c r="T80" i="4"/>
  <c r="U80" i="4" s="1"/>
  <c r="P86" i="4"/>
  <c r="Q86" i="4" s="1"/>
  <c r="R86" i="4" s="1"/>
  <c r="T86" i="4"/>
  <c r="U86" i="4" s="1"/>
  <c r="V86" i="4" s="1"/>
  <c r="W86" i="4" s="1"/>
  <c r="Y86" i="4" s="1"/>
  <c r="P83" i="4"/>
  <c r="Q83" i="4" s="1"/>
  <c r="R83" i="4" s="1"/>
  <c r="T83" i="4"/>
  <c r="U83" i="4" s="1"/>
  <c r="V83" i="4" s="1"/>
  <c r="W83" i="4" s="1"/>
  <c r="P67" i="4"/>
  <c r="Q67" i="4" s="1"/>
  <c r="R67" i="4" s="1"/>
  <c r="T67" i="4"/>
  <c r="U67" i="4" s="1"/>
  <c r="V67" i="4" s="1"/>
  <c r="W67" i="4" s="1"/>
  <c r="P71" i="4"/>
  <c r="Q71" i="4" s="1"/>
  <c r="R71" i="4" s="1"/>
  <c r="T71" i="4"/>
  <c r="U71" i="4" s="1"/>
  <c r="V71" i="4" s="1"/>
  <c r="W71" i="4" s="1"/>
  <c r="P84" i="4"/>
  <c r="Q84" i="4" s="1"/>
  <c r="R84" i="4" s="1"/>
  <c r="T84" i="4"/>
  <c r="U84" i="4" s="1"/>
  <c r="V84" i="4" s="1"/>
  <c r="W84" i="4" s="1"/>
  <c r="Y84" i="4" s="1"/>
  <c r="P64" i="4"/>
  <c r="Q64" i="4" s="1"/>
  <c r="R64" i="4" s="1"/>
  <c r="T64" i="4"/>
  <c r="U64" i="4" s="1"/>
  <c r="P72" i="4"/>
  <c r="Q72" i="4" s="1"/>
  <c r="R72" i="4" s="1"/>
  <c r="T72" i="4"/>
  <c r="U72" i="4" s="1"/>
  <c r="V72" i="4" s="1"/>
  <c r="W72" i="4" s="1"/>
  <c r="P75" i="4"/>
  <c r="Q75" i="4" s="1"/>
  <c r="R75" i="4" s="1"/>
  <c r="T75" i="4"/>
  <c r="U75" i="4" s="1"/>
  <c r="V75" i="4" s="1"/>
  <c r="W75" i="4" s="1"/>
  <c r="P66" i="4"/>
  <c r="Q66" i="4" s="1"/>
  <c r="R66" i="4" s="1"/>
  <c r="T66" i="4"/>
  <c r="U66" i="4" s="1"/>
  <c r="V66" i="4" s="1"/>
  <c r="W66" i="4" s="1"/>
  <c r="O12" i="4"/>
  <c r="K12" i="4"/>
  <c r="L12" i="4" s="1"/>
  <c r="M12" i="4" s="1"/>
  <c r="O21" i="4"/>
  <c r="K21" i="4"/>
  <c r="L21" i="4" s="1"/>
  <c r="M21" i="4" s="1"/>
  <c r="O16" i="4"/>
  <c r="K16" i="4"/>
  <c r="L16" i="4" s="1"/>
  <c r="M16" i="4" s="1"/>
  <c r="O19" i="4"/>
  <c r="K19" i="4"/>
  <c r="L19" i="4" s="1"/>
  <c r="M19" i="4" s="1"/>
  <c r="P65" i="4"/>
  <c r="Q65" i="4" s="1"/>
  <c r="R65" i="4" s="1"/>
  <c r="T65" i="4"/>
  <c r="U65" i="4" s="1"/>
  <c r="V65" i="4" s="1"/>
  <c r="W65" i="4" s="1"/>
  <c r="T9" i="4"/>
  <c r="U9" i="4" s="1"/>
  <c r="V9" i="4" s="1"/>
  <c r="W9" i="4" s="1"/>
  <c r="P9" i="4"/>
  <c r="Q9" i="4" s="1"/>
  <c r="R9" i="4" s="1"/>
  <c r="P81" i="4"/>
  <c r="Q81" i="4" s="1"/>
  <c r="R81" i="4" s="1"/>
  <c r="T81" i="4"/>
  <c r="U81" i="4" s="1"/>
  <c r="V81" i="4" s="1"/>
  <c r="W81" i="4" s="1"/>
  <c r="Q61" i="3"/>
  <c r="Q107" i="3" s="1"/>
  <c r="U11" i="3"/>
  <c r="V11" i="3" s="1"/>
  <c r="V61" i="3" s="1"/>
  <c r="V107" i="3" s="1"/>
  <c r="AC91" i="3"/>
  <c r="AC18" i="3"/>
  <c r="AC74" i="3"/>
  <c r="AC72" i="3"/>
  <c r="AC14" i="3"/>
  <c r="AC78" i="3"/>
  <c r="AC84" i="3"/>
  <c r="AC70" i="3"/>
  <c r="AC15" i="3"/>
  <c r="AC10" i="3"/>
  <c r="AC12" i="3"/>
  <c r="AC79" i="3"/>
  <c r="AC80" i="3"/>
  <c r="AC69" i="3"/>
  <c r="AC73" i="3"/>
  <c r="AC65" i="3"/>
  <c r="AC71" i="3"/>
  <c r="AC85" i="3"/>
  <c r="AC76" i="3"/>
  <c r="AC77" i="3"/>
  <c r="AC67" i="3"/>
  <c r="V70" i="4"/>
  <c r="W70" i="4" s="1"/>
  <c r="AC83" i="3"/>
  <c r="AC75" i="3"/>
  <c r="AA61" i="3"/>
  <c r="AA107" i="3" s="1"/>
  <c r="V64" i="4"/>
  <c r="W64" i="4" s="1"/>
  <c r="V68" i="4"/>
  <c r="W68" i="4" s="1"/>
  <c r="AC64" i="3"/>
  <c r="V106" i="3"/>
  <c r="AC21" i="3"/>
  <c r="M106" i="4"/>
  <c r="AC82" i="3"/>
  <c r="AA106" i="3"/>
  <c r="AC16" i="3"/>
  <c r="AC68" i="3"/>
  <c r="AC66" i="3"/>
  <c r="AC20" i="3"/>
  <c r="AC19" i="3"/>
  <c r="AC86" i="3"/>
  <c r="AC81" i="3"/>
  <c r="V80" i="4"/>
  <c r="W80" i="4" s="1"/>
  <c r="Y85" i="4" l="1"/>
  <c r="T20" i="4"/>
  <c r="U20" i="4" s="1"/>
  <c r="P20" i="4"/>
  <c r="Q20" i="4" s="1"/>
  <c r="R20" i="4" s="1"/>
  <c r="T19" i="4"/>
  <c r="U19" i="4" s="1"/>
  <c r="V19" i="4" s="1"/>
  <c r="W19" i="4" s="1"/>
  <c r="P19" i="4"/>
  <c r="Q19" i="4" s="1"/>
  <c r="R19" i="4" s="1"/>
  <c r="T21" i="4"/>
  <c r="U21" i="4" s="1"/>
  <c r="V21" i="4" s="1"/>
  <c r="W21" i="4" s="1"/>
  <c r="P21" i="4"/>
  <c r="Q21" i="4" s="1"/>
  <c r="R21" i="4" s="1"/>
  <c r="T16" i="4"/>
  <c r="U16" i="4" s="1"/>
  <c r="V16" i="4" s="1"/>
  <c r="W16" i="4" s="1"/>
  <c r="P16" i="4"/>
  <c r="Q16" i="4" s="1"/>
  <c r="R16" i="4" s="1"/>
  <c r="P12" i="4"/>
  <c r="Q12" i="4" s="1"/>
  <c r="R12" i="4" s="1"/>
  <c r="T12" i="4"/>
  <c r="U12" i="4" s="1"/>
  <c r="V12" i="4" s="1"/>
  <c r="W12" i="4" s="1"/>
  <c r="P18" i="4"/>
  <c r="Q18" i="4" s="1"/>
  <c r="R18" i="4" s="1"/>
  <c r="T18" i="4"/>
  <c r="U18" i="4" s="1"/>
  <c r="V18" i="4" s="1"/>
  <c r="W18" i="4" s="1"/>
  <c r="T11" i="4"/>
  <c r="U11" i="4" s="1"/>
  <c r="V11" i="4" s="1"/>
  <c r="W11" i="4" s="1"/>
  <c r="P11" i="4"/>
  <c r="Q11" i="4" s="1"/>
  <c r="R11" i="4" s="1"/>
  <c r="AC11" i="3"/>
  <c r="AC61" i="3" s="1"/>
  <c r="AC107" i="3" s="1"/>
  <c r="M61" i="4"/>
  <c r="M108" i="4" s="1"/>
  <c r="V20" i="4"/>
  <c r="W20" i="4" s="1"/>
  <c r="Y69" i="4"/>
  <c r="Y75" i="4"/>
  <c r="Y73" i="4"/>
  <c r="Y15" i="4"/>
  <c r="Y67" i="4"/>
  <c r="Y9" i="4"/>
  <c r="Y76" i="4"/>
  <c r="Y79" i="4"/>
  <c r="Y10" i="4"/>
  <c r="Y77" i="4"/>
  <c r="Y95" i="4"/>
  <c r="Y92" i="4"/>
  <c r="Y78" i="4"/>
  <c r="Y65" i="4"/>
  <c r="Y93" i="4"/>
  <c r="Y80" i="4"/>
  <c r="Y71" i="4"/>
  <c r="Y81" i="4"/>
  <c r="Y94" i="4"/>
  <c r="Y82" i="4"/>
  <c r="Y74" i="4"/>
  <c r="R106" i="4"/>
  <c r="AC106" i="3"/>
  <c r="Y14" i="4"/>
  <c r="Y72" i="4"/>
  <c r="Y68" i="4"/>
  <c r="Y66" i="4"/>
  <c r="Y83" i="4"/>
  <c r="Y64" i="4"/>
  <c r="W106" i="4"/>
  <c r="Y70" i="4"/>
  <c r="Y11" i="4" l="1"/>
  <c r="Y16" i="4"/>
  <c r="Y20" i="4"/>
  <c r="Y21" i="4"/>
  <c r="R61" i="4"/>
  <c r="R108" i="4" s="1"/>
  <c r="W61" i="4"/>
  <c r="W108" i="4" s="1"/>
  <c r="Y18" i="4"/>
  <c r="Y19" i="4"/>
  <c r="Y12" i="4"/>
  <c r="Y106" i="4"/>
  <c r="Y61" i="4" l="1"/>
  <c r="Y108" i="4" s="1"/>
</calcChain>
</file>

<file path=xl/sharedStrings.xml><?xml version="1.0" encoding="utf-8"?>
<sst xmlns="http://schemas.openxmlformats.org/spreadsheetml/2006/main" count="1161" uniqueCount="217">
  <si>
    <t>ITEM</t>
  </si>
  <si>
    <t>DESCRIPCIÓN DEL SERVICIO</t>
  </si>
  <si>
    <t>FRECUENCIA DE MANTENIMIENTOS</t>
  </si>
  <si>
    <t>CANTIDAD DE PLANTAS</t>
  </si>
  <si>
    <t>MANTENIMIENTOS</t>
  </si>
  <si>
    <t>VALOR UNITARIO</t>
  </si>
  <si>
    <t>IVA UNITARIO</t>
  </si>
  <si>
    <t xml:space="preserve">VALOR UNITARIO              INCLUIDO IVA </t>
  </si>
  <si>
    <t xml:space="preserve">VALOR TOTAL INCLUIDO IVA </t>
  </si>
  <si>
    <t xml:space="preserve">VALOR  MANTENIMIENTO PREVENTIVO Y CORRECTIVO </t>
  </si>
  <si>
    <t xml:space="preserve">LISTA DE REPUESTOS </t>
  </si>
  <si>
    <t>ÍTEM</t>
  </si>
  <si>
    <t>DESCRIPCIÓN DETALLADA REPUESTOS</t>
  </si>
  <si>
    <t>CANTIDAD</t>
  </si>
  <si>
    <t>UNIDAD</t>
  </si>
  <si>
    <t>VALOR UNITARIO INCLUIDO IVA</t>
  </si>
  <si>
    <t>UN</t>
  </si>
  <si>
    <t>TOTAL LISTA DE REPUESTOS</t>
  </si>
  <si>
    <t>ANALISIS DE COSTOS HISTORICOS</t>
  </si>
  <si>
    <t>VALOR UNITARIO
SIN IVA</t>
  </si>
  <si>
    <t>NOTAS:</t>
  </si>
  <si>
    <t>1) El índice refleja la evolución promedio de los precios de todos los artículos/insumos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</si>
  <si>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</si>
  <si>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MATENIMIENTOS
2026</t>
  </si>
  <si>
    <t>4)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</si>
  <si>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ANEXO 2 - ANALISIS DE COSTOS HISTORICOS</t>
  </si>
  <si>
    <t>VIGENCIA 2026</t>
  </si>
  <si>
    <t xml:space="preserve">VALOR TOTAL
INCLUIDO IVA </t>
  </si>
  <si>
    <t>ANEXO 1 - ANALISIS DE COTIZACIONES</t>
  </si>
  <si>
    <t>NECESIDAD</t>
  </si>
  <si>
    <t>ANALISIS DE COTIZACIONES</t>
  </si>
  <si>
    <t>PROYECCION COSTOS 2024-2026</t>
  </si>
  <si>
    <t xml:space="preserve">ANALISIS COTIZACIONES </t>
  </si>
  <si>
    <t>2) Para establecer el valor del mercado se toman los valores de referencia de la única cotización recibida</t>
  </si>
  <si>
    <t>1) Para establecer los valores del mercado, se toman del promedio entre análisis de cotizaciones y análisis de costos históricos.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</si>
  <si>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</si>
  <si>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FRECUENCIA DE RUTINAS</t>
  </si>
  <si>
    <t>NUMERO DE EQUIPOS</t>
  </si>
  <si>
    <t>SISTEMA VRF TOSHIBA</t>
  </si>
  <si>
    <t>1.1</t>
  </si>
  <si>
    <t>UNIDADES CONDENSADORAS</t>
  </si>
  <si>
    <t>1.1.1</t>
  </si>
  <si>
    <t>MMY-MAP0966HT6P-UL</t>
  </si>
  <si>
    <t>1.1.2</t>
  </si>
  <si>
    <t>MMY-MAP1206HT6P-UL</t>
  </si>
  <si>
    <t>1.1.3</t>
  </si>
  <si>
    <t>MMY-MAP1446HT6P-UL</t>
  </si>
  <si>
    <t>1.1.4</t>
  </si>
  <si>
    <t>MMY-MAP1686HT6P-UL</t>
  </si>
  <si>
    <t>1.2</t>
  </si>
  <si>
    <t>UNIDAD DOAS</t>
  </si>
  <si>
    <t>1.2.1</t>
  </si>
  <si>
    <t>DOAS 1</t>
  </si>
  <si>
    <t>1.2.2</t>
  </si>
  <si>
    <t xml:space="preserve">DOAS 2 </t>
  </si>
  <si>
    <t>1.2.3</t>
  </si>
  <si>
    <t xml:space="preserve">DOAS 3 </t>
  </si>
  <si>
    <t>1.3</t>
  </si>
  <si>
    <t>UNIDAD CASSETTE</t>
  </si>
  <si>
    <t>1.3.1</t>
  </si>
  <si>
    <t>MMU-0094HP1-E</t>
  </si>
  <si>
    <t>1.3.2</t>
  </si>
  <si>
    <t>MMU-0124HP1-E</t>
  </si>
  <si>
    <t>1.3.3</t>
  </si>
  <si>
    <t>MMU-0154HP1-E</t>
  </si>
  <si>
    <t>1.3.4</t>
  </si>
  <si>
    <t>MMU-0184HP1-E</t>
  </si>
  <si>
    <t>1.3.5</t>
  </si>
  <si>
    <t>MMU-0244HP1-E</t>
  </si>
  <si>
    <t>1.3.6</t>
  </si>
  <si>
    <t>MMU-0274HP1-E</t>
  </si>
  <si>
    <t>1.3.7</t>
  </si>
  <si>
    <t>MMU-0304HP1-E</t>
  </si>
  <si>
    <t>1.3.8</t>
  </si>
  <si>
    <t>MMU-0366HP1-E</t>
  </si>
  <si>
    <t>1.4</t>
  </si>
  <si>
    <t>UNIDAD FANCOIL</t>
  </si>
  <si>
    <t>1.4.1</t>
  </si>
  <si>
    <t>MMD-AP0156HP1-E</t>
  </si>
  <si>
    <t>1.4.2</t>
  </si>
  <si>
    <t>MMD-AP0276HP1-E</t>
  </si>
  <si>
    <t>1.4.3</t>
  </si>
  <si>
    <t>MMD-AP0366HP1-E</t>
  </si>
  <si>
    <t>1.4.4</t>
  </si>
  <si>
    <t>MMD-AP0486HP1-E</t>
  </si>
  <si>
    <t>1.4.5</t>
  </si>
  <si>
    <t>MMD-AP0566HP1-E</t>
  </si>
  <si>
    <t>1.4.6</t>
  </si>
  <si>
    <t>MMD-AP0726HP1-E</t>
  </si>
  <si>
    <t>1.5</t>
  </si>
  <si>
    <t>UNIDAD PARED</t>
  </si>
  <si>
    <t>1.5.1</t>
  </si>
  <si>
    <t>MMK-AP0077HP-E</t>
  </si>
  <si>
    <t>1.5.2</t>
  </si>
  <si>
    <t>MMK-AP0097HP-E</t>
  </si>
  <si>
    <t>1.5.3</t>
  </si>
  <si>
    <t>MMK-AP0127HP-E</t>
  </si>
  <si>
    <t>1.5.4</t>
  </si>
  <si>
    <t>MMK-AP0153HP-E</t>
  </si>
  <si>
    <t>1.6</t>
  </si>
  <si>
    <t xml:space="preserve">EQUIPOS VENTILACION </t>
  </si>
  <si>
    <t>1.6.1</t>
  </si>
  <si>
    <t>UNIDAD EXTRACCION  HONGO</t>
  </si>
  <si>
    <t>1.6.2</t>
  </si>
  <si>
    <t>UNIDAD EXTRACCION</t>
  </si>
  <si>
    <t>1.6.3</t>
  </si>
  <si>
    <t>UNIDAD VENTILADOR DIRECCIONADOR</t>
  </si>
  <si>
    <t>1.6.4</t>
  </si>
  <si>
    <t>UNIDAD DE EXTRACCION SOTANOS</t>
  </si>
  <si>
    <t>1.6.5</t>
  </si>
  <si>
    <t xml:space="preserve">UNIDAD VENTILACION  SUMINISTROS </t>
  </si>
  <si>
    <t>1.6.6</t>
  </si>
  <si>
    <t>UNIDAD EXTRACCION CUBIERTA</t>
  </si>
  <si>
    <t>1.6.7</t>
  </si>
  <si>
    <t>UNIDADES ESTRACCION PISOS</t>
  </si>
  <si>
    <t>1.7</t>
  </si>
  <si>
    <t>SISTEMA DE CONTROL</t>
  </si>
  <si>
    <t>1.7.1</t>
  </si>
  <si>
    <t xml:space="preserve">MANTENIMIENTO SISTEMA CONTROL VENTILACION </t>
  </si>
  <si>
    <t>1.7.2</t>
  </si>
  <si>
    <t>MANTENIMIENTO SISTEMA CONTROL VRF</t>
  </si>
  <si>
    <t>SISTEMA VRF SAMSUNG</t>
  </si>
  <si>
    <t>2.1</t>
  </si>
  <si>
    <t>UNIDADES CONDENSADORAS SAMSUNG</t>
  </si>
  <si>
    <t>2.1.1</t>
  </si>
  <si>
    <t>AM180MXVAFC</t>
  </si>
  <si>
    <t>2.1.2</t>
  </si>
  <si>
    <t>AM200MXVAFC</t>
  </si>
  <si>
    <t>2.2</t>
  </si>
  <si>
    <t>UNIDAD CASSETTE SAMSUNG</t>
  </si>
  <si>
    <t>2.2.1</t>
  </si>
  <si>
    <t>AN036NN4DCH</t>
  </si>
  <si>
    <t>2.3</t>
  </si>
  <si>
    <t>UNIDAD PARED SAMSUNG</t>
  </si>
  <si>
    <t>2.3.1</t>
  </si>
  <si>
    <t>AM009KNQDCH</t>
  </si>
  <si>
    <t>2.3.2</t>
  </si>
  <si>
    <t>AM018KNQDCH</t>
  </si>
  <si>
    <t>2.3.3</t>
  </si>
  <si>
    <t>AM012KNQDCH</t>
  </si>
  <si>
    <t>2.4</t>
  </si>
  <si>
    <t xml:space="preserve">CAJA PORTA FLITRO </t>
  </si>
  <si>
    <t>2.4.1</t>
  </si>
  <si>
    <t>CAJA FILTRANTE MFL315</t>
  </si>
  <si>
    <t>BIMENSUAL</t>
  </si>
  <si>
    <t xml:space="preserve">Instalacion de filtros piedra para unidades de circulo VRF- condensadoras.
Incluye:  
Cambio FILTRO SUCCION NUCLEO RC 4864 HH SPORLAN (Filtro de acidez) 
Dos cilindros de nitrogeno 7 m3. 
Bomba de vacion con un Gl de aceite para vacio.
Cilindro de refrigerante R410a Chemours 25 LB </t>
  </si>
  <si>
    <t>Suministro de FILTRO PREFILTRO FIBRA SINTETICA MERV8 MARCO CARTON EF 30-35% 20"X20"X1"</t>
  </si>
  <si>
    <t>Suministro de FILTRO PREFILTRO FIBRA SINTETICA MERV8 MARCO CARTON EF 30-35% 16"X20"X1"</t>
  </si>
  <si>
    <t>Suministro de FILTRO PREFILTRO FIBRA SINTETICA MERV8 MARCO CARTON EF 30-35% 24"X12"X2"</t>
  </si>
  <si>
    <t>Suministro de FILTRO PREFILTRO FIBRA SINTETICA MERV8 MARCO CARTON EF 30-35% 24"X16"X2"</t>
  </si>
  <si>
    <t>Suministro de FILTRO PREFILTRO FIBRA SINTETICA MERV8 MARCO CARTON EF 30-35% 20"X16"X2"</t>
  </si>
  <si>
    <t>Suministro correas de transmisionTrapezoidal A23</t>
  </si>
  <si>
    <t>Suministro correas de transmisionTrapezoidal A24</t>
  </si>
  <si>
    <t>Suministro correas de transmisionTrapezoidal A25</t>
  </si>
  <si>
    <t>Suministro correas de transmisionTrapezoidal A26</t>
  </si>
  <si>
    <t>Suministro correas de transmisionTrapezoidal A28</t>
  </si>
  <si>
    <t>Suministro correas de transmisionTrapezoidal A30</t>
  </si>
  <si>
    <t>Suministro correas de transmisionTrapezoidal A37</t>
  </si>
  <si>
    <t>Suministro correas de transmisionTrapezoidal AP37</t>
  </si>
  <si>
    <t>Suministro correas de transmisionTrapezoidal 8X50</t>
  </si>
  <si>
    <t>Suministro correas de transmisionTrapezoidal A47</t>
  </si>
  <si>
    <t>Suministro correas de transmisionTrapezoidal 4L350R</t>
  </si>
  <si>
    <t>Suministro correas de transmisionTrapezoidal 4L260R</t>
  </si>
  <si>
    <t>Suministro correas de transmisionTrapezoidal 3L340</t>
  </si>
  <si>
    <t>Suministro correas de transmisionTrapezoidal 4L380R</t>
  </si>
  <si>
    <t>Suministro correas de transmisionTrapezoidal 4L490R</t>
  </si>
  <si>
    <t>Suministro e instalado de  Blower para unidad tipo pared modelo MMK-AP0077HP-E-TOSHIBA</t>
  </si>
  <si>
    <t>Suministro e instalacion de boma condensadora  para unidad tipo Fancoil modelo MMD-APO566HP1-E referencia de repuesto MCP-1401-22571. Toshiba</t>
  </si>
  <si>
    <t>Suministro e instalacion de controlador central tactil modelo BMS-CT1280E TOSHIBA</t>
  </si>
  <si>
    <t>Suministro e instalacion de Compresor marca TOSHIBA, modelo RA641A3TB-21M1 para R410A,360 V DC 120 HZ PARA UNIDADES CONDENSADORAS VRF SISTEMA 9</t>
  </si>
  <si>
    <t>FILTRO TIPO BOLSA MERV13 MARCO CARTON 24"X12"X22"</t>
  </si>
  <si>
    <t>FILTRO TIPO BOLSA MERV13 MARCO CARTON 24"X16"X22"</t>
  </si>
  <si>
    <t>FILTRO TIPO BOLSA MERV13 MARCO CARTON 20"X16"X22"</t>
  </si>
  <si>
    <t>Suministro de Filtro prefiltro fibra sintetica MERV8 marco carton EF 30-35% 24,5"x11,5"*1-3/4</t>
  </si>
  <si>
    <t>1) Se realizó el estudio con 2 cotizaciones la cual cumple con lo solicitado por la entidad</t>
  </si>
  <si>
    <t>VALOR UNITARIO 1</t>
  </si>
  <si>
    <t>VALOR UNITARIO 2</t>
  </si>
  <si>
    <t xml:space="preserve">TOTAL MANTENIMIENTOS  SIN LISTA DE REPUESTOS </t>
  </si>
  <si>
    <t xml:space="preserve">TOTAL MANTENIMIENTOS  SIN  LISTA DE REPUESTOS </t>
  </si>
  <si>
    <t>MENSUAL</t>
  </si>
  <si>
    <t>OBJETO: Prestar el servicio técnico especializado para el mantenimiento preventivo, predictivo y correctivo con suministro de insumos y bolsa de repuestos de los aires acondicionados VRF y equipos de ventilación, que se encuentran instalados en la sede principal de la Fiscalía General de la Nación en la ciudad de Cúcuta.</t>
  </si>
  <si>
    <t>MATENIMIENTOS
2027</t>
  </si>
  <si>
    <t>MATENIMIENTOS
2028</t>
  </si>
  <si>
    <t>TOTAL MANTENIMIENTOS 
2026-2028</t>
  </si>
  <si>
    <t>COTIZACION 2
FELIZ ARGEYDE ORTIZ GARZON
88.253.087-6</t>
  </si>
  <si>
    <t>COTIZACION 1
AIRE CARIBE S.A
890.402.550-4</t>
  </si>
  <si>
    <t>VIGENCIA 2027</t>
  </si>
  <si>
    <t>VIGENCIA 2028</t>
  </si>
  <si>
    <t>TOTAL VIGENCIA
 2026-2028</t>
  </si>
  <si>
    <t>ANALISIS DE COSTOS HISTORICOS
VALOR PARA 2026</t>
  </si>
  <si>
    <t>TOTAL MANTENIMIENTOS 
2026-2027</t>
  </si>
  <si>
    <t>ESTUDIO DEL SECTOR 2026-2028</t>
  </si>
  <si>
    <t>OFERTA GANADORA PRESENTADA AIRE CARIBE   AL PROCESO FGN-RNO-MEC-0011-2024</t>
  </si>
  <si>
    <t>Blower para unidad tipo cassette modelo MMU marca TOSHIBA</t>
  </si>
  <si>
    <t>Blower para unidad tipo Fancoil modelo MMD marca TOSHIBA</t>
  </si>
  <si>
    <t>Suministro e instalacion de bomba de condensado  para unidad tipo Pared modelo MMK marca TOSHIBA</t>
  </si>
  <si>
    <t>Suministro e instalacion de bomba de condensado  para unidad tipo Cassette modelo MMU marca TOSHIBA</t>
  </si>
  <si>
    <t>Cilindro refrigerante R410a Chemours 25 Lb</t>
  </si>
  <si>
    <t>Test de prueba de acidez de aceite para sistemas con refrigerante R410A</t>
  </si>
  <si>
    <t>Sensor de temperatura para montaje en conductos modelo TE-6311M-1 marca JOHNSON CONTROL</t>
  </si>
  <si>
    <t>Sensor de temperatura para montaje en conductos modelo TE-631AM-2 marca JOHNSON CONTROL</t>
  </si>
  <si>
    <t>PROGRAMADOR SEMANAL DIGITAL 24-264VAC/DC 8A</t>
  </si>
  <si>
    <t>Motor ventilador para unidad condensadora DC60V 1000W 820r/min modelo WDF-620A1000-2</t>
  </si>
  <si>
    <t>RUTINAS</t>
  </si>
  <si>
    <t>3) El valor del incremento se estima a partir del IPC del 4,4% para el año 2027 y del 3% para el año 2028, proyectado por el Ministerio de Hacienda y Crédito Público (MHPC) y el Departamento Nacional de Planeación (DNP), esto con el fin de mitigar la incertidumbre económica para el año 2027 y 2028</t>
  </si>
  <si>
    <t>2) El valor del incremento se estima a partir del IPC del 4,4% para el año 2027 y del 3% para el año 2028, proyectado por el Ministerio de Hacienda y Crédito Público (MHPC) y el Departamento Nacional de Planeación (DNP), esto con el fin de mitigar la incertidumbre económica para el año 2027 y 2028</t>
  </si>
  <si>
    <t>Suministro e instalacion de tarjeta electronica  para unidad tipo Pared modelo MMK marca TOSHIBA</t>
  </si>
  <si>
    <t>Suministro e instalacion de tarjeta electronica  para unidad tipo Cassette modelo MMU marca TOSHIBA</t>
  </si>
  <si>
    <t>Suministro e instalacion de tarjeta electrnica  para unidad tipo Fancoil modelo MMD marca TOSHIBA</t>
  </si>
  <si>
    <t>ANEXO 3 - PROYECCION COSTOS 2026-2028</t>
  </si>
  <si>
    <t>Estudio del Sector: No: 0048-2026</t>
  </si>
  <si>
    <t>Fecha de elaboración: 13-10-2026</t>
  </si>
  <si>
    <t>CONSOLIDADO ESTUDIO DEL SECTOR</t>
  </si>
  <si>
    <t>BOLSA FIJA DE REPUESTOS</t>
  </si>
  <si>
    <t>VALOR TOTAL ESTUDIO DEL SECTOR</t>
  </si>
  <si>
    <t>TOTAL VIGENCIAS 2026-2027-2028</t>
  </si>
  <si>
    <t>ANEXO 4 - ESTUDIO DEL SECTOR 2026-2028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</si>
</sst>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4" formatCode="_-&quot;$&quot;\ * #,##0.00_-;\-&quot;$&quot;\ * #,##0.00_-;_-&quot;$&quot;\ * &quot;-&quot;??_-;_-@_-"/>
    <numFmt numFmtId="43" formatCode="_-* #,##0.00_-;\-* #,##0.00_-;_-* &quot;-&quot;??_-;_-@_-"/>
    <numFmt numFmtId="164" formatCode="&quot;$&quot;\ #,##0"/>
    <numFmt numFmtId="165" formatCode="_-&quot;$&quot;\ * #,##0_-;\-&quot;$&quot;\ * #,##0_-;_-&quot;$&quot;\ * &quot;-&quot;??_-;_-@_-"/>
    <numFmt numFmtId="166" formatCode="_-&quot;$&quot;* #,##0_-;\-&quot;$&quot;* #,##0_-;_-&quot;$&quot;* &quot;-&quot;??_-;_-@_-"/>
    <numFmt numFmtId="167" formatCode="&quot;$&quot;\ #,##0.00"/>
    <numFmt numFmtId="168" formatCode="#,##0.0"/>
    <numFmt numFmtId="169" formatCode="&quot;$ &quot;#,##0"/>
    <numFmt numFmtId="170" formatCode="0.000"/>
  </numFmts>
  <fonts count="31" x14ac:knownFonts="1">
    <font>
      <sz val="11"/>
      <color theme="1"/>
      <name val="Calibri"/>
      <family val="2"/>
      <scheme val="minor"/>
    </font>
    <font>
      <sz val="11"/>
      <color theme="1"/>
      <name val="Calibri"/>
      <family val="2"/>
      <scheme val="minor"/>
    </font>
    <font>
      <b/>
      <sz val="18"/>
      <color theme="1"/>
      <name val="Arial Narrow"/>
      <family val="2"/>
    </font>
    <font>
      <sz val="10"/>
      <color theme="1"/>
      <name val="Arial Narrow"/>
      <family val="2"/>
    </font>
    <font>
      <sz val="10"/>
      <name val="Arial"/>
      <family val="2"/>
    </font>
    <font>
      <sz val="11"/>
      <name val="Arial Narrow"/>
      <family val="2"/>
    </font>
    <font>
      <b/>
      <sz val="11"/>
      <name val="Arial Narrow"/>
      <family val="2"/>
    </font>
    <font>
      <b/>
      <sz val="11"/>
      <color theme="1"/>
      <name val="Arial Narrow"/>
      <family val="2"/>
    </font>
    <font>
      <sz val="11"/>
      <color theme="1"/>
      <name val="Arial Narrow"/>
      <family val="2"/>
    </font>
    <font>
      <sz val="12"/>
      <color theme="1"/>
      <name val="Arial Narrow"/>
      <family val="2"/>
    </font>
    <font>
      <sz val="10"/>
      <name val="Arial Narrow"/>
      <family val="2"/>
    </font>
    <font>
      <b/>
      <sz val="12"/>
      <color theme="1"/>
      <name val="Arial Narrow"/>
      <family val="2"/>
    </font>
    <font>
      <b/>
      <sz val="10"/>
      <name val="Arial Narrow"/>
      <family val="2"/>
    </font>
    <font>
      <b/>
      <sz val="9"/>
      <name val="Arial Narrow"/>
      <family val="2"/>
    </font>
    <font>
      <b/>
      <sz val="8"/>
      <name val="Arial Narrow"/>
      <family val="2"/>
    </font>
    <font>
      <b/>
      <sz val="12"/>
      <name val="Arial Narrow"/>
      <family val="2"/>
    </font>
    <font>
      <sz val="8"/>
      <name val="Arial Narrow"/>
      <family val="2"/>
    </font>
    <font>
      <sz val="9"/>
      <name val="Arial Narrow"/>
      <family val="2"/>
    </font>
    <font>
      <b/>
      <sz val="10"/>
      <color theme="1"/>
      <name val="Arial Narrow"/>
      <family val="2"/>
    </font>
    <font>
      <b/>
      <sz val="14"/>
      <color theme="1"/>
      <name val="Arial Narrow"/>
      <family val="2"/>
    </font>
    <font>
      <sz val="11"/>
      <color theme="1"/>
      <name val="Arial"/>
      <family val="2"/>
    </font>
    <font>
      <sz val="9"/>
      <color theme="1"/>
      <name val="Arial"/>
      <family val="2"/>
    </font>
    <font>
      <b/>
      <sz val="10"/>
      <name val="Calibri"/>
      <family val="2"/>
    </font>
    <font>
      <sz val="10"/>
      <name val="Calibri"/>
      <family val="2"/>
    </font>
    <font>
      <b/>
      <sz val="10"/>
      <color theme="1"/>
      <name val="Calibri"/>
      <family val="2"/>
      <scheme val="minor"/>
    </font>
    <font>
      <sz val="11"/>
      <name val="Calibri"/>
      <family val="2"/>
    </font>
    <font>
      <b/>
      <sz val="11"/>
      <name val="Calibri"/>
      <family val="2"/>
    </font>
    <font>
      <sz val="11"/>
      <name val="Calibri"/>
      <family val="2"/>
      <scheme val="minor"/>
    </font>
    <font>
      <sz val="8"/>
      <color theme="1"/>
      <name val="Arial"/>
      <family val="2"/>
    </font>
    <font>
      <sz val="11"/>
      <name val="Arial"/>
      <family val="2"/>
    </font>
    <font>
      <sz val="10"/>
      <color theme="1"/>
      <name val="Arial"/>
      <family val="2"/>
    </font>
  </fonts>
  <fills count="1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0" tint="-0.34998626667073579"/>
        <bgColor rgb="FFAFABAB"/>
      </patternFill>
    </fill>
    <fill>
      <patternFill patternType="solid">
        <fgColor theme="0"/>
        <bgColor rgb="FFFFFFCC"/>
      </patternFill>
    </fill>
    <fill>
      <patternFill patternType="solid">
        <fgColor theme="0"/>
        <bgColor rgb="FFAFABAB"/>
      </patternFill>
    </fill>
    <fill>
      <patternFill patternType="solid">
        <fgColor theme="0" tint="-0.34998626667073579"/>
        <bgColor indexed="64"/>
      </patternFill>
    </fill>
    <fill>
      <patternFill patternType="solid">
        <fgColor rgb="FFFFFF00"/>
        <bgColor indexed="64"/>
      </patternFill>
    </fill>
    <fill>
      <patternFill patternType="solid">
        <fgColor theme="9"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auto="1"/>
      </left>
      <right style="thin">
        <color auto="1"/>
      </right>
      <top style="thin">
        <color auto="1"/>
      </top>
      <bottom style="medium">
        <color auto="1"/>
      </bottom>
      <diagonal/>
    </border>
    <border>
      <left style="medium">
        <color indexed="64"/>
      </left>
      <right style="thin">
        <color indexed="64"/>
      </right>
      <top style="thin">
        <color indexed="64"/>
      </top>
      <bottom/>
      <diagonal/>
    </border>
  </borders>
  <cellStyleXfs count="7">
    <xf numFmtId="0" fontId="0" fillId="0" borderId="0"/>
    <xf numFmtId="44" fontId="1" fillId="0" borderId="0" applyFont="0" applyFill="0" applyBorder="0" applyAlignment="0" applyProtection="0"/>
    <xf numFmtId="0" fontId="4" fillId="0" borderId="0"/>
    <xf numFmtId="0" fontId="4" fillId="0" borderId="0"/>
    <xf numFmtId="43" fontId="1" fillId="0" borderId="0" applyFont="0" applyFill="0" applyBorder="0" applyAlignment="0" applyProtection="0"/>
    <xf numFmtId="9" fontId="1" fillId="0" borderId="0" applyFont="0" applyFill="0" applyBorder="0" applyAlignment="0" applyProtection="0"/>
    <xf numFmtId="0" fontId="4" fillId="0" borderId="0"/>
  </cellStyleXfs>
  <cellXfs count="202">
    <xf numFmtId="0" fontId="0" fillId="0" borderId="0" xfId="0"/>
    <xf numFmtId="0" fontId="6" fillId="0" borderId="1" xfId="2" applyFont="1" applyBorder="1" applyAlignment="1">
      <alignment horizontal="center" vertical="center"/>
    </xf>
    <xf numFmtId="0" fontId="5" fillId="0" borderId="1" xfId="2" applyFont="1" applyBorder="1" applyAlignment="1">
      <alignment horizontal="center" vertical="center" wrapText="1"/>
    </xf>
    <xf numFmtId="0" fontId="3" fillId="0" borderId="0" xfId="0" applyFont="1"/>
    <xf numFmtId="0" fontId="2" fillId="0" borderId="0" xfId="0" applyFont="1" applyAlignment="1">
      <alignment horizontal="center" vertical="center" wrapText="1"/>
    </xf>
    <xf numFmtId="43" fontId="2" fillId="0" borderId="0" xfId="4" applyFont="1" applyBorder="1" applyAlignment="1">
      <alignment horizontal="center" vertical="center" wrapText="1"/>
    </xf>
    <xf numFmtId="0" fontId="5" fillId="0" borderId="0" xfId="2" applyFont="1"/>
    <xf numFmtId="0" fontId="5" fillId="0" borderId="0" xfId="2" applyFont="1" applyAlignment="1">
      <alignment horizontal="center"/>
    </xf>
    <xf numFmtId="164" fontId="5" fillId="0" borderId="0" xfId="2" applyNumberFormat="1" applyFont="1"/>
    <xf numFmtId="43" fontId="5" fillId="0" borderId="0" xfId="4" applyFont="1" applyBorder="1"/>
    <xf numFmtId="43" fontId="5" fillId="3" borderId="0" xfId="4" applyFont="1" applyFill="1" applyBorder="1" applyAlignment="1">
      <alignment horizontal="center" vertical="center"/>
    </xf>
    <xf numFmtId="2" fontId="5" fillId="0" borderId="0" xfId="2" applyNumberFormat="1" applyFont="1"/>
    <xf numFmtId="0" fontId="7" fillId="3" borderId="0" xfId="0" applyFont="1" applyFill="1" applyAlignment="1">
      <alignment horizontal="justify" vertical="center" wrapText="1"/>
    </xf>
    <xf numFmtId="0" fontId="7" fillId="0" borderId="0" xfId="0" applyFont="1" applyAlignment="1">
      <alignment vertical="center" wrapText="1"/>
    </xf>
    <xf numFmtId="0" fontId="7" fillId="0" borderId="0" xfId="0" applyFont="1" applyAlignment="1">
      <alignment horizontal="justify" vertical="center" wrapText="1"/>
    </xf>
    <xf numFmtId="43" fontId="6" fillId="0" borderId="0" xfId="4" applyFont="1" applyBorder="1" applyAlignment="1">
      <alignment horizontal="center" vertical="center"/>
    </xf>
    <xf numFmtId="0" fontId="10" fillId="0" borderId="0" xfId="2" applyFont="1"/>
    <xf numFmtId="0" fontId="10" fillId="0" borderId="0" xfId="2" applyFont="1" applyAlignment="1">
      <alignment horizontal="center"/>
    </xf>
    <xf numFmtId="164" fontId="10" fillId="0" borderId="0" xfId="2" applyNumberFormat="1" applyFont="1"/>
    <xf numFmtId="43" fontId="10" fillId="0" borderId="0" xfId="4" applyFont="1" applyBorder="1"/>
    <xf numFmtId="0" fontId="7" fillId="0" borderId="1" xfId="0" applyFont="1" applyBorder="1" applyAlignment="1">
      <alignment horizontal="center" vertical="center" wrapText="1"/>
    </xf>
    <xf numFmtId="0" fontId="6" fillId="3" borderId="0" xfId="0" applyFont="1" applyFill="1" applyAlignment="1">
      <alignment horizontal="center" vertical="center"/>
    </xf>
    <xf numFmtId="0" fontId="13" fillId="0" borderId="0" xfId="0" applyFont="1" applyAlignment="1">
      <alignment horizontal="center" vertical="center" wrapText="1"/>
    </xf>
    <xf numFmtId="17" fontId="14" fillId="6" borderId="1" xfId="0" applyNumberFormat="1" applyFont="1" applyFill="1" applyBorder="1" applyAlignment="1">
      <alignment horizontal="center" vertical="center" wrapText="1"/>
    </xf>
    <xf numFmtId="10" fontId="14" fillId="7" borderId="1" xfId="5" applyNumberFormat="1" applyFont="1" applyFill="1" applyBorder="1" applyAlignment="1">
      <alignment horizontal="center" vertical="center" wrapText="1"/>
    </xf>
    <xf numFmtId="167" fontId="5" fillId="0" borderId="1" xfId="4" applyNumberFormat="1" applyFont="1" applyBorder="1" applyAlignment="1">
      <alignment horizontal="center" vertical="center"/>
    </xf>
    <xf numFmtId="167" fontId="5" fillId="3" borderId="0" xfId="4" applyNumberFormat="1" applyFont="1" applyFill="1" applyBorder="1" applyAlignment="1">
      <alignment horizontal="center" vertical="center"/>
    </xf>
    <xf numFmtId="167" fontId="5" fillId="3" borderId="1" xfId="4" applyNumberFormat="1" applyFont="1" applyFill="1" applyBorder="1" applyAlignment="1">
      <alignment horizontal="center" vertical="center"/>
    </xf>
    <xf numFmtId="167" fontId="2" fillId="0" borderId="0" xfId="0" applyNumberFormat="1" applyFont="1" applyAlignment="1">
      <alignment horizontal="center" vertical="center" wrapText="1"/>
    </xf>
    <xf numFmtId="167" fontId="5" fillId="3" borderId="1" xfId="0" applyNumberFormat="1" applyFont="1" applyFill="1" applyBorder="1" applyAlignment="1">
      <alignment horizontal="center" vertical="center"/>
    </xf>
    <xf numFmtId="167" fontId="5" fillId="0" borderId="0" xfId="2" applyNumberFormat="1" applyFont="1"/>
    <xf numFmtId="167" fontId="10" fillId="0" borderId="0" xfId="2" applyNumberFormat="1" applyFont="1"/>
    <xf numFmtId="167" fontId="15" fillId="4" borderId="1" xfId="4" applyNumberFormat="1" applyFont="1" applyFill="1" applyBorder="1" applyAlignment="1">
      <alignment horizontal="center" vertical="center"/>
    </xf>
    <xf numFmtId="167" fontId="15" fillId="4" borderId="5" xfId="2" applyNumberFormat="1" applyFont="1" applyFill="1" applyBorder="1" applyAlignment="1">
      <alignment horizontal="center" vertical="center"/>
    </xf>
    <xf numFmtId="0" fontId="16" fillId="0" borderId="0" xfId="0" applyFont="1" applyAlignment="1">
      <alignment vertical="center"/>
    </xf>
    <xf numFmtId="164" fontId="8" fillId="0" borderId="0" xfId="0" applyNumberFormat="1" applyFont="1"/>
    <xf numFmtId="0" fontId="16" fillId="0" borderId="0" xfId="0" applyFont="1"/>
    <xf numFmtId="0" fontId="17" fillId="0" borderId="0" xfId="0" applyFont="1"/>
    <xf numFmtId="0" fontId="17" fillId="0" borderId="0" xfId="0" applyFont="1" applyAlignment="1">
      <alignment vertical="center"/>
    </xf>
    <xf numFmtId="0" fontId="13" fillId="0" borderId="0" xfId="0" applyFont="1"/>
    <xf numFmtId="0" fontId="12" fillId="0" borderId="0" xfId="0" applyFont="1" applyAlignment="1">
      <alignment vertical="center"/>
    </xf>
    <xf numFmtId="0" fontId="10" fillId="0" borderId="0" xfId="0" applyFont="1" applyAlignment="1">
      <alignment vertical="center"/>
    </xf>
    <xf numFmtId="164" fontId="3" fillId="3" borderId="0" xfId="0" applyNumberFormat="1" applyFont="1" applyFill="1"/>
    <xf numFmtId="0" fontId="12" fillId="6" borderId="1" xfId="2" applyFont="1" applyFill="1" applyBorder="1" applyAlignment="1">
      <alignment horizontal="center" vertical="center" wrapText="1"/>
    </xf>
    <xf numFmtId="164" fontId="12" fillId="6" borderId="1" xfId="2" applyNumberFormat="1" applyFont="1" applyFill="1" applyBorder="1" applyAlignment="1">
      <alignment horizontal="center" vertical="center" wrapText="1"/>
    </xf>
    <xf numFmtId="166" fontId="18" fillId="6" borderId="1" xfId="1" applyNumberFormat="1" applyFont="1" applyFill="1" applyBorder="1" applyAlignment="1">
      <alignment horizontal="center" vertical="center" wrapText="1"/>
    </xf>
    <xf numFmtId="166" fontId="18" fillId="3" borderId="0" xfId="1" applyNumberFormat="1" applyFont="1" applyFill="1" applyBorder="1" applyAlignment="1">
      <alignment horizontal="center" vertical="center" wrapText="1"/>
    </xf>
    <xf numFmtId="0" fontId="12" fillId="3" borderId="0" xfId="0" applyFont="1" applyFill="1" applyAlignment="1">
      <alignment horizontal="center" vertical="center"/>
    </xf>
    <xf numFmtId="43" fontId="12" fillId="6" borderId="1" xfId="4" applyFont="1" applyFill="1" applyBorder="1" applyAlignment="1">
      <alignment horizontal="center" vertical="center" wrapText="1"/>
    </xf>
    <xf numFmtId="167" fontId="12" fillId="6" borderId="1" xfId="2" applyNumberFormat="1" applyFont="1" applyFill="1" applyBorder="1" applyAlignment="1">
      <alignment horizontal="center" vertical="center" wrapText="1"/>
    </xf>
    <xf numFmtId="0" fontId="18" fillId="3" borderId="0" xfId="0" applyFont="1" applyFill="1" applyAlignment="1">
      <alignment horizontal="justify" vertical="center" wrapText="1"/>
    </xf>
    <xf numFmtId="167" fontId="12" fillId="6" borderId="1" xfId="4" applyNumberFormat="1" applyFont="1" applyFill="1" applyBorder="1" applyAlignment="1">
      <alignment horizontal="center" vertical="center" wrapText="1"/>
    </xf>
    <xf numFmtId="2" fontId="10" fillId="0" borderId="0" xfId="2" applyNumberFormat="1" applyFont="1"/>
    <xf numFmtId="0" fontId="18" fillId="0" borderId="0" xfId="0" applyFont="1" applyAlignment="1">
      <alignment vertical="center" wrapText="1"/>
    </xf>
    <xf numFmtId="167" fontId="18" fillId="6" borderId="1" xfId="4" applyNumberFormat="1" applyFont="1" applyFill="1" applyBorder="1" applyAlignment="1">
      <alignment vertical="center" wrapText="1"/>
    </xf>
    <xf numFmtId="167" fontId="18" fillId="6" borderId="2" xfId="4" applyNumberFormat="1" applyFont="1" applyFill="1" applyBorder="1" applyAlignment="1">
      <alignment vertical="center" wrapText="1"/>
    </xf>
    <xf numFmtId="167" fontId="18" fillId="6" borderId="4" xfId="4" applyNumberFormat="1" applyFont="1" applyFill="1" applyBorder="1" applyAlignment="1">
      <alignment vertical="center" wrapText="1"/>
    </xf>
    <xf numFmtId="43" fontId="18" fillId="6" borderId="2" xfId="4" applyFont="1" applyFill="1" applyBorder="1" applyAlignment="1">
      <alignment vertical="center" wrapText="1"/>
    </xf>
    <xf numFmtId="43" fontId="18" fillId="6" borderId="3" xfId="4" applyFont="1" applyFill="1" applyBorder="1" applyAlignment="1">
      <alignment vertical="center" wrapText="1"/>
    </xf>
    <xf numFmtId="0" fontId="8" fillId="0" borderId="0" xfId="0" applyFont="1" applyAlignment="1">
      <alignment horizontal="center"/>
    </xf>
    <xf numFmtId="167" fontId="5" fillId="0" borderId="1" xfId="4" applyNumberFormat="1" applyFont="1" applyBorder="1" applyAlignment="1">
      <alignment horizontal="center" vertical="center" wrapText="1"/>
    </xf>
    <xf numFmtId="0" fontId="8" fillId="0" borderId="0" xfId="0" applyFont="1"/>
    <xf numFmtId="167" fontId="15" fillId="5" borderId="1" xfId="4" applyNumberFormat="1" applyFont="1" applyFill="1" applyBorder="1" applyAlignment="1">
      <alignment horizontal="center" vertical="center"/>
    </xf>
    <xf numFmtId="0" fontId="6" fillId="3" borderId="0" xfId="0" applyFont="1" applyFill="1" applyAlignment="1">
      <alignment vertical="center"/>
    </xf>
    <xf numFmtId="0" fontId="5" fillId="0" borderId="1" xfId="2" applyFont="1" applyBorder="1" applyAlignment="1">
      <alignment horizontal="center" vertical="center"/>
    </xf>
    <xf numFmtId="165" fontId="6" fillId="8" borderId="12" xfId="0" applyNumberFormat="1" applyFont="1" applyFill="1" applyBorder="1" applyAlignment="1">
      <alignment horizontal="center" vertical="center" wrapText="1"/>
    </xf>
    <xf numFmtId="0" fontId="10" fillId="0" borderId="0" xfId="0" applyFont="1" applyAlignment="1">
      <alignment vertical="center" wrapText="1"/>
    </xf>
    <xf numFmtId="0" fontId="8" fillId="3" borderId="0" xfId="0" applyFont="1" applyFill="1"/>
    <xf numFmtId="0" fontId="20" fillId="0" borderId="0" xfId="0" applyFont="1"/>
    <xf numFmtId="164" fontId="8" fillId="3" borderId="0" xfId="0" applyNumberFormat="1" applyFont="1" applyFill="1"/>
    <xf numFmtId="0" fontId="5" fillId="0" borderId="0" xfId="0" applyFont="1" applyAlignment="1">
      <alignment vertical="center" wrapText="1"/>
    </xf>
    <xf numFmtId="0" fontId="21" fillId="0" borderId="0" xfId="0" applyFont="1" applyAlignment="1">
      <alignment vertical="center"/>
    </xf>
    <xf numFmtId="167" fontId="15" fillId="9" borderId="1" xfId="4" applyNumberFormat="1" applyFont="1" applyFill="1" applyBorder="1" applyAlignment="1">
      <alignment horizontal="center" vertical="center"/>
    </xf>
    <xf numFmtId="0" fontId="22" fillId="10" borderId="1" xfId="0" applyFont="1" applyFill="1" applyBorder="1" applyAlignment="1">
      <alignment horizontal="center" vertical="center"/>
    </xf>
    <xf numFmtId="0" fontId="22" fillId="10" borderId="1" xfId="0" applyFont="1" applyFill="1" applyBorder="1" applyAlignment="1">
      <alignment vertical="center" wrapText="1"/>
    </xf>
    <xf numFmtId="168" fontId="22" fillId="11" borderId="1" xfId="2" applyNumberFormat="1" applyFont="1" applyFill="1" applyBorder="1" applyAlignment="1">
      <alignment horizontal="center" vertical="center"/>
    </xf>
    <xf numFmtId="0" fontId="23" fillId="11" borderId="1" xfId="0" applyFont="1" applyFill="1" applyBorder="1" applyAlignment="1">
      <alignment horizontal="left" vertical="center" wrapText="1"/>
    </xf>
    <xf numFmtId="3" fontId="22" fillId="10" borderId="1" xfId="2" applyNumberFormat="1" applyFont="1" applyFill="1" applyBorder="1" applyAlignment="1">
      <alignment horizontal="center" vertical="center"/>
    </xf>
    <xf numFmtId="0" fontId="23" fillId="0" borderId="1" xfId="0" applyFont="1" applyBorder="1" applyAlignment="1">
      <alignment horizontal="left" vertical="center" wrapText="1"/>
    </xf>
    <xf numFmtId="1" fontId="22" fillId="11" borderId="1" xfId="0" applyNumberFormat="1" applyFont="1" applyFill="1" applyBorder="1" applyAlignment="1">
      <alignment horizontal="center" vertical="center"/>
    </xf>
    <xf numFmtId="0" fontId="6" fillId="0" borderId="0" xfId="2" applyFont="1" applyAlignment="1">
      <alignment horizontal="center" vertical="center"/>
    </xf>
    <xf numFmtId="0" fontId="7" fillId="4" borderId="0" xfId="0" applyFont="1" applyFill="1" applyAlignment="1">
      <alignment horizontal="center" vertical="center" wrapText="1"/>
    </xf>
    <xf numFmtId="0" fontId="18" fillId="6" borderId="0" xfId="0" applyFont="1" applyFill="1" applyAlignment="1">
      <alignment horizontal="center" vertical="center" wrapText="1"/>
    </xf>
    <xf numFmtId="0" fontId="7" fillId="0" borderId="0" xfId="0" applyFont="1" applyAlignment="1">
      <alignment horizontal="center" vertical="center" wrapText="1"/>
    </xf>
    <xf numFmtId="0" fontId="7" fillId="5" borderId="0" xfId="0" applyFont="1" applyFill="1" applyAlignment="1">
      <alignment horizontal="center" vertical="center" wrapText="1"/>
    </xf>
    <xf numFmtId="0" fontId="7" fillId="3" borderId="0" xfId="0" applyFont="1" applyFill="1" applyAlignment="1">
      <alignment horizontal="center" vertical="center"/>
    </xf>
    <xf numFmtId="164" fontId="6" fillId="3" borderId="0" xfId="2" applyNumberFormat="1" applyFont="1" applyFill="1" applyAlignment="1">
      <alignment horizontal="center" vertical="center" wrapText="1"/>
    </xf>
    <xf numFmtId="164" fontId="12" fillId="3" borderId="0" xfId="2" applyNumberFormat="1" applyFont="1" applyFill="1" applyAlignment="1">
      <alignment horizontal="center" vertical="center" wrapText="1"/>
    </xf>
    <xf numFmtId="0" fontId="22" fillId="12" borderId="0" xfId="0" applyFont="1" applyFill="1" applyAlignment="1">
      <alignment vertical="center" wrapText="1"/>
    </xf>
    <xf numFmtId="0" fontId="24" fillId="13" borderId="13" xfId="6" applyFont="1" applyFill="1" applyBorder="1" applyAlignment="1">
      <alignment horizontal="center" vertical="center" wrapText="1"/>
    </xf>
    <xf numFmtId="169" fontId="25" fillId="0" borderId="13" xfId="2" applyNumberFormat="1" applyFont="1" applyBorder="1" applyAlignment="1">
      <alignment horizontal="center" vertical="center"/>
    </xf>
    <xf numFmtId="0" fontId="26" fillId="10" borderId="13" xfId="0" applyFont="1" applyFill="1" applyBorder="1" applyAlignment="1">
      <alignment horizontal="center" vertical="center"/>
    </xf>
    <xf numFmtId="169" fontId="25" fillId="0" borderId="13" xfId="2" applyNumberFormat="1" applyFont="1" applyBorder="1" applyAlignment="1" applyProtection="1">
      <alignment horizontal="center" vertical="center"/>
      <protection locked="0"/>
    </xf>
    <xf numFmtId="0" fontId="26" fillId="10" borderId="13" xfId="0" applyFont="1" applyFill="1" applyBorder="1" applyAlignment="1">
      <alignment horizontal="center" vertical="center" wrapText="1"/>
    </xf>
    <xf numFmtId="169" fontId="25" fillId="11" borderId="13" xfId="0" applyNumberFormat="1" applyFont="1" applyFill="1" applyBorder="1" applyAlignment="1" applyProtection="1">
      <alignment horizontal="center" vertical="center"/>
      <protection locked="0"/>
    </xf>
    <xf numFmtId="0" fontId="22" fillId="10" borderId="13" xfId="0" applyFont="1" applyFill="1" applyBorder="1" applyAlignment="1">
      <alignment horizontal="center" vertical="center" wrapText="1"/>
    </xf>
    <xf numFmtId="44" fontId="20" fillId="0" borderId="13" xfId="0" applyNumberFormat="1" applyFont="1" applyBorder="1" applyAlignment="1">
      <alignment horizontal="center" vertical="center" wrapText="1"/>
    </xf>
    <xf numFmtId="164" fontId="27" fillId="0" borderId="13" xfId="2" applyNumberFormat="1" applyFont="1" applyBorder="1" applyAlignment="1">
      <alignment horizontal="center" vertical="center"/>
    </xf>
    <xf numFmtId="164" fontId="27" fillId="3" borderId="13" xfId="0" applyNumberFormat="1" applyFont="1" applyFill="1" applyBorder="1" applyAlignment="1">
      <alignment horizontal="center" vertical="center" wrapText="1"/>
    </xf>
    <xf numFmtId="0" fontId="24" fillId="13" borderId="1" xfId="6"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8" fillId="0" borderId="13" xfId="0" applyFont="1" applyBorder="1" applyAlignment="1">
      <alignment horizontal="center" vertical="center" wrapText="1"/>
    </xf>
    <xf numFmtId="0" fontId="28" fillId="0" borderId="14" xfId="0" applyFont="1" applyBorder="1" applyAlignment="1">
      <alignment horizontal="center" vertical="center" wrapText="1"/>
    </xf>
    <xf numFmtId="167" fontId="6" fillId="4" borderId="5" xfId="2" applyNumberFormat="1" applyFont="1" applyFill="1" applyBorder="1" applyAlignment="1">
      <alignment horizontal="center" vertical="center"/>
    </xf>
    <xf numFmtId="44" fontId="29" fillId="0" borderId="1" xfId="1" applyFont="1" applyFill="1" applyBorder="1" applyAlignment="1">
      <alignment horizontal="center" vertical="center" wrapText="1"/>
    </xf>
    <xf numFmtId="44" fontId="29" fillId="0" borderId="13" xfId="1" applyFont="1" applyFill="1" applyBorder="1" applyAlignment="1">
      <alignment horizontal="center" vertical="center" wrapText="1"/>
    </xf>
    <xf numFmtId="44" fontId="29" fillId="0" borderId="14" xfId="1" applyFont="1" applyFill="1" applyBorder="1" applyAlignment="1">
      <alignment horizontal="center" vertical="center" wrapText="1"/>
    </xf>
    <xf numFmtId="164" fontId="27" fillId="0" borderId="13" xfId="2" applyNumberFormat="1" applyFont="1" applyBorder="1" applyAlignment="1">
      <alignment horizontal="right" vertical="center"/>
    </xf>
    <xf numFmtId="0" fontId="26" fillId="10" borderId="13" xfId="0" applyFont="1" applyFill="1" applyBorder="1" applyAlignment="1">
      <alignment horizontal="right" vertical="center" wrapText="1"/>
    </xf>
    <xf numFmtId="164" fontId="27" fillId="3" borderId="13" xfId="0" applyNumberFormat="1" applyFont="1" applyFill="1" applyBorder="1" applyAlignment="1">
      <alignment horizontal="right" vertical="center" wrapText="1"/>
    </xf>
    <xf numFmtId="0" fontId="22" fillId="10" borderId="13" xfId="0" applyFont="1" applyFill="1" applyBorder="1" applyAlignment="1">
      <alignment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18" fillId="0" borderId="1" xfId="0" applyFont="1" applyBorder="1" applyAlignment="1">
      <alignment horizontal="center" vertical="center" wrapText="1"/>
    </xf>
    <xf numFmtId="167" fontId="24" fillId="13" borderId="1" xfId="6" applyNumberFormat="1" applyFont="1" applyFill="1" applyBorder="1" applyAlignment="1">
      <alignment horizontal="center" vertical="center" wrapText="1"/>
    </xf>
    <xf numFmtId="167" fontId="22" fillId="10" borderId="1" xfId="0" applyNumberFormat="1" applyFont="1" applyFill="1" applyBorder="1" applyAlignment="1">
      <alignment vertical="center" wrapText="1"/>
    </xf>
    <xf numFmtId="44" fontId="22" fillId="10" borderId="1" xfId="1" applyFont="1" applyFill="1" applyBorder="1" applyAlignment="1">
      <alignment vertical="center" wrapText="1"/>
    </xf>
    <xf numFmtId="0" fontId="18" fillId="3" borderId="0" xfId="0" applyFont="1" applyFill="1" applyAlignment="1">
      <alignment horizontal="center" vertical="center" wrapText="1"/>
    </xf>
    <xf numFmtId="44" fontId="7" fillId="0" borderId="0" xfId="1" applyFont="1" applyAlignment="1">
      <alignment horizontal="justify" vertical="center" wrapText="1"/>
    </xf>
    <xf numFmtId="44" fontId="7" fillId="4" borderId="0" xfId="1" applyFont="1" applyFill="1" applyBorder="1" applyAlignment="1">
      <alignment horizontal="center" vertical="center" wrapText="1"/>
    </xf>
    <xf numFmtId="0" fontId="30" fillId="14" borderId="13" xfId="0" applyFont="1" applyFill="1" applyBorder="1" applyAlignment="1">
      <alignment horizontal="center" vertical="center" wrapText="1"/>
    </xf>
    <xf numFmtId="0" fontId="30" fillId="14" borderId="14" xfId="0" applyFont="1" applyFill="1" applyBorder="1" applyAlignment="1">
      <alignment horizontal="center" vertical="center" wrapText="1"/>
    </xf>
    <xf numFmtId="0" fontId="30" fillId="3" borderId="13" xfId="0" applyFont="1" applyFill="1" applyBorder="1" applyAlignment="1">
      <alignment horizontal="center" vertical="center" wrapText="1"/>
    </xf>
    <xf numFmtId="0" fontId="30" fillId="0" borderId="15" xfId="0" applyFont="1" applyBorder="1" applyAlignment="1">
      <alignment horizontal="center" vertical="center" wrapText="1"/>
    </xf>
    <xf numFmtId="0" fontId="28" fillId="0" borderId="15" xfId="0" applyFont="1" applyBorder="1" applyAlignment="1">
      <alignment horizontal="center" vertical="center" wrapText="1"/>
    </xf>
    <xf numFmtId="43" fontId="18" fillId="6" borderId="1" xfId="4" applyFont="1" applyFill="1" applyBorder="1" applyAlignment="1">
      <alignment horizontal="center" vertical="center" wrapText="1"/>
    </xf>
    <xf numFmtId="1" fontId="6" fillId="0" borderId="1" xfId="2" applyNumberFormat="1" applyFont="1" applyBorder="1" applyAlignment="1">
      <alignment horizontal="center" vertical="center"/>
    </xf>
    <xf numFmtId="170" fontId="5" fillId="0" borderId="1" xfId="2" applyNumberFormat="1" applyFont="1" applyBorder="1" applyAlignment="1">
      <alignment horizontal="center" vertical="center"/>
    </xf>
    <xf numFmtId="2" fontId="5" fillId="0" borderId="1" xfId="2" applyNumberFormat="1" applyFont="1" applyBorder="1" applyAlignment="1">
      <alignment horizontal="center" vertical="center"/>
    </xf>
    <xf numFmtId="0" fontId="22" fillId="10" borderId="1" xfId="0" applyFont="1" applyFill="1" applyBorder="1" applyAlignment="1">
      <alignment horizontal="center" vertical="center" wrapText="1"/>
    </xf>
    <xf numFmtId="43" fontId="18" fillId="6" borderId="2" xfId="4" applyFont="1" applyFill="1" applyBorder="1" applyAlignment="1">
      <alignment horizontal="center" vertical="center" wrapText="1"/>
    </xf>
    <xf numFmtId="0" fontId="30" fillId="3" borderId="14" xfId="0" applyFont="1" applyFill="1" applyBorder="1" applyAlignment="1">
      <alignment horizontal="center" vertical="center" wrapText="1"/>
    </xf>
    <xf numFmtId="167" fontId="15" fillId="5" borderId="1" xfId="4" applyNumberFormat="1" applyFont="1" applyFill="1" applyBorder="1" applyAlignment="1">
      <alignment horizontal="center" vertical="center" wrapText="1"/>
    </xf>
    <xf numFmtId="167" fontId="15" fillId="9" borderId="1" xfId="4" applyNumberFormat="1" applyFont="1" applyFill="1" applyBorder="1" applyAlignment="1">
      <alignment horizontal="right" vertical="center"/>
    </xf>
    <xf numFmtId="167" fontId="6" fillId="15" borderId="1" xfId="2" applyNumberFormat="1" applyFont="1" applyFill="1" applyBorder="1" applyAlignment="1">
      <alignment horizontal="right"/>
    </xf>
    <xf numFmtId="167" fontId="6" fillId="5" borderId="1" xfId="2" applyNumberFormat="1" applyFont="1" applyFill="1" applyBorder="1"/>
    <xf numFmtId="167" fontId="6" fillId="5" borderId="1" xfId="2" applyNumberFormat="1" applyFont="1" applyFill="1" applyBorder="1" applyAlignment="1">
      <alignment horizontal="right"/>
    </xf>
    <xf numFmtId="167" fontId="6" fillId="15" borderId="1" xfId="2" applyNumberFormat="1" applyFont="1" applyFill="1" applyBorder="1"/>
    <xf numFmtId="0" fontId="11" fillId="2" borderId="1" xfId="0" applyFont="1" applyFill="1" applyBorder="1" applyAlignment="1">
      <alignment horizontal="center" vertical="center" wrapText="1"/>
    </xf>
    <xf numFmtId="0" fontId="8" fillId="0" borderId="1" xfId="0" applyFont="1" applyBorder="1" applyAlignment="1">
      <alignment horizontal="center"/>
    </xf>
    <xf numFmtId="0" fontId="9" fillId="0" borderId="1" xfId="0" applyFont="1" applyBorder="1" applyAlignment="1">
      <alignment horizontal="center" vertical="center" wrapText="1"/>
    </xf>
    <xf numFmtId="0" fontId="7" fillId="6" borderId="1" xfId="0" applyFont="1" applyFill="1" applyBorder="1" applyAlignment="1">
      <alignment horizontal="center" vertical="center"/>
    </xf>
    <xf numFmtId="43" fontId="19" fillId="8" borderId="1" xfId="4" applyFont="1" applyFill="1" applyBorder="1" applyAlignment="1">
      <alignment horizontal="center" vertical="center" wrapText="1"/>
    </xf>
    <xf numFmtId="0" fontId="28" fillId="0" borderId="2" xfId="0" applyFont="1" applyBorder="1" applyAlignment="1">
      <alignment horizontal="left"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165" fontId="6" fillId="2" borderId="12"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164" fontId="6" fillId="6" borderId="2" xfId="2" applyNumberFormat="1" applyFont="1" applyFill="1" applyBorder="1" applyAlignment="1">
      <alignment horizontal="center" vertical="center" wrapText="1"/>
    </xf>
    <xf numFmtId="164" fontId="6" fillId="6" borderId="3" xfId="2" applyNumberFormat="1" applyFont="1" applyFill="1" applyBorder="1" applyAlignment="1">
      <alignment horizontal="center" vertical="center" wrapText="1"/>
    </xf>
    <xf numFmtId="164" fontId="6" fillId="6" borderId="4" xfId="2" applyNumberFormat="1" applyFont="1" applyFill="1" applyBorder="1" applyAlignment="1">
      <alignment horizontal="center" vertical="center" wrapText="1"/>
    </xf>
    <xf numFmtId="0" fontId="18" fillId="6" borderId="1" xfId="0" applyFont="1" applyFill="1" applyBorder="1" applyAlignment="1">
      <alignment horizontal="center" vertical="center" wrapText="1"/>
    </xf>
    <xf numFmtId="164" fontId="12" fillId="6" borderId="1" xfId="2" applyNumberFormat="1" applyFont="1" applyFill="1" applyBorder="1" applyAlignment="1">
      <alignment horizontal="center" vertical="center" wrapText="1"/>
    </xf>
    <xf numFmtId="0" fontId="28" fillId="0" borderId="7" xfId="0" applyFont="1" applyBorder="1" applyAlignment="1">
      <alignment horizontal="left" vertical="center" wrapText="1"/>
    </xf>
    <xf numFmtId="0" fontId="28" fillId="0" borderId="6" xfId="0" applyFont="1" applyBorder="1" applyAlignment="1">
      <alignment horizontal="left" vertical="center" wrapText="1"/>
    </xf>
    <xf numFmtId="0" fontId="28" fillId="0" borderId="8" xfId="0" applyFont="1" applyBorder="1" applyAlignment="1">
      <alignment horizontal="left" vertical="center" wrapText="1"/>
    </xf>
    <xf numFmtId="0" fontId="30" fillId="0" borderId="2" xfId="0" applyFont="1" applyBorder="1" applyAlignment="1">
      <alignment horizontal="left" vertical="center" wrapText="1"/>
    </xf>
    <xf numFmtId="0" fontId="30" fillId="0" borderId="3" xfId="0" applyFont="1" applyBorder="1" applyAlignment="1">
      <alignment horizontal="left" vertical="center" wrapText="1"/>
    </xf>
    <xf numFmtId="0" fontId="30" fillId="0" borderId="4" xfId="0" applyFont="1" applyBorder="1" applyAlignment="1">
      <alignment horizontal="left" vertical="center" wrapText="1"/>
    </xf>
    <xf numFmtId="0" fontId="13" fillId="0" borderId="0" xfId="0" applyFont="1" applyAlignment="1">
      <alignment horizontal="left" vertical="justify" wrapText="1"/>
    </xf>
    <xf numFmtId="0" fontId="7" fillId="9" borderId="1" xfId="0" applyFont="1" applyFill="1" applyBorder="1" applyAlignment="1">
      <alignment horizontal="left" vertical="center" wrapText="1"/>
    </xf>
    <xf numFmtId="0" fontId="5" fillId="0" borderId="0" xfId="0" applyFont="1" applyAlignment="1">
      <alignment vertical="center" wrapText="1"/>
    </xf>
    <xf numFmtId="0" fontId="13" fillId="0" borderId="0" xfId="0" applyFont="1" applyAlignment="1">
      <alignment horizontal="left" wrapText="1"/>
    </xf>
    <xf numFmtId="0" fontId="30" fillId="0" borderId="7" xfId="0" applyFont="1" applyBorder="1" applyAlignment="1">
      <alignment horizontal="left" vertical="center" wrapText="1"/>
    </xf>
    <xf numFmtId="0" fontId="30" fillId="0" borderId="6" xfId="0" applyFont="1" applyBorder="1" applyAlignment="1">
      <alignment horizontal="left" vertical="center" wrapText="1"/>
    </xf>
    <xf numFmtId="0" fontId="30" fillId="0" borderId="8" xfId="0" applyFont="1" applyBorder="1" applyAlignment="1">
      <alignment horizontal="left" vertical="center" wrapText="1"/>
    </xf>
    <xf numFmtId="0" fontId="7" fillId="5" borderId="2" xfId="0" applyFont="1" applyFill="1" applyBorder="1" applyAlignment="1">
      <alignment horizontal="left" vertical="center"/>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xf numFmtId="0" fontId="6" fillId="15" borderId="1" xfId="2" applyFont="1" applyFill="1" applyBorder="1" applyAlignment="1">
      <alignment horizontal="left"/>
    </xf>
    <xf numFmtId="0" fontId="6" fillId="5" borderId="1" xfId="2" applyFont="1" applyFill="1" applyBorder="1" applyAlignment="1">
      <alignment horizontal="left"/>
    </xf>
    <xf numFmtId="0" fontId="7" fillId="6"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0" xfId="0" applyFont="1" applyAlignment="1">
      <alignment horizontal="justify"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167" fontId="5" fillId="3" borderId="2" xfId="0" applyNumberFormat="1" applyFont="1" applyFill="1" applyBorder="1" applyAlignment="1">
      <alignment horizontal="center" vertical="center"/>
    </xf>
    <xf numFmtId="167" fontId="5" fillId="3" borderId="4" xfId="0" applyNumberFormat="1" applyFont="1" applyFill="1" applyBorder="1" applyAlignment="1">
      <alignment horizontal="center" vertical="center"/>
    </xf>
    <xf numFmtId="0" fontId="20" fillId="0" borderId="2" xfId="0" applyFont="1" applyBorder="1" applyAlignment="1">
      <alignment horizontal="left" vertical="center"/>
    </xf>
    <xf numFmtId="0" fontId="20" fillId="0" borderId="3" xfId="0" applyFont="1" applyBorder="1" applyAlignment="1">
      <alignment horizontal="left" vertical="center"/>
    </xf>
    <xf numFmtId="0" fontId="20" fillId="0" borderId="4" xfId="0" applyFont="1" applyBorder="1" applyAlignment="1">
      <alignment horizontal="left" vertical="center"/>
    </xf>
    <xf numFmtId="167" fontId="5" fillId="3" borderId="1" xfId="0" applyNumberFormat="1" applyFont="1" applyFill="1" applyBorder="1" applyAlignment="1">
      <alignment horizontal="center" vertical="center"/>
    </xf>
    <xf numFmtId="167" fontId="5" fillId="13" borderId="1" xfId="0" applyNumberFormat="1" applyFont="1" applyFill="1" applyBorder="1" applyAlignment="1">
      <alignment horizontal="center" vertical="center"/>
    </xf>
    <xf numFmtId="0" fontId="30" fillId="0" borderId="2" xfId="0" applyFont="1" applyBorder="1" applyAlignment="1">
      <alignment horizontal="left" vertical="center"/>
    </xf>
    <xf numFmtId="0" fontId="30" fillId="0" borderId="3" xfId="0" applyFont="1" applyBorder="1" applyAlignment="1">
      <alignment horizontal="left" vertical="center"/>
    </xf>
    <xf numFmtId="0" fontId="30" fillId="0" borderId="4" xfId="0" applyFont="1" applyBorder="1" applyAlignment="1">
      <alignment horizontal="left" vertical="center"/>
    </xf>
    <xf numFmtId="0" fontId="24" fillId="13" borderId="2" xfId="6" applyFont="1" applyFill="1" applyBorder="1" applyAlignment="1">
      <alignment horizontal="center" vertical="center" wrapText="1"/>
    </xf>
    <xf numFmtId="0" fontId="24" fillId="13" borderId="4" xfId="6" applyFont="1" applyFill="1" applyBorder="1" applyAlignment="1">
      <alignment horizontal="center" vertical="center" wrapText="1"/>
    </xf>
    <xf numFmtId="0" fontId="12" fillId="6" borderId="1" xfId="0" applyFont="1" applyFill="1" applyBorder="1" applyAlignment="1">
      <alignment horizontal="center" vertical="center" wrapText="1"/>
    </xf>
    <xf numFmtId="165" fontId="6" fillId="2" borderId="7" xfId="0" applyNumberFormat="1" applyFont="1" applyFill="1" applyBorder="1" applyAlignment="1">
      <alignment horizontal="center" vertical="center" wrapText="1"/>
    </xf>
    <xf numFmtId="165" fontId="6" fillId="2" borderId="6" xfId="0" applyNumberFormat="1" applyFont="1" applyFill="1" applyBorder="1" applyAlignment="1">
      <alignment horizontal="center" vertical="center" wrapText="1"/>
    </xf>
    <xf numFmtId="165" fontId="6" fillId="2" borderId="8" xfId="0" applyNumberFormat="1" applyFont="1" applyFill="1" applyBorder="1" applyAlignment="1">
      <alignment horizontal="center" vertical="center" wrapText="1"/>
    </xf>
    <xf numFmtId="165" fontId="6" fillId="2" borderId="9" xfId="0" applyNumberFormat="1" applyFont="1" applyFill="1" applyBorder="1" applyAlignment="1">
      <alignment horizontal="center" vertical="center" wrapText="1"/>
    </xf>
    <xf numFmtId="165" fontId="6" fillId="2" borderId="10" xfId="0" applyNumberFormat="1" applyFont="1" applyFill="1" applyBorder="1" applyAlignment="1">
      <alignment horizontal="center" vertical="center" wrapText="1"/>
    </xf>
    <xf numFmtId="165" fontId="6" fillId="2" borderId="1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5" fillId="0" borderId="0" xfId="0" applyFont="1" applyAlignment="1">
      <alignment horizontal="left" vertic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9" borderId="1" xfId="0" applyFont="1" applyFill="1" applyBorder="1" applyAlignment="1">
      <alignment horizontal="center" vertical="center" wrapText="1"/>
    </xf>
  </cellXfs>
  <cellStyles count="7">
    <cellStyle name="Millares" xfId="4" builtinId="3"/>
    <cellStyle name="Moneda" xfId="1" builtinId="4"/>
    <cellStyle name="Normal" xfId="0" builtinId="0"/>
    <cellStyle name="Normal 2" xfId="2" xr:uid="{00000000-0005-0000-0000-000003000000}"/>
    <cellStyle name="Normal 2 2" xfId="3" xr:uid="{00000000-0005-0000-0000-000004000000}"/>
    <cellStyle name="Normal 3" xfId="6" xr:uid="{00000000-0005-0000-0000-000005000000}"/>
    <cellStyle name="Porcentaje" xfId="5" builtinId="5"/>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679451</xdr:colOff>
      <xdr:row>1</xdr:row>
      <xdr:rowOff>95251</xdr:rowOff>
    </xdr:from>
    <xdr:to>
      <xdr:col>1</xdr:col>
      <xdr:colOff>2984500</xdr:colOff>
      <xdr:row>1</xdr:row>
      <xdr:rowOff>742950</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451" y="571501"/>
          <a:ext cx="3016249" cy="647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241301</xdr:colOff>
      <xdr:row>1</xdr:row>
      <xdr:rowOff>95250</xdr:rowOff>
    </xdr:from>
    <xdr:to>
      <xdr:col>1</xdr:col>
      <xdr:colOff>2899833</xdr:colOff>
      <xdr:row>1</xdr:row>
      <xdr:rowOff>724743</xdr:rowOff>
    </xdr:to>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0968" y="762000"/>
          <a:ext cx="2658532" cy="6294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679451</xdr:colOff>
      <xdr:row>1</xdr:row>
      <xdr:rowOff>95251</xdr:rowOff>
    </xdr:from>
    <xdr:to>
      <xdr:col>1</xdr:col>
      <xdr:colOff>2987675</xdr:colOff>
      <xdr:row>1</xdr:row>
      <xdr:rowOff>742950</xdr:rowOff>
    </xdr:to>
    <xdr:pic>
      <xdr:nvPicPr>
        <xdr:cNvPr id="2" name="Imagen 2">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451" y="571501"/>
          <a:ext cx="3016249" cy="647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679451</xdr:colOff>
      <xdr:row>1</xdr:row>
      <xdr:rowOff>95251</xdr:rowOff>
    </xdr:from>
    <xdr:to>
      <xdr:col>1</xdr:col>
      <xdr:colOff>2981325</xdr:colOff>
      <xdr:row>1</xdr:row>
      <xdr:rowOff>742950</xdr:rowOff>
    </xdr:to>
    <xdr:pic>
      <xdr:nvPicPr>
        <xdr:cNvPr id="2" name="Imagen 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9451" y="571501"/>
          <a:ext cx="3016249" cy="647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4"/>
  <sheetViews>
    <sheetView zoomScale="71" zoomScaleNormal="71" workbookViewId="0">
      <selection sqref="A1:AC1"/>
    </sheetView>
  </sheetViews>
  <sheetFormatPr baseColWidth="10" defaultColWidth="9.140625" defaultRowHeight="12.75" x14ac:dyDescent="0.2"/>
  <cols>
    <col min="1" max="1" width="10.7109375" style="16" customWidth="1"/>
    <col min="2" max="2" width="52" style="16" customWidth="1"/>
    <col min="3" max="3" width="18.5703125" style="16" customWidth="1"/>
    <col min="4" max="4" width="15" style="17" customWidth="1"/>
    <col min="5" max="7" width="16.140625" style="17" customWidth="1"/>
    <col min="8" max="8" width="19.140625" style="18" customWidth="1"/>
    <col min="9" max="9" width="3.42578125" style="18" customWidth="1"/>
    <col min="10" max="10" width="19.140625" style="18" customWidth="1"/>
    <col min="11" max="11" width="3.42578125" style="18" customWidth="1"/>
    <col min="12" max="12" width="25" style="18" customWidth="1"/>
    <col min="13" max="13" width="3.42578125" style="18" customWidth="1"/>
    <col min="14" max="14" width="19" style="19" customWidth="1"/>
    <col min="15" max="15" width="16.5703125" style="19" customWidth="1"/>
    <col min="16" max="16" width="20.42578125" style="19" customWidth="1"/>
    <col min="17" max="17" width="21" style="31" customWidth="1"/>
    <col min="18" max="18" width="4.5703125" style="16" customWidth="1"/>
    <col min="19" max="19" width="18.7109375" style="16" customWidth="1"/>
    <col min="20" max="20" width="16.28515625" style="16" customWidth="1"/>
    <col min="21" max="21" width="19" style="16" customWidth="1"/>
    <col min="22" max="22" width="25.42578125" style="16" customWidth="1"/>
    <col min="23" max="23" width="4.28515625" style="16" customWidth="1"/>
    <col min="24" max="24" width="16.85546875" style="16" customWidth="1"/>
    <col min="25" max="25" width="17.42578125" style="16" customWidth="1"/>
    <col min="26" max="26" width="18" style="16" customWidth="1"/>
    <col min="27" max="27" width="24.85546875" style="16" customWidth="1"/>
    <col min="28" max="28" width="4.42578125" style="16" customWidth="1"/>
    <col min="29" max="29" width="26.28515625" style="16" customWidth="1"/>
    <col min="30" max="229" width="9.140625" style="16"/>
    <col min="230" max="230" width="10.7109375" style="16" customWidth="1"/>
    <col min="231" max="231" width="60.140625" style="16" customWidth="1"/>
    <col min="232" max="232" width="27.5703125" style="16" customWidth="1"/>
    <col min="233" max="233" width="16.140625" style="16" customWidth="1"/>
    <col min="234" max="234" width="22.85546875" style="16" customWidth="1"/>
    <col min="235" max="235" width="3.7109375" style="16" customWidth="1"/>
    <col min="236" max="242" width="0" style="16" hidden="1" customWidth="1"/>
    <col min="243" max="243" width="3.140625" style="16" customWidth="1"/>
    <col min="244" max="245" width="19.42578125" style="16" customWidth="1"/>
    <col min="246" max="246" width="23.28515625" style="16" customWidth="1"/>
    <col min="247" max="247" width="19.5703125" style="16" customWidth="1"/>
    <col min="248" max="248" width="9.140625" style="16"/>
    <col min="249" max="249" width="18.7109375" style="16" customWidth="1"/>
    <col min="250" max="485" width="9.140625" style="16"/>
    <col min="486" max="486" width="10.7109375" style="16" customWidth="1"/>
    <col min="487" max="487" width="60.140625" style="16" customWidth="1"/>
    <col min="488" max="488" width="27.5703125" style="16" customWidth="1"/>
    <col min="489" max="489" width="16.140625" style="16" customWidth="1"/>
    <col min="490" max="490" width="22.85546875" style="16" customWidth="1"/>
    <col min="491" max="491" width="3.7109375" style="16" customWidth="1"/>
    <col min="492" max="498" width="0" style="16" hidden="1" customWidth="1"/>
    <col min="499" max="499" width="3.140625" style="16" customWidth="1"/>
    <col min="500" max="501" width="19.42578125" style="16" customWidth="1"/>
    <col min="502" max="502" width="23.28515625" style="16" customWidth="1"/>
    <col min="503" max="503" width="19.5703125" style="16" customWidth="1"/>
    <col min="504" max="504" width="9.140625" style="16"/>
    <col min="505" max="505" width="18.7109375" style="16" customWidth="1"/>
    <col min="506" max="741" width="9.140625" style="16"/>
    <col min="742" max="742" width="10.7109375" style="16" customWidth="1"/>
    <col min="743" max="743" width="60.140625" style="16" customWidth="1"/>
    <col min="744" max="744" width="27.5703125" style="16" customWidth="1"/>
    <col min="745" max="745" width="16.140625" style="16" customWidth="1"/>
    <col min="746" max="746" width="22.85546875" style="16" customWidth="1"/>
    <col min="747" max="747" width="3.7109375" style="16" customWidth="1"/>
    <col min="748" max="754" width="0" style="16" hidden="1" customWidth="1"/>
    <col min="755" max="755" width="3.140625" style="16" customWidth="1"/>
    <col min="756" max="757" width="19.42578125" style="16" customWidth="1"/>
    <col min="758" max="758" width="23.28515625" style="16" customWidth="1"/>
    <col min="759" max="759" width="19.5703125" style="16" customWidth="1"/>
    <col min="760" max="760" width="9.140625" style="16"/>
    <col min="761" max="761" width="18.7109375" style="16" customWidth="1"/>
    <col min="762" max="997" width="9.140625" style="16"/>
    <col min="998" max="998" width="10.7109375" style="16" customWidth="1"/>
    <col min="999" max="999" width="60.140625" style="16" customWidth="1"/>
    <col min="1000" max="1000" width="27.5703125" style="16" customWidth="1"/>
    <col min="1001" max="1001" width="16.140625" style="16" customWidth="1"/>
    <col min="1002" max="1002" width="22.85546875" style="16" customWidth="1"/>
    <col min="1003" max="1003" width="3.7109375" style="16" customWidth="1"/>
    <col min="1004" max="1010" width="0" style="16" hidden="1" customWidth="1"/>
    <col min="1011" max="1011" width="3.140625" style="16" customWidth="1"/>
    <col min="1012" max="1013" width="19.42578125" style="16" customWidth="1"/>
    <col min="1014" max="1014" width="23.28515625" style="16" customWidth="1"/>
    <col min="1015" max="1015" width="19.5703125" style="16" customWidth="1"/>
    <col min="1016" max="1016" width="9.140625" style="16"/>
    <col min="1017" max="1017" width="18.7109375" style="16" customWidth="1"/>
    <col min="1018" max="1253" width="9.140625" style="16"/>
    <col min="1254" max="1254" width="10.7109375" style="16" customWidth="1"/>
    <col min="1255" max="1255" width="60.140625" style="16" customWidth="1"/>
    <col min="1256" max="1256" width="27.5703125" style="16" customWidth="1"/>
    <col min="1257" max="1257" width="16.140625" style="16" customWidth="1"/>
    <col min="1258" max="1258" width="22.85546875" style="16" customWidth="1"/>
    <col min="1259" max="1259" width="3.7109375" style="16" customWidth="1"/>
    <col min="1260" max="1266" width="0" style="16" hidden="1" customWidth="1"/>
    <col min="1267" max="1267" width="3.140625" style="16" customWidth="1"/>
    <col min="1268" max="1269" width="19.42578125" style="16" customWidth="1"/>
    <col min="1270" max="1270" width="23.28515625" style="16" customWidth="1"/>
    <col min="1271" max="1271" width="19.5703125" style="16" customWidth="1"/>
    <col min="1272" max="1272" width="9.140625" style="16"/>
    <col min="1273" max="1273" width="18.7109375" style="16" customWidth="1"/>
    <col min="1274" max="1509" width="9.140625" style="16"/>
    <col min="1510" max="1510" width="10.7109375" style="16" customWidth="1"/>
    <col min="1511" max="1511" width="60.140625" style="16" customWidth="1"/>
    <col min="1512" max="1512" width="27.5703125" style="16" customWidth="1"/>
    <col min="1513" max="1513" width="16.140625" style="16" customWidth="1"/>
    <col min="1514" max="1514" width="22.85546875" style="16" customWidth="1"/>
    <col min="1515" max="1515" width="3.7109375" style="16" customWidth="1"/>
    <col min="1516" max="1522" width="0" style="16" hidden="1" customWidth="1"/>
    <col min="1523" max="1523" width="3.140625" style="16" customWidth="1"/>
    <col min="1524" max="1525" width="19.42578125" style="16" customWidth="1"/>
    <col min="1526" max="1526" width="23.28515625" style="16" customWidth="1"/>
    <col min="1527" max="1527" width="19.5703125" style="16" customWidth="1"/>
    <col min="1528" max="1528" width="9.140625" style="16"/>
    <col min="1529" max="1529" width="18.7109375" style="16" customWidth="1"/>
    <col min="1530" max="1765" width="9.140625" style="16"/>
    <col min="1766" max="1766" width="10.7109375" style="16" customWidth="1"/>
    <col min="1767" max="1767" width="60.140625" style="16" customWidth="1"/>
    <col min="1768" max="1768" width="27.5703125" style="16" customWidth="1"/>
    <col min="1769" max="1769" width="16.140625" style="16" customWidth="1"/>
    <col min="1770" max="1770" width="22.85546875" style="16" customWidth="1"/>
    <col min="1771" max="1771" width="3.7109375" style="16" customWidth="1"/>
    <col min="1772" max="1778" width="0" style="16" hidden="1" customWidth="1"/>
    <col min="1779" max="1779" width="3.140625" style="16" customWidth="1"/>
    <col min="1780" max="1781" width="19.42578125" style="16" customWidth="1"/>
    <col min="1782" max="1782" width="23.28515625" style="16" customWidth="1"/>
    <col min="1783" max="1783" width="19.5703125" style="16" customWidth="1"/>
    <col min="1784" max="1784" width="9.140625" style="16"/>
    <col min="1785" max="1785" width="18.7109375" style="16" customWidth="1"/>
    <col min="1786" max="2021" width="9.140625" style="16"/>
    <col min="2022" max="2022" width="10.7109375" style="16" customWidth="1"/>
    <col min="2023" max="2023" width="60.140625" style="16" customWidth="1"/>
    <col min="2024" max="2024" width="27.5703125" style="16" customWidth="1"/>
    <col min="2025" max="2025" width="16.140625" style="16" customWidth="1"/>
    <col min="2026" max="2026" width="22.85546875" style="16" customWidth="1"/>
    <col min="2027" max="2027" width="3.7109375" style="16" customWidth="1"/>
    <col min="2028" max="2034" width="0" style="16" hidden="1" customWidth="1"/>
    <col min="2035" max="2035" width="3.140625" style="16" customWidth="1"/>
    <col min="2036" max="2037" width="19.42578125" style="16" customWidth="1"/>
    <col min="2038" max="2038" width="23.28515625" style="16" customWidth="1"/>
    <col min="2039" max="2039" width="19.5703125" style="16" customWidth="1"/>
    <col min="2040" max="2040" width="9.140625" style="16"/>
    <col min="2041" max="2041" width="18.7109375" style="16" customWidth="1"/>
    <col min="2042" max="2277" width="9.140625" style="16"/>
    <col min="2278" max="2278" width="10.7109375" style="16" customWidth="1"/>
    <col min="2279" max="2279" width="60.140625" style="16" customWidth="1"/>
    <col min="2280" max="2280" width="27.5703125" style="16" customWidth="1"/>
    <col min="2281" max="2281" width="16.140625" style="16" customWidth="1"/>
    <col min="2282" max="2282" width="22.85546875" style="16" customWidth="1"/>
    <col min="2283" max="2283" width="3.7109375" style="16" customWidth="1"/>
    <col min="2284" max="2290" width="0" style="16" hidden="1" customWidth="1"/>
    <col min="2291" max="2291" width="3.140625" style="16" customWidth="1"/>
    <col min="2292" max="2293" width="19.42578125" style="16" customWidth="1"/>
    <col min="2294" max="2294" width="23.28515625" style="16" customWidth="1"/>
    <col min="2295" max="2295" width="19.5703125" style="16" customWidth="1"/>
    <col min="2296" max="2296" width="9.140625" style="16"/>
    <col min="2297" max="2297" width="18.7109375" style="16" customWidth="1"/>
    <col min="2298" max="2533" width="9.140625" style="16"/>
    <col min="2534" max="2534" width="10.7109375" style="16" customWidth="1"/>
    <col min="2535" max="2535" width="60.140625" style="16" customWidth="1"/>
    <col min="2536" max="2536" width="27.5703125" style="16" customWidth="1"/>
    <col min="2537" max="2537" width="16.140625" style="16" customWidth="1"/>
    <col min="2538" max="2538" width="22.85546875" style="16" customWidth="1"/>
    <col min="2539" max="2539" width="3.7109375" style="16" customWidth="1"/>
    <col min="2540" max="2546" width="0" style="16" hidden="1" customWidth="1"/>
    <col min="2547" max="2547" width="3.140625" style="16" customWidth="1"/>
    <col min="2548" max="2549" width="19.42578125" style="16" customWidth="1"/>
    <col min="2550" max="2550" width="23.28515625" style="16" customWidth="1"/>
    <col min="2551" max="2551" width="19.5703125" style="16" customWidth="1"/>
    <col min="2552" max="2552" width="9.140625" style="16"/>
    <col min="2553" max="2553" width="18.7109375" style="16" customWidth="1"/>
    <col min="2554" max="2789" width="9.140625" style="16"/>
    <col min="2790" max="2790" width="10.7109375" style="16" customWidth="1"/>
    <col min="2791" max="2791" width="60.140625" style="16" customWidth="1"/>
    <col min="2792" max="2792" width="27.5703125" style="16" customWidth="1"/>
    <col min="2793" max="2793" width="16.140625" style="16" customWidth="1"/>
    <col min="2794" max="2794" width="22.85546875" style="16" customWidth="1"/>
    <col min="2795" max="2795" width="3.7109375" style="16" customWidth="1"/>
    <col min="2796" max="2802" width="0" style="16" hidden="1" customWidth="1"/>
    <col min="2803" max="2803" width="3.140625" style="16" customWidth="1"/>
    <col min="2804" max="2805" width="19.42578125" style="16" customWidth="1"/>
    <col min="2806" max="2806" width="23.28515625" style="16" customWidth="1"/>
    <col min="2807" max="2807" width="19.5703125" style="16" customWidth="1"/>
    <col min="2808" max="2808" width="9.140625" style="16"/>
    <col min="2809" max="2809" width="18.7109375" style="16" customWidth="1"/>
    <col min="2810" max="3045" width="9.140625" style="16"/>
    <col min="3046" max="3046" width="10.7109375" style="16" customWidth="1"/>
    <col min="3047" max="3047" width="60.140625" style="16" customWidth="1"/>
    <col min="3048" max="3048" width="27.5703125" style="16" customWidth="1"/>
    <col min="3049" max="3049" width="16.140625" style="16" customWidth="1"/>
    <col min="3050" max="3050" width="22.85546875" style="16" customWidth="1"/>
    <col min="3051" max="3051" width="3.7109375" style="16" customWidth="1"/>
    <col min="3052" max="3058" width="0" style="16" hidden="1" customWidth="1"/>
    <col min="3059" max="3059" width="3.140625" style="16" customWidth="1"/>
    <col min="3060" max="3061" width="19.42578125" style="16" customWidth="1"/>
    <col min="3062" max="3062" width="23.28515625" style="16" customWidth="1"/>
    <col min="3063" max="3063" width="19.5703125" style="16" customWidth="1"/>
    <col min="3064" max="3064" width="9.140625" style="16"/>
    <col min="3065" max="3065" width="18.7109375" style="16" customWidth="1"/>
    <col min="3066" max="3301" width="9.140625" style="16"/>
    <col min="3302" max="3302" width="10.7109375" style="16" customWidth="1"/>
    <col min="3303" max="3303" width="60.140625" style="16" customWidth="1"/>
    <col min="3304" max="3304" width="27.5703125" style="16" customWidth="1"/>
    <col min="3305" max="3305" width="16.140625" style="16" customWidth="1"/>
    <col min="3306" max="3306" width="22.85546875" style="16" customWidth="1"/>
    <col min="3307" max="3307" width="3.7109375" style="16" customWidth="1"/>
    <col min="3308" max="3314" width="0" style="16" hidden="1" customWidth="1"/>
    <col min="3315" max="3315" width="3.140625" style="16" customWidth="1"/>
    <col min="3316" max="3317" width="19.42578125" style="16" customWidth="1"/>
    <col min="3318" max="3318" width="23.28515625" style="16" customWidth="1"/>
    <col min="3319" max="3319" width="19.5703125" style="16" customWidth="1"/>
    <col min="3320" max="3320" width="9.140625" style="16"/>
    <col min="3321" max="3321" width="18.7109375" style="16" customWidth="1"/>
    <col min="3322" max="3557" width="9.140625" style="16"/>
    <col min="3558" max="3558" width="10.7109375" style="16" customWidth="1"/>
    <col min="3559" max="3559" width="60.140625" style="16" customWidth="1"/>
    <col min="3560" max="3560" width="27.5703125" style="16" customWidth="1"/>
    <col min="3561" max="3561" width="16.140625" style="16" customWidth="1"/>
    <col min="3562" max="3562" width="22.85546875" style="16" customWidth="1"/>
    <col min="3563" max="3563" width="3.7109375" style="16" customWidth="1"/>
    <col min="3564" max="3570" width="0" style="16" hidden="1" customWidth="1"/>
    <col min="3571" max="3571" width="3.140625" style="16" customWidth="1"/>
    <col min="3572" max="3573" width="19.42578125" style="16" customWidth="1"/>
    <col min="3574" max="3574" width="23.28515625" style="16" customWidth="1"/>
    <col min="3575" max="3575" width="19.5703125" style="16" customWidth="1"/>
    <col min="3576" max="3576" width="9.140625" style="16"/>
    <col min="3577" max="3577" width="18.7109375" style="16" customWidth="1"/>
    <col min="3578" max="3813" width="9.140625" style="16"/>
    <col min="3814" max="3814" width="10.7109375" style="16" customWidth="1"/>
    <col min="3815" max="3815" width="60.140625" style="16" customWidth="1"/>
    <col min="3816" max="3816" width="27.5703125" style="16" customWidth="1"/>
    <col min="3817" max="3817" width="16.140625" style="16" customWidth="1"/>
    <col min="3818" max="3818" width="22.85546875" style="16" customWidth="1"/>
    <col min="3819" max="3819" width="3.7109375" style="16" customWidth="1"/>
    <col min="3820" max="3826" width="0" style="16" hidden="1" customWidth="1"/>
    <col min="3827" max="3827" width="3.140625" style="16" customWidth="1"/>
    <col min="3828" max="3829" width="19.42578125" style="16" customWidth="1"/>
    <col min="3830" max="3830" width="23.28515625" style="16" customWidth="1"/>
    <col min="3831" max="3831" width="19.5703125" style="16" customWidth="1"/>
    <col min="3832" max="3832" width="9.140625" style="16"/>
    <col min="3833" max="3833" width="18.7109375" style="16" customWidth="1"/>
    <col min="3834" max="4069" width="9.140625" style="16"/>
    <col min="4070" max="4070" width="10.7109375" style="16" customWidth="1"/>
    <col min="4071" max="4071" width="60.140625" style="16" customWidth="1"/>
    <col min="4072" max="4072" width="27.5703125" style="16" customWidth="1"/>
    <col min="4073" max="4073" width="16.140625" style="16" customWidth="1"/>
    <col min="4074" max="4074" width="22.85546875" style="16" customWidth="1"/>
    <col min="4075" max="4075" width="3.7109375" style="16" customWidth="1"/>
    <col min="4076" max="4082" width="0" style="16" hidden="1" customWidth="1"/>
    <col min="4083" max="4083" width="3.140625" style="16" customWidth="1"/>
    <col min="4084" max="4085" width="19.42578125" style="16" customWidth="1"/>
    <col min="4086" max="4086" width="23.28515625" style="16" customWidth="1"/>
    <col min="4087" max="4087" width="19.5703125" style="16" customWidth="1"/>
    <col min="4088" max="4088" width="9.140625" style="16"/>
    <col min="4089" max="4089" width="18.7109375" style="16" customWidth="1"/>
    <col min="4090" max="4325" width="9.140625" style="16"/>
    <col min="4326" max="4326" width="10.7109375" style="16" customWidth="1"/>
    <col min="4327" max="4327" width="60.140625" style="16" customWidth="1"/>
    <col min="4328" max="4328" width="27.5703125" style="16" customWidth="1"/>
    <col min="4329" max="4329" width="16.140625" style="16" customWidth="1"/>
    <col min="4330" max="4330" width="22.85546875" style="16" customWidth="1"/>
    <col min="4331" max="4331" width="3.7109375" style="16" customWidth="1"/>
    <col min="4332" max="4338" width="0" style="16" hidden="1" customWidth="1"/>
    <col min="4339" max="4339" width="3.140625" style="16" customWidth="1"/>
    <col min="4340" max="4341" width="19.42578125" style="16" customWidth="1"/>
    <col min="4342" max="4342" width="23.28515625" style="16" customWidth="1"/>
    <col min="4343" max="4343" width="19.5703125" style="16" customWidth="1"/>
    <col min="4344" max="4344" width="9.140625" style="16"/>
    <col min="4345" max="4345" width="18.7109375" style="16" customWidth="1"/>
    <col min="4346" max="4581" width="9.140625" style="16"/>
    <col min="4582" max="4582" width="10.7109375" style="16" customWidth="1"/>
    <col min="4583" max="4583" width="60.140625" style="16" customWidth="1"/>
    <col min="4584" max="4584" width="27.5703125" style="16" customWidth="1"/>
    <col min="4585" max="4585" width="16.140625" style="16" customWidth="1"/>
    <col min="4586" max="4586" width="22.85546875" style="16" customWidth="1"/>
    <col min="4587" max="4587" width="3.7109375" style="16" customWidth="1"/>
    <col min="4588" max="4594" width="0" style="16" hidden="1" customWidth="1"/>
    <col min="4595" max="4595" width="3.140625" style="16" customWidth="1"/>
    <col min="4596" max="4597" width="19.42578125" style="16" customWidth="1"/>
    <col min="4598" max="4598" width="23.28515625" style="16" customWidth="1"/>
    <col min="4599" max="4599" width="19.5703125" style="16" customWidth="1"/>
    <col min="4600" max="4600" width="9.140625" style="16"/>
    <col min="4601" max="4601" width="18.7109375" style="16" customWidth="1"/>
    <col min="4602" max="4837" width="9.140625" style="16"/>
    <col min="4838" max="4838" width="10.7109375" style="16" customWidth="1"/>
    <col min="4839" max="4839" width="60.140625" style="16" customWidth="1"/>
    <col min="4840" max="4840" width="27.5703125" style="16" customWidth="1"/>
    <col min="4841" max="4841" width="16.140625" style="16" customWidth="1"/>
    <col min="4842" max="4842" width="22.85546875" style="16" customWidth="1"/>
    <col min="4843" max="4843" width="3.7109375" style="16" customWidth="1"/>
    <col min="4844" max="4850" width="0" style="16" hidden="1" customWidth="1"/>
    <col min="4851" max="4851" width="3.140625" style="16" customWidth="1"/>
    <col min="4852" max="4853" width="19.42578125" style="16" customWidth="1"/>
    <col min="4854" max="4854" width="23.28515625" style="16" customWidth="1"/>
    <col min="4855" max="4855" width="19.5703125" style="16" customWidth="1"/>
    <col min="4856" max="4856" width="9.140625" style="16"/>
    <col min="4857" max="4857" width="18.7109375" style="16" customWidth="1"/>
    <col min="4858" max="5093" width="9.140625" style="16"/>
    <col min="5094" max="5094" width="10.7109375" style="16" customWidth="1"/>
    <col min="5095" max="5095" width="60.140625" style="16" customWidth="1"/>
    <col min="5096" max="5096" width="27.5703125" style="16" customWidth="1"/>
    <col min="5097" max="5097" width="16.140625" style="16" customWidth="1"/>
    <col min="5098" max="5098" width="22.85546875" style="16" customWidth="1"/>
    <col min="5099" max="5099" width="3.7109375" style="16" customWidth="1"/>
    <col min="5100" max="5106" width="0" style="16" hidden="1" customWidth="1"/>
    <col min="5107" max="5107" width="3.140625" style="16" customWidth="1"/>
    <col min="5108" max="5109" width="19.42578125" style="16" customWidth="1"/>
    <col min="5110" max="5110" width="23.28515625" style="16" customWidth="1"/>
    <col min="5111" max="5111" width="19.5703125" style="16" customWidth="1"/>
    <col min="5112" max="5112" width="9.140625" style="16"/>
    <col min="5113" max="5113" width="18.7109375" style="16" customWidth="1"/>
    <col min="5114" max="5349" width="9.140625" style="16"/>
    <col min="5350" max="5350" width="10.7109375" style="16" customWidth="1"/>
    <col min="5351" max="5351" width="60.140625" style="16" customWidth="1"/>
    <col min="5352" max="5352" width="27.5703125" style="16" customWidth="1"/>
    <col min="5353" max="5353" width="16.140625" style="16" customWidth="1"/>
    <col min="5354" max="5354" width="22.85546875" style="16" customWidth="1"/>
    <col min="5355" max="5355" width="3.7109375" style="16" customWidth="1"/>
    <col min="5356" max="5362" width="0" style="16" hidden="1" customWidth="1"/>
    <col min="5363" max="5363" width="3.140625" style="16" customWidth="1"/>
    <col min="5364" max="5365" width="19.42578125" style="16" customWidth="1"/>
    <col min="5366" max="5366" width="23.28515625" style="16" customWidth="1"/>
    <col min="5367" max="5367" width="19.5703125" style="16" customWidth="1"/>
    <col min="5368" max="5368" width="9.140625" style="16"/>
    <col min="5369" max="5369" width="18.7109375" style="16" customWidth="1"/>
    <col min="5370" max="5605" width="9.140625" style="16"/>
    <col min="5606" max="5606" width="10.7109375" style="16" customWidth="1"/>
    <col min="5607" max="5607" width="60.140625" style="16" customWidth="1"/>
    <col min="5608" max="5608" width="27.5703125" style="16" customWidth="1"/>
    <col min="5609" max="5609" width="16.140625" style="16" customWidth="1"/>
    <col min="5610" max="5610" width="22.85546875" style="16" customWidth="1"/>
    <col min="5611" max="5611" width="3.7109375" style="16" customWidth="1"/>
    <col min="5612" max="5618" width="0" style="16" hidden="1" customWidth="1"/>
    <col min="5619" max="5619" width="3.140625" style="16" customWidth="1"/>
    <col min="5620" max="5621" width="19.42578125" style="16" customWidth="1"/>
    <col min="5622" max="5622" width="23.28515625" style="16" customWidth="1"/>
    <col min="5623" max="5623" width="19.5703125" style="16" customWidth="1"/>
    <col min="5624" max="5624" width="9.140625" style="16"/>
    <col min="5625" max="5625" width="18.7109375" style="16" customWidth="1"/>
    <col min="5626" max="5861" width="9.140625" style="16"/>
    <col min="5862" max="5862" width="10.7109375" style="16" customWidth="1"/>
    <col min="5863" max="5863" width="60.140625" style="16" customWidth="1"/>
    <col min="5864" max="5864" width="27.5703125" style="16" customWidth="1"/>
    <col min="5865" max="5865" width="16.140625" style="16" customWidth="1"/>
    <col min="5866" max="5866" width="22.85546875" style="16" customWidth="1"/>
    <col min="5867" max="5867" width="3.7109375" style="16" customWidth="1"/>
    <col min="5868" max="5874" width="0" style="16" hidden="1" customWidth="1"/>
    <col min="5875" max="5875" width="3.140625" style="16" customWidth="1"/>
    <col min="5876" max="5877" width="19.42578125" style="16" customWidth="1"/>
    <col min="5878" max="5878" width="23.28515625" style="16" customWidth="1"/>
    <col min="5879" max="5879" width="19.5703125" style="16" customWidth="1"/>
    <col min="5880" max="5880" width="9.140625" style="16"/>
    <col min="5881" max="5881" width="18.7109375" style="16" customWidth="1"/>
    <col min="5882" max="6117" width="9.140625" style="16"/>
    <col min="6118" max="6118" width="10.7109375" style="16" customWidth="1"/>
    <col min="6119" max="6119" width="60.140625" style="16" customWidth="1"/>
    <col min="6120" max="6120" width="27.5703125" style="16" customWidth="1"/>
    <col min="6121" max="6121" width="16.140625" style="16" customWidth="1"/>
    <col min="6122" max="6122" width="22.85546875" style="16" customWidth="1"/>
    <col min="6123" max="6123" width="3.7109375" style="16" customWidth="1"/>
    <col min="6124" max="6130" width="0" style="16" hidden="1" customWidth="1"/>
    <col min="6131" max="6131" width="3.140625" style="16" customWidth="1"/>
    <col min="6132" max="6133" width="19.42578125" style="16" customWidth="1"/>
    <col min="6134" max="6134" width="23.28515625" style="16" customWidth="1"/>
    <col min="6135" max="6135" width="19.5703125" style="16" customWidth="1"/>
    <col min="6136" max="6136" width="9.140625" style="16"/>
    <col min="6137" max="6137" width="18.7109375" style="16" customWidth="1"/>
    <col min="6138" max="6373" width="9.140625" style="16"/>
    <col min="6374" max="6374" width="10.7109375" style="16" customWidth="1"/>
    <col min="6375" max="6375" width="60.140625" style="16" customWidth="1"/>
    <col min="6376" max="6376" width="27.5703125" style="16" customWidth="1"/>
    <col min="6377" max="6377" width="16.140625" style="16" customWidth="1"/>
    <col min="6378" max="6378" width="22.85546875" style="16" customWidth="1"/>
    <col min="6379" max="6379" width="3.7109375" style="16" customWidth="1"/>
    <col min="6380" max="6386" width="0" style="16" hidden="1" customWidth="1"/>
    <col min="6387" max="6387" width="3.140625" style="16" customWidth="1"/>
    <col min="6388" max="6389" width="19.42578125" style="16" customWidth="1"/>
    <col min="6390" max="6390" width="23.28515625" style="16" customWidth="1"/>
    <col min="6391" max="6391" width="19.5703125" style="16" customWidth="1"/>
    <col min="6392" max="6392" width="9.140625" style="16"/>
    <col min="6393" max="6393" width="18.7109375" style="16" customWidth="1"/>
    <col min="6394" max="6629" width="9.140625" style="16"/>
    <col min="6630" max="6630" width="10.7109375" style="16" customWidth="1"/>
    <col min="6631" max="6631" width="60.140625" style="16" customWidth="1"/>
    <col min="6632" max="6632" width="27.5703125" style="16" customWidth="1"/>
    <col min="6633" max="6633" width="16.140625" style="16" customWidth="1"/>
    <col min="6634" max="6634" width="22.85546875" style="16" customWidth="1"/>
    <col min="6635" max="6635" width="3.7109375" style="16" customWidth="1"/>
    <col min="6636" max="6642" width="0" style="16" hidden="1" customWidth="1"/>
    <col min="6643" max="6643" width="3.140625" style="16" customWidth="1"/>
    <col min="6644" max="6645" width="19.42578125" style="16" customWidth="1"/>
    <col min="6646" max="6646" width="23.28515625" style="16" customWidth="1"/>
    <col min="6647" max="6647" width="19.5703125" style="16" customWidth="1"/>
    <col min="6648" max="6648" width="9.140625" style="16"/>
    <col min="6649" max="6649" width="18.7109375" style="16" customWidth="1"/>
    <col min="6650" max="6885" width="9.140625" style="16"/>
    <col min="6886" max="6886" width="10.7109375" style="16" customWidth="1"/>
    <col min="6887" max="6887" width="60.140625" style="16" customWidth="1"/>
    <col min="6888" max="6888" width="27.5703125" style="16" customWidth="1"/>
    <col min="6889" max="6889" width="16.140625" style="16" customWidth="1"/>
    <col min="6890" max="6890" width="22.85546875" style="16" customWidth="1"/>
    <col min="6891" max="6891" width="3.7109375" style="16" customWidth="1"/>
    <col min="6892" max="6898" width="0" style="16" hidden="1" customWidth="1"/>
    <col min="6899" max="6899" width="3.140625" style="16" customWidth="1"/>
    <col min="6900" max="6901" width="19.42578125" style="16" customWidth="1"/>
    <col min="6902" max="6902" width="23.28515625" style="16" customWidth="1"/>
    <col min="6903" max="6903" width="19.5703125" style="16" customWidth="1"/>
    <col min="6904" max="6904" width="9.140625" style="16"/>
    <col min="6905" max="6905" width="18.7109375" style="16" customWidth="1"/>
    <col min="6906" max="7141" width="9.140625" style="16"/>
    <col min="7142" max="7142" width="10.7109375" style="16" customWidth="1"/>
    <col min="7143" max="7143" width="60.140625" style="16" customWidth="1"/>
    <col min="7144" max="7144" width="27.5703125" style="16" customWidth="1"/>
    <col min="7145" max="7145" width="16.140625" style="16" customWidth="1"/>
    <col min="7146" max="7146" width="22.85546875" style="16" customWidth="1"/>
    <col min="7147" max="7147" width="3.7109375" style="16" customWidth="1"/>
    <col min="7148" max="7154" width="0" style="16" hidden="1" customWidth="1"/>
    <col min="7155" max="7155" width="3.140625" style="16" customWidth="1"/>
    <col min="7156" max="7157" width="19.42578125" style="16" customWidth="1"/>
    <col min="7158" max="7158" width="23.28515625" style="16" customWidth="1"/>
    <col min="7159" max="7159" width="19.5703125" style="16" customWidth="1"/>
    <col min="7160" max="7160" width="9.140625" style="16"/>
    <col min="7161" max="7161" width="18.7109375" style="16" customWidth="1"/>
    <col min="7162" max="7397" width="9.140625" style="16"/>
    <col min="7398" max="7398" width="10.7109375" style="16" customWidth="1"/>
    <col min="7399" max="7399" width="60.140625" style="16" customWidth="1"/>
    <col min="7400" max="7400" width="27.5703125" style="16" customWidth="1"/>
    <col min="7401" max="7401" width="16.140625" style="16" customWidth="1"/>
    <col min="7402" max="7402" width="22.85546875" style="16" customWidth="1"/>
    <col min="7403" max="7403" width="3.7109375" style="16" customWidth="1"/>
    <col min="7404" max="7410" width="0" style="16" hidden="1" customWidth="1"/>
    <col min="7411" max="7411" width="3.140625" style="16" customWidth="1"/>
    <col min="7412" max="7413" width="19.42578125" style="16" customWidth="1"/>
    <col min="7414" max="7414" width="23.28515625" style="16" customWidth="1"/>
    <col min="7415" max="7415" width="19.5703125" style="16" customWidth="1"/>
    <col min="7416" max="7416" width="9.140625" style="16"/>
    <col min="7417" max="7417" width="18.7109375" style="16" customWidth="1"/>
    <col min="7418" max="7653" width="9.140625" style="16"/>
    <col min="7654" max="7654" width="10.7109375" style="16" customWidth="1"/>
    <col min="7655" max="7655" width="60.140625" style="16" customWidth="1"/>
    <col min="7656" max="7656" width="27.5703125" style="16" customWidth="1"/>
    <col min="7657" max="7657" width="16.140625" style="16" customWidth="1"/>
    <col min="7658" max="7658" width="22.85546875" style="16" customWidth="1"/>
    <col min="7659" max="7659" width="3.7109375" style="16" customWidth="1"/>
    <col min="7660" max="7666" width="0" style="16" hidden="1" customWidth="1"/>
    <col min="7667" max="7667" width="3.140625" style="16" customWidth="1"/>
    <col min="7668" max="7669" width="19.42578125" style="16" customWidth="1"/>
    <col min="7670" max="7670" width="23.28515625" style="16" customWidth="1"/>
    <col min="7671" max="7671" width="19.5703125" style="16" customWidth="1"/>
    <col min="7672" max="7672" width="9.140625" style="16"/>
    <col min="7673" max="7673" width="18.7109375" style="16" customWidth="1"/>
    <col min="7674" max="7909" width="9.140625" style="16"/>
    <col min="7910" max="7910" width="10.7109375" style="16" customWidth="1"/>
    <col min="7911" max="7911" width="60.140625" style="16" customWidth="1"/>
    <col min="7912" max="7912" width="27.5703125" style="16" customWidth="1"/>
    <col min="7913" max="7913" width="16.140625" style="16" customWidth="1"/>
    <col min="7914" max="7914" width="22.85546875" style="16" customWidth="1"/>
    <col min="7915" max="7915" width="3.7109375" style="16" customWidth="1"/>
    <col min="7916" max="7922" width="0" style="16" hidden="1" customWidth="1"/>
    <col min="7923" max="7923" width="3.140625" style="16" customWidth="1"/>
    <col min="7924" max="7925" width="19.42578125" style="16" customWidth="1"/>
    <col min="7926" max="7926" width="23.28515625" style="16" customWidth="1"/>
    <col min="7927" max="7927" width="19.5703125" style="16" customWidth="1"/>
    <col min="7928" max="7928" width="9.140625" style="16"/>
    <col min="7929" max="7929" width="18.7109375" style="16" customWidth="1"/>
    <col min="7930" max="8165" width="9.140625" style="16"/>
    <col min="8166" max="8166" width="10.7109375" style="16" customWidth="1"/>
    <col min="8167" max="8167" width="60.140625" style="16" customWidth="1"/>
    <col min="8168" max="8168" width="27.5703125" style="16" customWidth="1"/>
    <col min="8169" max="8169" width="16.140625" style="16" customWidth="1"/>
    <col min="8170" max="8170" width="22.85546875" style="16" customWidth="1"/>
    <col min="8171" max="8171" width="3.7109375" style="16" customWidth="1"/>
    <col min="8172" max="8178" width="0" style="16" hidden="1" customWidth="1"/>
    <col min="8179" max="8179" width="3.140625" style="16" customWidth="1"/>
    <col min="8180" max="8181" width="19.42578125" style="16" customWidth="1"/>
    <col min="8182" max="8182" width="23.28515625" style="16" customWidth="1"/>
    <col min="8183" max="8183" width="19.5703125" style="16" customWidth="1"/>
    <col min="8184" max="8184" width="9.140625" style="16"/>
    <col min="8185" max="8185" width="18.7109375" style="16" customWidth="1"/>
    <col min="8186" max="8421" width="9.140625" style="16"/>
    <col min="8422" max="8422" width="10.7109375" style="16" customWidth="1"/>
    <col min="8423" max="8423" width="60.140625" style="16" customWidth="1"/>
    <col min="8424" max="8424" width="27.5703125" style="16" customWidth="1"/>
    <col min="8425" max="8425" width="16.140625" style="16" customWidth="1"/>
    <col min="8426" max="8426" width="22.85546875" style="16" customWidth="1"/>
    <col min="8427" max="8427" width="3.7109375" style="16" customWidth="1"/>
    <col min="8428" max="8434" width="0" style="16" hidden="1" customWidth="1"/>
    <col min="8435" max="8435" width="3.140625" style="16" customWidth="1"/>
    <col min="8436" max="8437" width="19.42578125" style="16" customWidth="1"/>
    <col min="8438" max="8438" width="23.28515625" style="16" customWidth="1"/>
    <col min="8439" max="8439" width="19.5703125" style="16" customWidth="1"/>
    <col min="8440" max="8440" width="9.140625" style="16"/>
    <col min="8441" max="8441" width="18.7109375" style="16" customWidth="1"/>
    <col min="8442" max="8677" width="9.140625" style="16"/>
    <col min="8678" max="8678" width="10.7109375" style="16" customWidth="1"/>
    <col min="8679" max="8679" width="60.140625" style="16" customWidth="1"/>
    <col min="8680" max="8680" width="27.5703125" style="16" customWidth="1"/>
    <col min="8681" max="8681" width="16.140625" style="16" customWidth="1"/>
    <col min="8682" max="8682" width="22.85546875" style="16" customWidth="1"/>
    <col min="8683" max="8683" width="3.7109375" style="16" customWidth="1"/>
    <col min="8684" max="8690" width="0" style="16" hidden="1" customWidth="1"/>
    <col min="8691" max="8691" width="3.140625" style="16" customWidth="1"/>
    <col min="8692" max="8693" width="19.42578125" style="16" customWidth="1"/>
    <col min="8694" max="8694" width="23.28515625" style="16" customWidth="1"/>
    <col min="8695" max="8695" width="19.5703125" style="16" customWidth="1"/>
    <col min="8696" max="8696" width="9.140625" style="16"/>
    <col min="8697" max="8697" width="18.7109375" style="16" customWidth="1"/>
    <col min="8698" max="8933" width="9.140625" style="16"/>
    <col min="8934" max="8934" width="10.7109375" style="16" customWidth="1"/>
    <col min="8935" max="8935" width="60.140625" style="16" customWidth="1"/>
    <col min="8936" max="8936" width="27.5703125" style="16" customWidth="1"/>
    <col min="8937" max="8937" width="16.140625" style="16" customWidth="1"/>
    <col min="8938" max="8938" width="22.85546875" style="16" customWidth="1"/>
    <col min="8939" max="8939" width="3.7109375" style="16" customWidth="1"/>
    <col min="8940" max="8946" width="0" style="16" hidden="1" customWidth="1"/>
    <col min="8947" max="8947" width="3.140625" style="16" customWidth="1"/>
    <col min="8948" max="8949" width="19.42578125" style="16" customWidth="1"/>
    <col min="8950" max="8950" width="23.28515625" style="16" customWidth="1"/>
    <col min="8951" max="8951" width="19.5703125" style="16" customWidth="1"/>
    <col min="8952" max="8952" width="9.140625" style="16"/>
    <col min="8953" max="8953" width="18.7109375" style="16" customWidth="1"/>
    <col min="8954" max="9189" width="9.140625" style="16"/>
    <col min="9190" max="9190" width="10.7109375" style="16" customWidth="1"/>
    <col min="9191" max="9191" width="60.140625" style="16" customWidth="1"/>
    <col min="9192" max="9192" width="27.5703125" style="16" customWidth="1"/>
    <col min="9193" max="9193" width="16.140625" style="16" customWidth="1"/>
    <col min="9194" max="9194" width="22.85546875" style="16" customWidth="1"/>
    <col min="9195" max="9195" width="3.7109375" style="16" customWidth="1"/>
    <col min="9196" max="9202" width="0" style="16" hidden="1" customWidth="1"/>
    <col min="9203" max="9203" width="3.140625" style="16" customWidth="1"/>
    <col min="9204" max="9205" width="19.42578125" style="16" customWidth="1"/>
    <col min="9206" max="9206" width="23.28515625" style="16" customWidth="1"/>
    <col min="9207" max="9207" width="19.5703125" style="16" customWidth="1"/>
    <col min="9208" max="9208" width="9.140625" style="16"/>
    <col min="9209" max="9209" width="18.7109375" style="16" customWidth="1"/>
    <col min="9210" max="9445" width="9.140625" style="16"/>
    <col min="9446" max="9446" width="10.7109375" style="16" customWidth="1"/>
    <col min="9447" max="9447" width="60.140625" style="16" customWidth="1"/>
    <col min="9448" max="9448" width="27.5703125" style="16" customWidth="1"/>
    <col min="9449" max="9449" width="16.140625" style="16" customWidth="1"/>
    <col min="9450" max="9450" width="22.85546875" style="16" customWidth="1"/>
    <col min="9451" max="9451" width="3.7109375" style="16" customWidth="1"/>
    <col min="9452" max="9458" width="0" style="16" hidden="1" customWidth="1"/>
    <col min="9459" max="9459" width="3.140625" style="16" customWidth="1"/>
    <col min="9460" max="9461" width="19.42578125" style="16" customWidth="1"/>
    <col min="9462" max="9462" width="23.28515625" style="16" customWidth="1"/>
    <col min="9463" max="9463" width="19.5703125" style="16" customWidth="1"/>
    <col min="9464" max="9464" width="9.140625" style="16"/>
    <col min="9465" max="9465" width="18.7109375" style="16" customWidth="1"/>
    <col min="9466" max="9701" width="9.140625" style="16"/>
    <col min="9702" max="9702" width="10.7109375" style="16" customWidth="1"/>
    <col min="9703" max="9703" width="60.140625" style="16" customWidth="1"/>
    <col min="9704" max="9704" width="27.5703125" style="16" customWidth="1"/>
    <col min="9705" max="9705" width="16.140625" style="16" customWidth="1"/>
    <col min="9706" max="9706" width="22.85546875" style="16" customWidth="1"/>
    <col min="9707" max="9707" width="3.7109375" style="16" customWidth="1"/>
    <col min="9708" max="9714" width="0" style="16" hidden="1" customWidth="1"/>
    <col min="9715" max="9715" width="3.140625" style="16" customWidth="1"/>
    <col min="9716" max="9717" width="19.42578125" style="16" customWidth="1"/>
    <col min="9718" max="9718" width="23.28515625" style="16" customWidth="1"/>
    <col min="9719" max="9719" width="19.5703125" style="16" customWidth="1"/>
    <col min="9720" max="9720" width="9.140625" style="16"/>
    <col min="9721" max="9721" width="18.7109375" style="16" customWidth="1"/>
    <col min="9722" max="9957" width="9.140625" style="16"/>
    <col min="9958" max="9958" width="10.7109375" style="16" customWidth="1"/>
    <col min="9959" max="9959" width="60.140625" style="16" customWidth="1"/>
    <col min="9960" max="9960" width="27.5703125" style="16" customWidth="1"/>
    <col min="9961" max="9961" width="16.140625" style="16" customWidth="1"/>
    <col min="9962" max="9962" width="22.85546875" style="16" customWidth="1"/>
    <col min="9963" max="9963" width="3.7109375" style="16" customWidth="1"/>
    <col min="9964" max="9970" width="0" style="16" hidden="1" customWidth="1"/>
    <col min="9971" max="9971" width="3.140625" style="16" customWidth="1"/>
    <col min="9972" max="9973" width="19.42578125" style="16" customWidth="1"/>
    <col min="9974" max="9974" width="23.28515625" style="16" customWidth="1"/>
    <col min="9975" max="9975" width="19.5703125" style="16" customWidth="1"/>
    <col min="9976" max="9976" width="9.140625" style="16"/>
    <col min="9977" max="9977" width="18.7109375" style="16" customWidth="1"/>
    <col min="9978" max="10213" width="9.140625" style="16"/>
    <col min="10214" max="10214" width="10.7109375" style="16" customWidth="1"/>
    <col min="10215" max="10215" width="60.140625" style="16" customWidth="1"/>
    <col min="10216" max="10216" width="27.5703125" style="16" customWidth="1"/>
    <col min="10217" max="10217" width="16.140625" style="16" customWidth="1"/>
    <col min="10218" max="10218" width="22.85546875" style="16" customWidth="1"/>
    <col min="10219" max="10219" width="3.7109375" style="16" customWidth="1"/>
    <col min="10220" max="10226" width="0" style="16" hidden="1" customWidth="1"/>
    <col min="10227" max="10227" width="3.140625" style="16" customWidth="1"/>
    <col min="10228" max="10229" width="19.42578125" style="16" customWidth="1"/>
    <col min="10230" max="10230" width="23.28515625" style="16" customWidth="1"/>
    <col min="10231" max="10231" width="19.5703125" style="16" customWidth="1"/>
    <col min="10232" max="10232" width="9.140625" style="16"/>
    <col min="10233" max="10233" width="18.7109375" style="16" customWidth="1"/>
    <col min="10234" max="10469" width="9.140625" style="16"/>
    <col min="10470" max="10470" width="10.7109375" style="16" customWidth="1"/>
    <col min="10471" max="10471" width="60.140625" style="16" customWidth="1"/>
    <col min="10472" max="10472" width="27.5703125" style="16" customWidth="1"/>
    <col min="10473" max="10473" width="16.140625" style="16" customWidth="1"/>
    <col min="10474" max="10474" width="22.85546875" style="16" customWidth="1"/>
    <col min="10475" max="10475" width="3.7109375" style="16" customWidth="1"/>
    <col min="10476" max="10482" width="0" style="16" hidden="1" customWidth="1"/>
    <col min="10483" max="10483" width="3.140625" style="16" customWidth="1"/>
    <col min="10484" max="10485" width="19.42578125" style="16" customWidth="1"/>
    <col min="10486" max="10486" width="23.28515625" style="16" customWidth="1"/>
    <col min="10487" max="10487" width="19.5703125" style="16" customWidth="1"/>
    <col min="10488" max="10488" width="9.140625" style="16"/>
    <col min="10489" max="10489" width="18.7109375" style="16" customWidth="1"/>
    <col min="10490" max="10725" width="9.140625" style="16"/>
    <col min="10726" max="10726" width="10.7109375" style="16" customWidth="1"/>
    <col min="10727" max="10727" width="60.140625" style="16" customWidth="1"/>
    <col min="10728" max="10728" width="27.5703125" style="16" customWidth="1"/>
    <col min="10729" max="10729" width="16.140625" style="16" customWidth="1"/>
    <col min="10730" max="10730" width="22.85546875" style="16" customWidth="1"/>
    <col min="10731" max="10731" width="3.7109375" style="16" customWidth="1"/>
    <col min="10732" max="10738" width="0" style="16" hidden="1" customWidth="1"/>
    <col min="10739" max="10739" width="3.140625" style="16" customWidth="1"/>
    <col min="10740" max="10741" width="19.42578125" style="16" customWidth="1"/>
    <col min="10742" max="10742" width="23.28515625" style="16" customWidth="1"/>
    <col min="10743" max="10743" width="19.5703125" style="16" customWidth="1"/>
    <col min="10744" max="10744" width="9.140625" style="16"/>
    <col min="10745" max="10745" width="18.7109375" style="16" customWidth="1"/>
    <col min="10746" max="10981" width="9.140625" style="16"/>
    <col min="10982" max="10982" width="10.7109375" style="16" customWidth="1"/>
    <col min="10983" max="10983" width="60.140625" style="16" customWidth="1"/>
    <col min="10984" max="10984" width="27.5703125" style="16" customWidth="1"/>
    <col min="10985" max="10985" width="16.140625" style="16" customWidth="1"/>
    <col min="10986" max="10986" width="22.85546875" style="16" customWidth="1"/>
    <col min="10987" max="10987" width="3.7109375" style="16" customWidth="1"/>
    <col min="10988" max="10994" width="0" style="16" hidden="1" customWidth="1"/>
    <col min="10995" max="10995" width="3.140625" style="16" customWidth="1"/>
    <col min="10996" max="10997" width="19.42578125" style="16" customWidth="1"/>
    <col min="10998" max="10998" width="23.28515625" style="16" customWidth="1"/>
    <col min="10999" max="10999" width="19.5703125" style="16" customWidth="1"/>
    <col min="11000" max="11000" width="9.140625" style="16"/>
    <col min="11001" max="11001" width="18.7109375" style="16" customWidth="1"/>
    <col min="11002" max="11237" width="9.140625" style="16"/>
    <col min="11238" max="11238" width="10.7109375" style="16" customWidth="1"/>
    <col min="11239" max="11239" width="60.140625" style="16" customWidth="1"/>
    <col min="11240" max="11240" width="27.5703125" style="16" customWidth="1"/>
    <col min="11241" max="11241" width="16.140625" style="16" customWidth="1"/>
    <col min="11242" max="11242" width="22.85546875" style="16" customWidth="1"/>
    <col min="11243" max="11243" width="3.7109375" style="16" customWidth="1"/>
    <col min="11244" max="11250" width="0" style="16" hidden="1" customWidth="1"/>
    <col min="11251" max="11251" width="3.140625" style="16" customWidth="1"/>
    <col min="11252" max="11253" width="19.42578125" style="16" customWidth="1"/>
    <col min="11254" max="11254" width="23.28515625" style="16" customWidth="1"/>
    <col min="11255" max="11255" width="19.5703125" style="16" customWidth="1"/>
    <col min="11256" max="11256" width="9.140625" style="16"/>
    <col min="11257" max="11257" width="18.7109375" style="16" customWidth="1"/>
    <col min="11258" max="11493" width="9.140625" style="16"/>
    <col min="11494" max="11494" width="10.7109375" style="16" customWidth="1"/>
    <col min="11495" max="11495" width="60.140625" style="16" customWidth="1"/>
    <col min="11496" max="11496" width="27.5703125" style="16" customWidth="1"/>
    <col min="11497" max="11497" width="16.140625" style="16" customWidth="1"/>
    <col min="11498" max="11498" width="22.85546875" style="16" customWidth="1"/>
    <col min="11499" max="11499" width="3.7109375" style="16" customWidth="1"/>
    <col min="11500" max="11506" width="0" style="16" hidden="1" customWidth="1"/>
    <col min="11507" max="11507" width="3.140625" style="16" customWidth="1"/>
    <col min="11508" max="11509" width="19.42578125" style="16" customWidth="1"/>
    <col min="11510" max="11510" width="23.28515625" style="16" customWidth="1"/>
    <col min="11511" max="11511" width="19.5703125" style="16" customWidth="1"/>
    <col min="11512" max="11512" width="9.140625" style="16"/>
    <col min="11513" max="11513" width="18.7109375" style="16" customWidth="1"/>
    <col min="11514" max="11749" width="9.140625" style="16"/>
    <col min="11750" max="11750" width="10.7109375" style="16" customWidth="1"/>
    <col min="11751" max="11751" width="60.140625" style="16" customWidth="1"/>
    <col min="11752" max="11752" width="27.5703125" style="16" customWidth="1"/>
    <col min="11753" max="11753" width="16.140625" style="16" customWidth="1"/>
    <col min="11754" max="11754" width="22.85546875" style="16" customWidth="1"/>
    <col min="11755" max="11755" width="3.7109375" style="16" customWidth="1"/>
    <col min="11756" max="11762" width="0" style="16" hidden="1" customWidth="1"/>
    <col min="11763" max="11763" width="3.140625" style="16" customWidth="1"/>
    <col min="11764" max="11765" width="19.42578125" style="16" customWidth="1"/>
    <col min="11766" max="11766" width="23.28515625" style="16" customWidth="1"/>
    <col min="11767" max="11767" width="19.5703125" style="16" customWidth="1"/>
    <col min="11768" max="11768" width="9.140625" style="16"/>
    <col min="11769" max="11769" width="18.7109375" style="16" customWidth="1"/>
    <col min="11770" max="12005" width="9.140625" style="16"/>
    <col min="12006" max="12006" width="10.7109375" style="16" customWidth="1"/>
    <col min="12007" max="12007" width="60.140625" style="16" customWidth="1"/>
    <col min="12008" max="12008" width="27.5703125" style="16" customWidth="1"/>
    <col min="12009" max="12009" width="16.140625" style="16" customWidth="1"/>
    <col min="12010" max="12010" width="22.85546875" style="16" customWidth="1"/>
    <col min="12011" max="12011" width="3.7109375" style="16" customWidth="1"/>
    <col min="12012" max="12018" width="0" style="16" hidden="1" customWidth="1"/>
    <col min="12019" max="12019" width="3.140625" style="16" customWidth="1"/>
    <col min="12020" max="12021" width="19.42578125" style="16" customWidth="1"/>
    <col min="12022" max="12022" width="23.28515625" style="16" customWidth="1"/>
    <col min="12023" max="12023" width="19.5703125" style="16" customWidth="1"/>
    <col min="12024" max="12024" width="9.140625" style="16"/>
    <col min="12025" max="12025" width="18.7109375" style="16" customWidth="1"/>
    <col min="12026" max="12261" width="9.140625" style="16"/>
    <col min="12262" max="12262" width="10.7109375" style="16" customWidth="1"/>
    <col min="12263" max="12263" width="60.140625" style="16" customWidth="1"/>
    <col min="12264" max="12264" width="27.5703125" style="16" customWidth="1"/>
    <col min="12265" max="12265" width="16.140625" style="16" customWidth="1"/>
    <col min="12266" max="12266" width="22.85546875" style="16" customWidth="1"/>
    <col min="12267" max="12267" width="3.7109375" style="16" customWidth="1"/>
    <col min="12268" max="12274" width="0" style="16" hidden="1" customWidth="1"/>
    <col min="12275" max="12275" width="3.140625" style="16" customWidth="1"/>
    <col min="12276" max="12277" width="19.42578125" style="16" customWidth="1"/>
    <col min="12278" max="12278" width="23.28515625" style="16" customWidth="1"/>
    <col min="12279" max="12279" width="19.5703125" style="16" customWidth="1"/>
    <col min="12280" max="12280" width="9.140625" style="16"/>
    <col min="12281" max="12281" width="18.7109375" style="16" customWidth="1"/>
    <col min="12282" max="12517" width="9.140625" style="16"/>
    <col min="12518" max="12518" width="10.7109375" style="16" customWidth="1"/>
    <col min="12519" max="12519" width="60.140625" style="16" customWidth="1"/>
    <col min="12520" max="12520" width="27.5703125" style="16" customWidth="1"/>
    <col min="12521" max="12521" width="16.140625" style="16" customWidth="1"/>
    <col min="12522" max="12522" width="22.85546875" style="16" customWidth="1"/>
    <col min="12523" max="12523" width="3.7109375" style="16" customWidth="1"/>
    <col min="12524" max="12530" width="0" style="16" hidden="1" customWidth="1"/>
    <col min="12531" max="12531" width="3.140625" style="16" customWidth="1"/>
    <col min="12532" max="12533" width="19.42578125" style="16" customWidth="1"/>
    <col min="12534" max="12534" width="23.28515625" style="16" customWidth="1"/>
    <col min="12535" max="12535" width="19.5703125" style="16" customWidth="1"/>
    <col min="12536" max="12536" width="9.140625" style="16"/>
    <col min="12537" max="12537" width="18.7109375" style="16" customWidth="1"/>
    <col min="12538" max="12773" width="9.140625" style="16"/>
    <col min="12774" max="12774" width="10.7109375" style="16" customWidth="1"/>
    <col min="12775" max="12775" width="60.140625" style="16" customWidth="1"/>
    <col min="12776" max="12776" width="27.5703125" style="16" customWidth="1"/>
    <col min="12777" max="12777" width="16.140625" style="16" customWidth="1"/>
    <col min="12778" max="12778" width="22.85546875" style="16" customWidth="1"/>
    <col min="12779" max="12779" width="3.7109375" style="16" customWidth="1"/>
    <col min="12780" max="12786" width="0" style="16" hidden="1" customWidth="1"/>
    <col min="12787" max="12787" width="3.140625" style="16" customWidth="1"/>
    <col min="12788" max="12789" width="19.42578125" style="16" customWidth="1"/>
    <col min="12790" max="12790" width="23.28515625" style="16" customWidth="1"/>
    <col min="12791" max="12791" width="19.5703125" style="16" customWidth="1"/>
    <col min="12792" max="12792" width="9.140625" style="16"/>
    <col min="12793" max="12793" width="18.7109375" style="16" customWidth="1"/>
    <col min="12794" max="13029" width="9.140625" style="16"/>
    <col min="13030" max="13030" width="10.7109375" style="16" customWidth="1"/>
    <col min="13031" max="13031" width="60.140625" style="16" customWidth="1"/>
    <col min="13032" max="13032" width="27.5703125" style="16" customWidth="1"/>
    <col min="13033" max="13033" width="16.140625" style="16" customWidth="1"/>
    <col min="13034" max="13034" width="22.85546875" style="16" customWidth="1"/>
    <col min="13035" max="13035" width="3.7109375" style="16" customWidth="1"/>
    <col min="13036" max="13042" width="0" style="16" hidden="1" customWidth="1"/>
    <col min="13043" max="13043" width="3.140625" style="16" customWidth="1"/>
    <col min="13044" max="13045" width="19.42578125" style="16" customWidth="1"/>
    <col min="13046" max="13046" width="23.28515625" style="16" customWidth="1"/>
    <col min="13047" max="13047" width="19.5703125" style="16" customWidth="1"/>
    <col min="13048" max="13048" width="9.140625" style="16"/>
    <col min="13049" max="13049" width="18.7109375" style="16" customWidth="1"/>
    <col min="13050" max="13285" width="9.140625" style="16"/>
    <col min="13286" max="13286" width="10.7109375" style="16" customWidth="1"/>
    <col min="13287" max="13287" width="60.140625" style="16" customWidth="1"/>
    <col min="13288" max="13288" width="27.5703125" style="16" customWidth="1"/>
    <col min="13289" max="13289" width="16.140625" style="16" customWidth="1"/>
    <col min="13290" max="13290" width="22.85546875" style="16" customWidth="1"/>
    <col min="13291" max="13291" width="3.7109375" style="16" customWidth="1"/>
    <col min="13292" max="13298" width="0" style="16" hidden="1" customWidth="1"/>
    <col min="13299" max="13299" width="3.140625" style="16" customWidth="1"/>
    <col min="13300" max="13301" width="19.42578125" style="16" customWidth="1"/>
    <col min="13302" max="13302" width="23.28515625" style="16" customWidth="1"/>
    <col min="13303" max="13303" width="19.5703125" style="16" customWidth="1"/>
    <col min="13304" max="13304" width="9.140625" style="16"/>
    <col min="13305" max="13305" width="18.7109375" style="16" customWidth="1"/>
    <col min="13306" max="13541" width="9.140625" style="16"/>
    <col min="13542" max="13542" width="10.7109375" style="16" customWidth="1"/>
    <col min="13543" max="13543" width="60.140625" style="16" customWidth="1"/>
    <col min="13544" max="13544" width="27.5703125" style="16" customWidth="1"/>
    <col min="13545" max="13545" width="16.140625" style="16" customWidth="1"/>
    <col min="13546" max="13546" width="22.85546875" style="16" customWidth="1"/>
    <col min="13547" max="13547" width="3.7109375" style="16" customWidth="1"/>
    <col min="13548" max="13554" width="0" style="16" hidden="1" customWidth="1"/>
    <col min="13555" max="13555" width="3.140625" style="16" customWidth="1"/>
    <col min="13556" max="13557" width="19.42578125" style="16" customWidth="1"/>
    <col min="13558" max="13558" width="23.28515625" style="16" customWidth="1"/>
    <col min="13559" max="13559" width="19.5703125" style="16" customWidth="1"/>
    <col min="13560" max="13560" width="9.140625" style="16"/>
    <col min="13561" max="13561" width="18.7109375" style="16" customWidth="1"/>
    <col min="13562" max="13797" width="9.140625" style="16"/>
    <col min="13798" max="13798" width="10.7109375" style="16" customWidth="1"/>
    <col min="13799" max="13799" width="60.140625" style="16" customWidth="1"/>
    <col min="13800" max="13800" width="27.5703125" style="16" customWidth="1"/>
    <col min="13801" max="13801" width="16.140625" style="16" customWidth="1"/>
    <col min="13802" max="13802" width="22.85546875" style="16" customWidth="1"/>
    <col min="13803" max="13803" width="3.7109375" style="16" customWidth="1"/>
    <col min="13804" max="13810" width="0" style="16" hidden="1" customWidth="1"/>
    <col min="13811" max="13811" width="3.140625" style="16" customWidth="1"/>
    <col min="13812" max="13813" width="19.42578125" style="16" customWidth="1"/>
    <col min="13814" max="13814" width="23.28515625" style="16" customWidth="1"/>
    <col min="13815" max="13815" width="19.5703125" style="16" customWidth="1"/>
    <col min="13816" max="13816" width="9.140625" style="16"/>
    <col min="13817" max="13817" width="18.7109375" style="16" customWidth="1"/>
    <col min="13818" max="14053" width="9.140625" style="16"/>
    <col min="14054" max="14054" width="10.7109375" style="16" customWidth="1"/>
    <col min="14055" max="14055" width="60.140625" style="16" customWidth="1"/>
    <col min="14056" max="14056" width="27.5703125" style="16" customWidth="1"/>
    <col min="14057" max="14057" width="16.140625" style="16" customWidth="1"/>
    <col min="14058" max="14058" width="22.85546875" style="16" customWidth="1"/>
    <col min="14059" max="14059" width="3.7109375" style="16" customWidth="1"/>
    <col min="14060" max="14066" width="0" style="16" hidden="1" customWidth="1"/>
    <col min="14067" max="14067" width="3.140625" style="16" customWidth="1"/>
    <col min="14068" max="14069" width="19.42578125" style="16" customWidth="1"/>
    <col min="14070" max="14070" width="23.28515625" style="16" customWidth="1"/>
    <col min="14071" max="14071" width="19.5703125" style="16" customWidth="1"/>
    <col min="14072" max="14072" width="9.140625" style="16"/>
    <col min="14073" max="14073" width="18.7109375" style="16" customWidth="1"/>
    <col min="14074" max="14309" width="9.140625" style="16"/>
    <col min="14310" max="14310" width="10.7109375" style="16" customWidth="1"/>
    <col min="14311" max="14311" width="60.140625" style="16" customWidth="1"/>
    <col min="14312" max="14312" width="27.5703125" style="16" customWidth="1"/>
    <col min="14313" max="14313" width="16.140625" style="16" customWidth="1"/>
    <col min="14314" max="14314" width="22.85546875" style="16" customWidth="1"/>
    <col min="14315" max="14315" width="3.7109375" style="16" customWidth="1"/>
    <col min="14316" max="14322" width="0" style="16" hidden="1" customWidth="1"/>
    <col min="14323" max="14323" width="3.140625" style="16" customWidth="1"/>
    <col min="14324" max="14325" width="19.42578125" style="16" customWidth="1"/>
    <col min="14326" max="14326" width="23.28515625" style="16" customWidth="1"/>
    <col min="14327" max="14327" width="19.5703125" style="16" customWidth="1"/>
    <col min="14328" max="14328" width="9.140625" style="16"/>
    <col min="14329" max="14329" width="18.7109375" style="16" customWidth="1"/>
    <col min="14330" max="14565" width="9.140625" style="16"/>
    <col min="14566" max="14566" width="10.7109375" style="16" customWidth="1"/>
    <col min="14567" max="14567" width="60.140625" style="16" customWidth="1"/>
    <col min="14568" max="14568" width="27.5703125" style="16" customWidth="1"/>
    <col min="14569" max="14569" width="16.140625" style="16" customWidth="1"/>
    <col min="14570" max="14570" width="22.85546875" style="16" customWidth="1"/>
    <col min="14571" max="14571" width="3.7109375" style="16" customWidth="1"/>
    <col min="14572" max="14578" width="0" style="16" hidden="1" customWidth="1"/>
    <col min="14579" max="14579" width="3.140625" style="16" customWidth="1"/>
    <col min="14580" max="14581" width="19.42578125" style="16" customWidth="1"/>
    <col min="14582" max="14582" width="23.28515625" style="16" customWidth="1"/>
    <col min="14583" max="14583" width="19.5703125" style="16" customWidth="1"/>
    <col min="14584" max="14584" width="9.140625" style="16"/>
    <col min="14585" max="14585" width="18.7109375" style="16" customWidth="1"/>
    <col min="14586" max="14821" width="9.140625" style="16"/>
    <col min="14822" max="14822" width="10.7109375" style="16" customWidth="1"/>
    <col min="14823" max="14823" width="60.140625" style="16" customWidth="1"/>
    <col min="14824" max="14824" width="27.5703125" style="16" customWidth="1"/>
    <col min="14825" max="14825" width="16.140625" style="16" customWidth="1"/>
    <col min="14826" max="14826" width="22.85546875" style="16" customWidth="1"/>
    <col min="14827" max="14827" width="3.7109375" style="16" customWidth="1"/>
    <col min="14828" max="14834" width="0" style="16" hidden="1" customWidth="1"/>
    <col min="14835" max="14835" width="3.140625" style="16" customWidth="1"/>
    <col min="14836" max="14837" width="19.42578125" style="16" customWidth="1"/>
    <col min="14838" max="14838" width="23.28515625" style="16" customWidth="1"/>
    <col min="14839" max="14839" width="19.5703125" style="16" customWidth="1"/>
    <col min="14840" max="14840" width="9.140625" style="16"/>
    <col min="14841" max="14841" width="18.7109375" style="16" customWidth="1"/>
    <col min="14842" max="15077" width="9.140625" style="16"/>
    <col min="15078" max="15078" width="10.7109375" style="16" customWidth="1"/>
    <col min="15079" max="15079" width="60.140625" style="16" customWidth="1"/>
    <col min="15080" max="15080" width="27.5703125" style="16" customWidth="1"/>
    <col min="15081" max="15081" width="16.140625" style="16" customWidth="1"/>
    <col min="15082" max="15082" width="22.85546875" style="16" customWidth="1"/>
    <col min="15083" max="15083" width="3.7109375" style="16" customWidth="1"/>
    <col min="15084" max="15090" width="0" style="16" hidden="1" customWidth="1"/>
    <col min="15091" max="15091" width="3.140625" style="16" customWidth="1"/>
    <col min="15092" max="15093" width="19.42578125" style="16" customWidth="1"/>
    <col min="15094" max="15094" width="23.28515625" style="16" customWidth="1"/>
    <col min="15095" max="15095" width="19.5703125" style="16" customWidth="1"/>
    <col min="15096" max="15096" width="9.140625" style="16"/>
    <col min="15097" max="15097" width="18.7109375" style="16" customWidth="1"/>
    <col min="15098" max="15333" width="9.140625" style="16"/>
    <col min="15334" max="15334" width="10.7109375" style="16" customWidth="1"/>
    <col min="15335" max="15335" width="60.140625" style="16" customWidth="1"/>
    <col min="15336" max="15336" width="27.5703125" style="16" customWidth="1"/>
    <col min="15337" max="15337" width="16.140625" style="16" customWidth="1"/>
    <col min="15338" max="15338" width="22.85546875" style="16" customWidth="1"/>
    <col min="15339" max="15339" width="3.7109375" style="16" customWidth="1"/>
    <col min="15340" max="15346" width="0" style="16" hidden="1" customWidth="1"/>
    <col min="15347" max="15347" width="3.140625" style="16" customWidth="1"/>
    <col min="15348" max="15349" width="19.42578125" style="16" customWidth="1"/>
    <col min="15350" max="15350" width="23.28515625" style="16" customWidth="1"/>
    <col min="15351" max="15351" width="19.5703125" style="16" customWidth="1"/>
    <col min="15352" max="15352" width="9.140625" style="16"/>
    <col min="15353" max="15353" width="18.7109375" style="16" customWidth="1"/>
    <col min="15354" max="15589" width="9.140625" style="16"/>
    <col min="15590" max="15590" width="10.7109375" style="16" customWidth="1"/>
    <col min="15591" max="15591" width="60.140625" style="16" customWidth="1"/>
    <col min="15592" max="15592" width="27.5703125" style="16" customWidth="1"/>
    <col min="15593" max="15593" width="16.140625" style="16" customWidth="1"/>
    <col min="15594" max="15594" width="22.85546875" style="16" customWidth="1"/>
    <col min="15595" max="15595" width="3.7109375" style="16" customWidth="1"/>
    <col min="15596" max="15602" width="0" style="16" hidden="1" customWidth="1"/>
    <col min="15603" max="15603" width="3.140625" style="16" customWidth="1"/>
    <col min="15604" max="15605" width="19.42578125" style="16" customWidth="1"/>
    <col min="15606" max="15606" width="23.28515625" style="16" customWidth="1"/>
    <col min="15607" max="15607" width="19.5703125" style="16" customWidth="1"/>
    <col min="15608" max="15608" width="9.140625" style="16"/>
    <col min="15609" max="15609" width="18.7109375" style="16" customWidth="1"/>
    <col min="15610" max="15845" width="9.140625" style="16"/>
    <col min="15846" max="15846" width="10.7109375" style="16" customWidth="1"/>
    <col min="15847" max="15847" width="60.140625" style="16" customWidth="1"/>
    <col min="15848" max="15848" width="27.5703125" style="16" customWidth="1"/>
    <col min="15849" max="15849" width="16.140625" style="16" customWidth="1"/>
    <col min="15850" max="15850" width="22.85546875" style="16" customWidth="1"/>
    <col min="15851" max="15851" width="3.7109375" style="16" customWidth="1"/>
    <col min="15852" max="15858" width="0" style="16" hidden="1" customWidth="1"/>
    <col min="15859" max="15859" width="3.140625" style="16" customWidth="1"/>
    <col min="15860" max="15861" width="19.42578125" style="16" customWidth="1"/>
    <col min="15862" max="15862" width="23.28515625" style="16" customWidth="1"/>
    <col min="15863" max="15863" width="19.5703125" style="16" customWidth="1"/>
    <col min="15864" max="15864" width="9.140625" style="16"/>
    <col min="15865" max="15865" width="18.7109375" style="16" customWidth="1"/>
    <col min="15866" max="16101" width="9.140625" style="16"/>
    <col min="16102" max="16102" width="10.7109375" style="16" customWidth="1"/>
    <col min="16103" max="16103" width="60.140625" style="16" customWidth="1"/>
    <col min="16104" max="16104" width="27.5703125" style="16" customWidth="1"/>
    <col min="16105" max="16105" width="16.140625" style="16" customWidth="1"/>
    <col min="16106" max="16106" width="22.85546875" style="16" customWidth="1"/>
    <col min="16107" max="16107" width="3.7109375" style="16" customWidth="1"/>
    <col min="16108" max="16114" width="0" style="16" hidden="1" customWidth="1"/>
    <col min="16115" max="16115" width="3.140625" style="16" customWidth="1"/>
    <col min="16116" max="16117" width="19.42578125" style="16" customWidth="1"/>
    <col min="16118" max="16118" width="23.28515625" style="16" customWidth="1"/>
    <col min="16119" max="16119" width="19.5703125" style="16" customWidth="1"/>
    <col min="16120" max="16120" width="9.140625" style="16"/>
    <col min="16121" max="16121" width="18.7109375" style="16" customWidth="1"/>
    <col min="16122" max="16384" width="9.140625" style="16"/>
  </cols>
  <sheetData>
    <row r="1" spans="1:29" s="3" customFormat="1" ht="37.5" customHeight="1" x14ac:dyDescent="0.2">
      <c r="A1" s="138" t="s">
        <v>28</v>
      </c>
      <c r="B1" s="138"/>
      <c r="C1" s="138"/>
      <c r="D1" s="138"/>
      <c r="E1" s="138"/>
      <c r="F1" s="138"/>
      <c r="G1" s="138"/>
      <c r="H1" s="138"/>
      <c r="I1" s="138"/>
      <c r="J1" s="138"/>
      <c r="K1" s="138"/>
      <c r="L1" s="138"/>
      <c r="M1" s="138"/>
      <c r="N1" s="138"/>
      <c r="O1" s="138"/>
      <c r="P1" s="138"/>
      <c r="Q1" s="138"/>
      <c r="R1" s="138"/>
      <c r="S1" s="138"/>
      <c r="T1" s="138"/>
      <c r="U1" s="138"/>
      <c r="V1" s="138"/>
      <c r="W1" s="138"/>
      <c r="X1" s="138"/>
      <c r="Y1" s="138"/>
      <c r="Z1" s="138"/>
      <c r="AA1" s="138"/>
      <c r="AB1" s="138"/>
      <c r="AC1" s="138"/>
    </row>
    <row r="2" spans="1:29" s="3" customFormat="1" ht="67.5" customHeight="1" x14ac:dyDescent="0.3">
      <c r="A2" s="139"/>
      <c r="B2" s="139"/>
      <c r="C2" s="140" t="s">
        <v>180</v>
      </c>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row>
    <row r="3" spans="1:29" s="3" customFormat="1" ht="19.5" customHeight="1" x14ac:dyDescent="0.3">
      <c r="A3" s="59"/>
      <c r="B3" s="59"/>
      <c r="C3" s="4"/>
      <c r="D3" s="4"/>
      <c r="E3" s="4"/>
      <c r="F3" s="4"/>
      <c r="G3" s="4"/>
      <c r="H3" s="4"/>
      <c r="I3" s="4"/>
      <c r="J3" s="4"/>
      <c r="K3" s="4"/>
      <c r="L3" s="4"/>
      <c r="M3" s="4"/>
      <c r="N3" s="5"/>
      <c r="O3" s="5"/>
      <c r="P3" s="5"/>
      <c r="Q3" s="28"/>
    </row>
    <row r="4" spans="1:29" s="3" customFormat="1" ht="37.5" customHeight="1" x14ac:dyDescent="0.2">
      <c r="A4" s="141" t="s">
        <v>29</v>
      </c>
      <c r="B4" s="141"/>
      <c r="C4" s="141"/>
      <c r="D4" s="141"/>
      <c r="E4" s="141"/>
      <c r="F4" s="141"/>
      <c r="G4" s="141"/>
      <c r="H4" s="141"/>
      <c r="I4" s="85"/>
      <c r="J4" s="171" t="s">
        <v>185</v>
      </c>
      <c r="K4" s="4"/>
      <c r="L4" s="171" t="s">
        <v>184</v>
      </c>
      <c r="M4" s="4"/>
      <c r="N4" s="142" t="s">
        <v>30</v>
      </c>
      <c r="O4" s="142"/>
      <c r="P4" s="142"/>
      <c r="Q4" s="142"/>
      <c r="R4" s="142"/>
      <c r="S4" s="142"/>
      <c r="T4" s="142"/>
      <c r="U4" s="142"/>
      <c r="V4" s="142"/>
      <c r="W4" s="142"/>
      <c r="X4" s="142"/>
      <c r="Y4" s="142"/>
      <c r="Z4" s="142"/>
      <c r="AA4" s="142"/>
      <c r="AB4" s="142"/>
      <c r="AC4" s="142"/>
    </row>
    <row r="5" spans="1:29" s="3" customFormat="1" ht="41.25" customHeight="1" x14ac:dyDescent="0.2">
      <c r="A5" s="148" t="s">
        <v>4</v>
      </c>
      <c r="B5" s="149"/>
      <c r="C5" s="149"/>
      <c r="D5" s="149"/>
      <c r="E5" s="149"/>
      <c r="F5" s="149"/>
      <c r="G5" s="149"/>
      <c r="H5" s="150"/>
      <c r="I5" s="86"/>
      <c r="J5" s="171"/>
      <c r="K5" s="4"/>
      <c r="L5" s="171"/>
      <c r="M5" s="4"/>
      <c r="N5" s="146" t="s">
        <v>26</v>
      </c>
      <c r="O5" s="146"/>
      <c r="P5" s="146"/>
      <c r="Q5" s="146"/>
      <c r="S5" s="146" t="s">
        <v>186</v>
      </c>
      <c r="T5" s="146"/>
      <c r="U5" s="146"/>
      <c r="V5" s="146"/>
      <c r="X5" s="146" t="s">
        <v>187</v>
      </c>
      <c r="Y5" s="146"/>
      <c r="Z5" s="146"/>
      <c r="AA5" s="146"/>
      <c r="AC5" s="65" t="s">
        <v>188</v>
      </c>
    </row>
    <row r="6" spans="1:29" ht="50.25" customHeight="1" x14ac:dyDescent="0.2">
      <c r="A6" s="43" t="s">
        <v>0</v>
      </c>
      <c r="B6" s="44" t="s">
        <v>1</v>
      </c>
      <c r="C6" s="44" t="s">
        <v>36</v>
      </c>
      <c r="D6" s="44" t="s">
        <v>37</v>
      </c>
      <c r="E6" s="44" t="s">
        <v>23</v>
      </c>
      <c r="F6" s="44" t="s">
        <v>181</v>
      </c>
      <c r="G6" s="44" t="s">
        <v>182</v>
      </c>
      <c r="H6" s="44" t="s">
        <v>183</v>
      </c>
      <c r="I6" s="87"/>
      <c r="J6" s="48" t="s">
        <v>19</v>
      </c>
      <c r="K6" s="63"/>
      <c r="L6" s="48" t="s">
        <v>19</v>
      </c>
      <c r="M6" s="63"/>
      <c r="N6" s="48" t="s">
        <v>19</v>
      </c>
      <c r="O6" s="48" t="s">
        <v>6</v>
      </c>
      <c r="P6" s="48" t="s">
        <v>7</v>
      </c>
      <c r="Q6" s="49" t="s">
        <v>27</v>
      </c>
      <c r="S6" s="48" t="s">
        <v>19</v>
      </c>
      <c r="T6" s="48" t="s">
        <v>6</v>
      </c>
      <c r="U6" s="48" t="s">
        <v>7</v>
      </c>
      <c r="V6" s="49" t="s">
        <v>8</v>
      </c>
      <c r="X6" s="48" t="s">
        <v>19</v>
      </c>
      <c r="Y6" s="48" t="s">
        <v>6</v>
      </c>
      <c r="Z6" s="48" t="s">
        <v>7</v>
      </c>
      <c r="AA6" s="49" t="s">
        <v>8</v>
      </c>
      <c r="AC6" s="49" t="s">
        <v>27</v>
      </c>
    </row>
    <row r="7" spans="1:29" s="6" customFormat="1" ht="42" customHeight="1" x14ac:dyDescent="0.3">
      <c r="A7" s="73">
        <v>1</v>
      </c>
      <c r="B7" s="74" t="s">
        <v>38</v>
      </c>
      <c r="C7" s="74"/>
      <c r="D7" s="74"/>
      <c r="E7" s="129" t="s">
        <v>203</v>
      </c>
      <c r="F7" s="129" t="s">
        <v>203</v>
      </c>
      <c r="G7" s="129" t="s">
        <v>203</v>
      </c>
      <c r="H7" s="74"/>
      <c r="I7" s="88"/>
      <c r="J7" s="89"/>
      <c r="K7" s="63"/>
      <c r="L7" s="89"/>
      <c r="M7" s="63"/>
      <c r="N7" s="99"/>
      <c r="O7" s="99"/>
      <c r="P7" s="99"/>
      <c r="Q7" s="99"/>
      <c r="S7" s="99"/>
      <c r="T7" s="99"/>
      <c r="U7" s="99"/>
      <c r="V7" s="99"/>
      <c r="X7" s="99"/>
      <c r="Y7" s="99"/>
      <c r="Z7" s="99"/>
      <c r="AA7" s="99"/>
      <c r="AC7" s="99"/>
    </row>
    <row r="8" spans="1:29" s="6" customFormat="1" ht="32.25" customHeight="1" x14ac:dyDescent="0.3">
      <c r="A8" s="73" t="s">
        <v>39</v>
      </c>
      <c r="B8" s="74" t="s">
        <v>40</v>
      </c>
      <c r="C8" s="74"/>
      <c r="D8" s="74"/>
      <c r="E8" s="74"/>
      <c r="F8" s="74"/>
      <c r="G8" s="74"/>
      <c r="H8" s="74"/>
      <c r="I8" s="88"/>
      <c r="J8" s="89"/>
      <c r="K8" s="63"/>
      <c r="L8" s="89"/>
      <c r="M8" s="63"/>
      <c r="N8" s="99"/>
      <c r="O8" s="99"/>
      <c r="P8" s="99"/>
      <c r="Q8" s="99"/>
      <c r="S8" s="99"/>
      <c r="T8" s="99"/>
      <c r="U8" s="99"/>
      <c r="V8" s="99"/>
      <c r="X8" s="99"/>
      <c r="Y8" s="99"/>
      <c r="Z8" s="99"/>
      <c r="AA8" s="99"/>
      <c r="AC8" s="99"/>
    </row>
    <row r="9" spans="1:29" s="6" customFormat="1" ht="33" customHeight="1" x14ac:dyDescent="0.3">
      <c r="A9" s="75" t="s">
        <v>41</v>
      </c>
      <c r="B9" s="76" t="s">
        <v>42</v>
      </c>
      <c r="C9" s="2" t="s">
        <v>144</v>
      </c>
      <c r="D9" s="79">
        <v>5</v>
      </c>
      <c r="E9" s="64">
        <v>0</v>
      </c>
      <c r="F9" s="64">
        <v>4</v>
      </c>
      <c r="G9" s="64">
        <f>3+(5/5)</f>
        <v>4</v>
      </c>
      <c r="H9" s="1">
        <f>E9+F9+G9</f>
        <v>8</v>
      </c>
      <c r="I9" s="80"/>
      <c r="J9" s="92">
        <v>325000</v>
      </c>
      <c r="K9" s="63"/>
      <c r="L9" s="97">
        <v>290000</v>
      </c>
      <c r="M9" s="63"/>
      <c r="N9" s="25">
        <f>AVERAGE(J9,L9)</f>
        <v>307500</v>
      </c>
      <c r="O9" s="27">
        <f>(N9*19%)</f>
        <v>58425</v>
      </c>
      <c r="P9" s="27">
        <f t="shared" ref="P9" si="0">+O9+N9</f>
        <v>365925</v>
      </c>
      <c r="Q9" s="29">
        <f>+P9*E9*D9</f>
        <v>0</v>
      </c>
      <c r="S9" s="25">
        <f>N9+(N9*4.4%)</f>
        <v>321030</v>
      </c>
      <c r="T9" s="27">
        <f>S9*19%</f>
        <v>60995.7</v>
      </c>
      <c r="U9" s="27">
        <f t="shared" ref="U9" si="1">+T9+S9</f>
        <v>382025.7</v>
      </c>
      <c r="V9" s="29">
        <f>+U9*F9*D9</f>
        <v>7640514</v>
      </c>
      <c r="X9" s="25">
        <f>S9+(S9*3%)</f>
        <v>330660.90000000002</v>
      </c>
      <c r="Y9" s="27">
        <f>X9*19%</f>
        <v>62825.571000000004</v>
      </c>
      <c r="Z9" s="27">
        <f t="shared" ref="Z9" si="2">+Y9+X9</f>
        <v>393486.47100000002</v>
      </c>
      <c r="AA9" s="29">
        <f>+Z9*G9*D9</f>
        <v>7869729.4199999999</v>
      </c>
      <c r="AC9" s="29">
        <f t="shared" ref="AC9:AC48" si="3">+AA9+V9+Q9</f>
        <v>15510243.42</v>
      </c>
    </row>
    <row r="10" spans="1:29" s="6" customFormat="1" ht="31.5" customHeight="1" x14ac:dyDescent="0.3">
      <c r="A10" s="75" t="s">
        <v>43</v>
      </c>
      <c r="B10" s="76" t="s">
        <v>44</v>
      </c>
      <c r="C10" s="2" t="s">
        <v>144</v>
      </c>
      <c r="D10" s="79">
        <v>10</v>
      </c>
      <c r="E10" s="128">
        <f>3/10</f>
        <v>0.3</v>
      </c>
      <c r="F10" s="64">
        <v>4</v>
      </c>
      <c r="G10" s="128">
        <f>3+(7/10)</f>
        <v>3.7</v>
      </c>
      <c r="H10" s="1">
        <f t="shared" ref="H10:H12" si="4">E10+F10+G10</f>
        <v>8</v>
      </c>
      <c r="I10" s="80"/>
      <c r="J10" s="92">
        <v>325000</v>
      </c>
      <c r="K10" s="63"/>
      <c r="L10" s="97">
        <v>290000</v>
      </c>
      <c r="M10" s="63"/>
      <c r="N10" s="25">
        <f t="shared" ref="N10:N12" si="5">AVERAGE(J10,L10)</f>
        <v>307500</v>
      </c>
      <c r="O10" s="27">
        <f t="shared" ref="O10:O60" si="6">(N10*19%)</f>
        <v>58425</v>
      </c>
      <c r="P10" s="27">
        <f t="shared" ref="P10:P12" si="7">+O10+N10</f>
        <v>365925</v>
      </c>
      <c r="Q10" s="29">
        <f t="shared" ref="Q10:Q12" si="8">+P10*E10*D10</f>
        <v>1097775</v>
      </c>
      <c r="S10" s="25">
        <f t="shared" ref="S10:S60" si="9">N10+(N10*4.4%)</f>
        <v>321030</v>
      </c>
      <c r="T10" s="27">
        <f t="shared" ref="T10:T60" si="10">S10*19%</f>
        <v>60995.7</v>
      </c>
      <c r="U10" s="27">
        <f t="shared" ref="U10:U12" si="11">+T10+S10</f>
        <v>382025.7</v>
      </c>
      <c r="V10" s="29">
        <f t="shared" ref="V10:V12" si="12">+U10*F10*D10</f>
        <v>15281028</v>
      </c>
      <c r="X10" s="25">
        <f t="shared" ref="X10:X60" si="13">S10+(S10*3%)</f>
        <v>330660.90000000002</v>
      </c>
      <c r="Y10" s="27">
        <f t="shared" ref="Y10:Y60" si="14">X10*19%</f>
        <v>62825.571000000004</v>
      </c>
      <c r="Z10" s="27">
        <f t="shared" ref="Z10:Z12" si="15">+Y10+X10</f>
        <v>393486.47100000002</v>
      </c>
      <c r="AA10" s="29">
        <f t="shared" ref="AA10:AA12" si="16">+Z10*G10*D10</f>
        <v>14558999.427000003</v>
      </c>
      <c r="AC10" s="29">
        <f t="shared" si="3"/>
        <v>30937802.427000001</v>
      </c>
    </row>
    <row r="11" spans="1:29" s="6" customFormat="1" ht="29.25" customHeight="1" x14ac:dyDescent="0.3">
      <c r="A11" s="75" t="s">
        <v>45</v>
      </c>
      <c r="B11" s="76" t="s">
        <v>46</v>
      </c>
      <c r="C11" s="2" t="s">
        <v>144</v>
      </c>
      <c r="D11" s="79">
        <v>18</v>
      </c>
      <c r="E11" s="127">
        <f>7/18</f>
        <v>0.3888888888888889</v>
      </c>
      <c r="F11" s="64">
        <v>4</v>
      </c>
      <c r="G11" s="127">
        <f>3+(11/18)</f>
        <v>3.6111111111111112</v>
      </c>
      <c r="H11" s="126">
        <f t="shared" si="4"/>
        <v>8</v>
      </c>
      <c r="I11" s="80"/>
      <c r="J11" s="92">
        <v>325000</v>
      </c>
      <c r="K11" s="63"/>
      <c r="L11" s="97">
        <v>290000</v>
      </c>
      <c r="M11" s="63"/>
      <c r="N11" s="25">
        <f t="shared" si="5"/>
        <v>307500</v>
      </c>
      <c r="O11" s="27">
        <f t="shared" si="6"/>
        <v>58425</v>
      </c>
      <c r="P11" s="27">
        <f t="shared" si="7"/>
        <v>365925</v>
      </c>
      <c r="Q11" s="29">
        <f t="shared" si="8"/>
        <v>2561475</v>
      </c>
      <c r="S11" s="25">
        <f t="shared" si="9"/>
        <v>321030</v>
      </c>
      <c r="T11" s="27">
        <f t="shared" si="10"/>
        <v>60995.7</v>
      </c>
      <c r="U11" s="27">
        <f t="shared" si="11"/>
        <v>382025.7</v>
      </c>
      <c r="V11" s="29">
        <f t="shared" si="12"/>
        <v>27505850.400000002</v>
      </c>
      <c r="X11" s="25">
        <f t="shared" si="13"/>
        <v>330660.90000000002</v>
      </c>
      <c r="Y11" s="27">
        <f t="shared" si="14"/>
        <v>62825.571000000004</v>
      </c>
      <c r="Z11" s="27">
        <f t="shared" si="15"/>
        <v>393486.47100000002</v>
      </c>
      <c r="AA11" s="29">
        <f t="shared" si="16"/>
        <v>25576620.615000002</v>
      </c>
      <c r="AC11" s="29">
        <f t="shared" si="3"/>
        <v>55643946.015000001</v>
      </c>
    </row>
    <row r="12" spans="1:29" s="6" customFormat="1" ht="32.25" customHeight="1" x14ac:dyDescent="0.3">
      <c r="A12" s="75" t="s">
        <v>47</v>
      </c>
      <c r="B12" s="76" t="s">
        <v>48</v>
      </c>
      <c r="C12" s="2" t="s">
        <v>144</v>
      </c>
      <c r="D12" s="79">
        <v>5</v>
      </c>
      <c r="E12" s="128">
        <f>3/5</f>
        <v>0.6</v>
      </c>
      <c r="F12" s="64">
        <v>4</v>
      </c>
      <c r="G12" s="128">
        <f>3+(2/5)</f>
        <v>3.4</v>
      </c>
      <c r="H12" s="1">
        <f t="shared" si="4"/>
        <v>8</v>
      </c>
      <c r="I12" s="80"/>
      <c r="J12" s="92">
        <v>325000</v>
      </c>
      <c r="K12" s="63"/>
      <c r="L12" s="97">
        <v>290000</v>
      </c>
      <c r="M12" s="63"/>
      <c r="N12" s="25">
        <f t="shared" si="5"/>
        <v>307500</v>
      </c>
      <c r="O12" s="27">
        <f t="shared" si="6"/>
        <v>58425</v>
      </c>
      <c r="P12" s="27">
        <f t="shared" si="7"/>
        <v>365925</v>
      </c>
      <c r="Q12" s="29">
        <f t="shared" si="8"/>
        <v>1097775</v>
      </c>
      <c r="S12" s="25">
        <f t="shared" si="9"/>
        <v>321030</v>
      </c>
      <c r="T12" s="27">
        <f t="shared" si="10"/>
        <v>60995.7</v>
      </c>
      <c r="U12" s="27">
        <f t="shared" si="11"/>
        <v>382025.7</v>
      </c>
      <c r="V12" s="29">
        <f t="shared" si="12"/>
        <v>7640514</v>
      </c>
      <c r="X12" s="25">
        <f t="shared" si="13"/>
        <v>330660.90000000002</v>
      </c>
      <c r="Y12" s="27">
        <f t="shared" si="14"/>
        <v>62825.571000000004</v>
      </c>
      <c r="Z12" s="27">
        <f t="shared" si="15"/>
        <v>393486.47100000002</v>
      </c>
      <c r="AA12" s="29">
        <f t="shared" si="16"/>
        <v>6689270.0069999993</v>
      </c>
      <c r="AC12" s="29">
        <f t="shared" si="3"/>
        <v>15427559.006999999</v>
      </c>
    </row>
    <row r="13" spans="1:29" s="6" customFormat="1" ht="39.75" customHeight="1" x14ac:dyDescent="0.3">
      <c r="A13" s="77" t="s">
        <v>49</v>
      </c>
      <c r="B13" s="74" t="s">
        <v>50</v>
      </c>
      <c r="C13" s="74"/>
      <c r="D13" s="74"/>
      <c r="E13" s="74"/>
      <c r="F13" s="74"/>
      <c r="G13" s="74"/>
      <c r="H13" s="74"/>
      <c r="I13" s="80"/>
      <c r="J13" s="93"/>
      <c r="K13" s="63"/>
      <c r="L13" s="93"/>
      <c r="M13" s="63"/>
      <c r="N13" s="100"/>
      <c r="O13" s="100"/>
      <c r="P13" s="100"/>
      <c r="Q13" s="100"/>
      <c r="S13" s="100"/>
      <c r="T13" s="100"/>
      <c r="U13" s="100"/>
      <c r="V13" s="100"/>
      <c r="X13" s="100"/>
      <c r="Y13" s="100"/>
      <c r="Z13" s="100"/>
      <c r="AA13" s="100"/>
      <c r="AC13" s="93"/>
    </row>
    <row r="14" spans="1:29" s="6" customFormat="1" ht="39" customHeight="1" x14ac:dyDescent="0.3">
      <c r="A14" s="75" t="s">
        <v>51</v>
      </c>
      <c r="B14" s="76" t="s">
        <v>52</v>
      </c>
      <c r="C14" s="2" t="s">
        <v>144</v>
      </c>
      <c r="D14" s="79">
        <v>1</v>
      </c>
      <c r="E14" s="64">
        <f>1/1</f>
        <v>1</v>
      </c>
      <c r="F14" s="64">
        <v>4</v>
      </c>
      <c r="G14" s="64">
        <v>3</v>
      </c>
      <c r="H14" s="1">
        <f t="shared" ref="H14:H16" si="17">E14+F14+G14</f>
        <v>8</v>
      </c>
      <c r="I14" s="80"/>
      <c r="J14" s="92">
        <v>455000</v>
      </c>
      <c r="K14" s="63"/>
      <c r="L14" s="97">
        <v>290000</v>
      </c>
      <c r="M14" s="63"/>
      <c r="N14" s="25">
        <f t="shared" ref="N14:N60" si="18">AVERAGE(J14,L14)</f>
        <v>372500</v>
      </c>
      <c r="O14" s="27">
        <f t="shared" si="6"/>
        <v>70775</v>
      </c>
      <c r="P14" s="27">
        <f t="shared" ref="P14:P16" si="19">+O14+N14</f>
        <v>443275</v>
      </c>
      <c r="Q14" s="29">
        <f t="shared" ref="Q14:Q16" si="20">+P14*E14*D14</f>
        <v>443275</v>
      </c>
      <c r="S14" s="25">
        <f t="shared" si="9"/>
        <v>388890</v>
      </c>
      <c r="T14" s="27">
        <f t="shared" si="10"/>
        <v>73889.100000000006</v>
      </c>
      <c r="U14" s="27">
        <f t="shared" ref="U14:U16" si="21">+T14+S14</f>
        <v>462779.1</v>
      </c>
      <c r="V14" s="29">
        <f t="shared" ref="V14:V16" si="22">+U14*F14*D14</f>
        <v>1851116.4</v>
      </c>
      <c r="X14" s="25">
        <f t="shared" si="13"/>
        <v>400556.7</v>
      </c>
      <c r="Y14" s="27">
        <f t="shared" si="14"/>
        <v>76105.773000000001</v>
      </c>
      <c r="Z14" s="27">
        <f t="shared" ref="Z14:Z16" si="23">+Y14+X14</f>
        <v>476662.473</v>
      </c>
      <c r="AA14" s="29">
        <f t="shared" ref="AA14:AA16" si="24">+Z14*G14*D14</f>
        <v>1429987.419</v>
      </c>
      <c r="AC14" s="29">
        <f t="shared" si="3"/>
        <v>3724378.8190000001</v>
      </c>
    </row>
    <row r="15" spans="1:29" s="6" customFormat="1" ht="34.5" customHeight="1" x14ac:dyDescent="0.3">
      <c r="A15" s="75" t="s">
        <v>53</v>
      </c>
      <c r="B15" s="76" t="s">
        <v>54</v>
      </c>
      <c r="C15" s="2" t="s">
        <v>144</v>
      </c>
      <c r="D15" s="79">
        <v>1</v>
      </c>
      <c r="E15" s="64">
        <f t="shared" ref="E15:E16" si="25">1/1</f>
        <v>1</v>
      </c>
      <c r="F15" s="64">
        <v>4</v>
      </c>
      <c r="G15" s="64">
        <v>3</v>
      </c>
      <c r="H15" s="1">
        <f t="shared" si="17"/>
        <v>8</v>
      </c>
      <c r="I15" s="80"/>
      <c r="J15" s="92">
        <v>455000</v>
      </c>
      <c r="K15" s="63"/>
      <c r="L15" s="97">
        <v>290000</v>
      </c>
      <c r="M15" s="63"/>
      <c r="N15" s="25">
        <f t="shared" si="18"/>
        <v>372500</v>
      </c>
      <c r="O15" s="27">
        <f t="shared" si="6"/>
        <v>70775</v>
      </c>
      <c r="P15" s="27">
        <f t="shared" si="19"/>
        <v>443275</v>
      </c>
      <c r="Q15" s="29">
        <f t="shared" si="20"/>
        <v>443275</v>
      </c>
      <c r="S15" s="25">
        <f t="shared" si="9"/>
        <v>388890</v>
      </c>
      <c r="T15" s="27">
        <f t="shared" si="10"/>
        <v>73889.100000000006</v>
      </c>
      <c r="U15" s="27">
        <f t="shared" si="21"/>
        <v>462779.1</v>
      </c>
      <c r="V15" s="29">
        <f t="shared" si="22"/>
        <v>1851116.4</v>
      </c>
      <c r="X15" s="25">
        <f t="shared" si="13"/>
        <v>400556.7</v>
      </c>
      <c r="Y15" s="27">
        <f t="shared" si="14"/>
        <v>76105.773000000001</v>
      </c>
      <c r="Z15" s="27">
        <f t="shared" si="23"/>
        <v>476662.473</v>
      </c>
      <c r="AA15" s="29">
        <f t="shared" si="24"/>
        <v>1429987.419</v>
      </c>
      <c r="AC15" s="29">
        <f t="shared" si="3"/>
        <v>3724378.8190000001</v>
      </c>
    </row>
    <row r="16" spans="1:29" s="6" customFormat="1" ht="37.5" customHeight="1" x14ac:dyDescent="0.3">
      <c r="A16" s="75" t="s">
        <v>55</v>
      </c>
      <c r="B16" s="76" t="s">
        <v>56</v>
      </c>
      <c r="C16" s="2" t="s">
        <v>144</v>
      </c>
      <c r="D16" s="79">
        <v>1</v>
      </c>
      <c r="E16" s="64">
        <f t="shared" si="25"/>
        <v>1</v>
      </c>
      <c r="F16" s="64">
        <v>4</v>
      </c>
      <c r="G16" s="64">
        <v>3</v>
      </c>
      <c r="H16" s="1">
        <f t="shared" si="17"/>
        <v>8</v>
      </c>
      <c r="I16" s="80"/>
      <c r="J16" s="92">
        <v>455000</v>
      </c>
      <c r="K16" s="63"/>
      <c r="L16" s="97">
        <v>290000</v>
      </c>
      <c r="M16" s="63"/>
      <c r="N16" s="25">
        <f t="shared" si="18"/>
        <v>372500</v>
      </c>
      <c r="O16" s="27">
        <f t="shared" si="6"/>
        <v>70775</v>
      </c>
      <c r="P16" s="27">
        <f t="shared" si="19"/>
        <v>443275</v>
      </c>
      <c r="Q16" s="29">
        <f t="shared" si="20"/>
        <v>443275</v>
      </c>
      <c r="S16" s="25">
        <f t="shared" si="9"/>
        <v>388890</v>
      </c>
      <c r="T16" s="27">
        <f t="shared" si="10"/>
        <v>73889.100000000006</v>
      </c>
      <c r="U16" s="27">
        <f t="shared" si="21"/>
        <v>462779.1</v>
      </c>
      <c r="V16" s="29">
        <f t="shared" si="22"/>
        <v>1851116.4</v>
      </c>
      <c r="X16" s="25">
        <f t="shared" si="13"/>
        <v>400556.7</v>
      </c>
      <c r="Y16" s="27">
        <f t="shared" si="14"/>
        <v>76105.773000000001</v>
      </c>
      <c r="Z16" s="27">
        <f t="shared" si="23"/>
        <v>476662.473</v>
      </c>
      <c r="AA16" s="29">
        <f t="shared" si="24"/>
        <v>1429987.419</v>
      </c>
      <c r="AC16" s="29">
        <f t="shared" si="3"/>
        <v>3724378.8190000001</v>
      </c>
    </row>
    <row r="17" spans="1:29" s="6" customFormat="1" ht="45.75" customHeight="1" x14ac:dyDescent="0.3">
      <c r="A17" s="77" t="s">
        <v>57</v>
      </c>
      <c r="B17" s="74" t="s">
        <v>58</v>
      </c>
      <c r="C17" s="74"/>
      <c r="D17" s="74"/>
      <c r="E17" s="74"/>
      <c r="F17" s="74"/>
      <c r="G17" s="74"/>
      <c r="H17" s="74"/>
      <c r="I17" s="80"/>
      <c r="J17" s="93"/>
      <c r="K17" s="63"/>
      <c r="L17" s="93"/>
      <c r="M17" s="63"/>
      <c r="N17" s="100"/>
      <c r="O17" s="100"/>
      <c r="P17" s="100"/>
      <c r="Q17" s="100"/>
      <c r="S17" s="100"/>
      <c r="T17" s="100"/>
      <c r="U17" s="100"/>
      <c r="V17" s="100"/>
      <c r="X17" s="100"/>
      <c r="Y17" s="100"/>
      <c r="Z17" s="100"/>
      <c r="AA17" s="100"/>
      <c r="AC17" s="93"/>
    </row>
    <row r="18" spans="1:29" s="6" customFormat="1" ht="43.5" customHeight="1" x14ac:dyDescent="0.3">
      <c r="A18" s="75" t="s">
        <v>59</v>
      </c>
      <c r="B18" s="76" t="s">
        <v>60</v>
      </c>
      <c r="C18" s="2" t="s">
        <v>144</v>
      </c>
      <c r="D18" s="79">
        <v>33</v>
      </c>
      <c r="E18" s="127">
        <f>13/33</f>
        <v>0.39393939393939392</v>
      </c>
      <c r="F18" s="64">
        <v>4</v>
      </c>
      <c r="G18" s="127">
        <f>3+(20/33)</f>
        <v>3.606060606060606</v>
      </c>
      <c r="H18" s="1">
        <f t="shared" ref="H18:H25" si="26">E18+F18+G18</f>
        <v>8</v>
      </c>
      <c r="I18" s="80"/>
      <c r="J18" s="92">
        <v>152812.71703599999</v>
      </c>
      <c r="K18" s="63"/>
      <c r="L18" s="97">
        <v>200000</v>
      </c>
      <c r="M18" s="63"/>
      <c r="N18" s="25">
        <f t="shared" si="18"/>
        <v>176406.35851799999</v>
      </c>
      <c r="O18" s="27">
        <f t="shared" si="6"/>
        <v>33517.20811842</v>
      </c>
      <c r="P18" s="27">
        <f t="shared" ref="P18:P25" si="27">+O18+N18</f>
        <v>209923.56663642</v>
      </c>
      <c r="Q18" s="29">
        <f t="shared" ref="Q18:Q25" si="28">+P18*E18*D18</f>
        <v>2729006.36627346</v>
      </c>
      <c r="S18" s="25">
        <f t="shared" si="9"/>
        <v>184168.238292792</v>
      </c>
      <c r="T18" s="27">
        <f t="shared" si="10"/>
        <v>34991.965275630479</v>
      </c>
      <c r="U18" s="27">
        <f t="shared" ref="U18:U25" si="29">+T18+S18</f>
        <v>219160.20356842247</v>
      </c>
      <c r="V18" s="29">
        <f t="shared" ref="V18:V25" si="30">+U18*F18*D18</f>
        <v>28929146.871031765</v>
      </c>
      <c r="X18" s="25">
        <f t="shared" si="13"/>
        <v>189693.28544157575</v>
      </c>
      <c r="Y18" s="27">
        <f t="shared" si="14"/>
        <v>36041.724233899389</v>
      </c>
      <c r="Z18" s="27">
        <f t="shared" ref="Z18:Z25" si="31">+Y18+X18</f>
        <v>225735.00967547513</v>
      </c>
      <c r="AA18" s="29">
        <f t="shared" ref="AA18:AA25" si="32">+Z18*G18*D18</f>
        <v>26862466.151381537</v>
      </c>
      <c r="AC18" s="29">
        <f t="shared" si="3"/>
        <v>58520619.388686761</v>
      </c>
    </row>
    <row r="19" spans="1:29" s="6" customFormat="1" ht="43.5" customHeight="1" x14ac:dyDescent="0.3">
      <c r="A19" s="75" t="s">
        <v>61</v>
      </c>
      <c r="B19" s="76" t="s">
        <v>62</v>
      </c>
      <c r="C19" s="2" t="s">
        <v>144</v>
      </c>
      <c r="D19" s="79">
        <v>13</v>
      </c>
      <c r="E19" s="127">
        <f>4/13</f>
        <v>0.30769230769230771</v>
      </c>
      <c r="F19" s="64">
        <v>4</v>
      </c>
      <c r="G19" s="127">
        <f>3+(9/13)</f>
        <v>3.6923076923076925</v>
      </c>
      <c r="H19" s="126">
        <f t="shared" si="26"/>
        <v>8</v>
      </c>
      <c r="I19" s="80"/>
      <c r="J19" s="92">
        <v>152812.71703599999</v>
      </c>
      <c r="K19" s="63"/>
      <c r="L19" s="97">
        <v>200000</v>
      </c>
      <c r="M19" s="63"/>
      <c r="N19" s="25">
        <f t="shared" si="18"/>
        <v>176406.35851799999</v>
      </c>
      <c r="O19" s="27">
        <f t="shared" si="6"/>
        <v>33517.20811842</v>
      </c>
      <c r="P19" s="27">
        <f t="shared" si="27"/>
        <v>209923.56663642</v>
      </c>
      <c r="Q19" s="29">
        <f t="shared" si="28"/>
        <v>839694.26654568012</v>
      </c>
      <c r="S19" s="25">
        <f t="shared" si="9"/>
        <v>184168.238292792</v>
      </c>
      <c r="T19" s="27">
        <f t="shared" si="10"/>
        <v>34991.965275630479</v>
      </c>
      <c r="U19" s="27">
        <f t="shared" si="29"/>
        <v>219160.20356842247</v>
      </c>
      <c r="V19" s="29">
        <f t="shared" si="30"/>
        <v>11396330.585557967</v>
      </c>
      <c r="X19" s="25">
        <f t="shared" si="13"/>
        <v>189693.28544157575</v>
      </c>
      <c r="Y19" s="27">
        <f t="shared" si="14"/>
        <v>36041.724233899389</v>
      </c>
      <c r="Z19" s="27">
        <f t="shared" si="31"/>
        <v>225735.00967547513</v>
      </c>
      <c r="AA19" s="29">
        <f t="shared" si="32"/>
        <v>10835280.464422805</v>
      </c>
      <c r="AC19" s="29">
        <f t="shared" si="3"/>
        <v>23071305.316526454</v>
      </c>
    </row>
    <row r="20" spans="1:29" s="6" customFormat="1" ht="43.5" customHeight="1" x14ac:dyDescent="0.3">
      <c r="A20" s="75" t="s">
        <v>63</v>
      </c>
      <c r="B20" s="76" t="s">
        <v>64</v>
      </c>
      <c r="C20" s="2" t="s">
        <v>144</v>
      </c>
      <c r="D20" s="79">
        <v>25</v>
      </c>
      <c r="E20" s="128">
        <f>5/25</f>
        <v>0.2</v>
      </c>
      <c r="F20" s="64">
        <v>4</v>
      </c>
      <c r="G20" s="128">
        <f>3+(20/25)</f>
        <v>3.8</v>
      </c>
      <c r="H20" s="1">
        <f t="shared" si="26"/>
        <v>8</v>
      </c>
      <c r="I20" s="80"/>
      <c r="J20" s="92">
        <v>152812.706118</v>
      </c>
      <c r="K20" s="63"/>
      <c r="L20" s="97">
        <v>200000</v>
      </c>
      <c r="M20" s="63"/>
      <c r="N20" s="25">
        <f t="shared" si="18"/>
        <v>176406.35305899999</v>
      </c>
      <c r="O20" s="27">
        <f t="shared" si="6"/>
        <v>33517.207081209999</v>
      </c>
      <c r="P20" s="27">
        <f t="shared" si="27"/>
        <v>209923.56014020997</v>
      </c>
      <c r="Q20" s="29">
        <f t="shared" si="28"/>
        <v>1049617.8007010499</v>
      </c>
      <c r="S20" s="25">
        <f t="shared" si="9"/>
        <v>184168.23259359598</v>
      </c>
      <c r="T20" s="27">
        <f t="shared" si="10"/>
        <v>34991.964192783234</v>
      </c>
      <c r="U20" s="27">
        <f t="shared" si="29"/>
        <v>219160.19678637921</v>
      </c>
      <c r="V20" s="29">
        <f t="shared" si="30"/>
        <v>21916019.678637922</v>
      </c>
      <c r="X20" s="25">
        <f t="shared" si="13"/>
        <v>189693.27957140387</v>
      </c>
      <c r="Y20" s="27">
        <f t="shared" si="14"/>
        <v>36041.723118566733</v>
      </c>
      <c r="Z20" s="27">
        <f t="shared" si="31"/>
        <v>225735.0026899706</v>
      </c>
      <c r="AA20" s="29">
        <f t="shared" si="32"/>
        <v>21444825.255547203</v>
      </c>
      <c r="AC20" s="29">
        <f t="shared" si="3"/>
        <v>44410462.734886177</v>
      </c>
    </row>
    <row r="21" spans="1:29" s="6" customFormat="1" ht="35.25" customHeight="1" x14ac:dyDescent="0.3">
      <c r="A21" s="75" t="s">
        <v>65</v>
      </c>
      <c r="B21" s="76" t="s">
        <v>66</v>
      </c>
      <c r="C21" s="2" t="s">
        <v>144</v>
      </c>
      <c r="D21" s="79">
        <v>37</v>
      </c>
      <c r="E21" s="127">
        <f>11/37</f>
        <v>0.29729729729729731</v>
      </c>
      <c r="F21" s="64">
        <v>4</v>
      </c>
      <c r="G21" s="127">
        <f>3+(26/37)</f>
        <v>3.7027027027027026</v>
      </c>
      <c r="H21" s="126">
        <f t="shared" si="26"/>
        <v>8</v>
      </c>
      <c r="I21" s="80"/>
      <c r="J21" s="92">
        <v>156855.73978</v>
      </c>
      <c r="K21" s="63"/>
      <c r="L21" s="97">
        <v>200000</v>
      </c>
      <c r="M21" s="63"/>
      <c r="N21" s="25">
        <f t="shared" si="18"/>
        <v>178427.86989</v>
      </c>
      <c r="O21" s="27">
        <f t="shared" si="6"/>
        <v>33901.295279099999</v>
      </c>
      <c r="P21" s="27">
        <f t="shared" si="27"/>
        <v>212329.16516909999</v>
      </c>
      <c r="Q21" s="29">
        <f t="shared" si="28"/>
        <v>2335620.8168600998</v>
      </c>
      <c r="S21" s="25">
        <f t="shared" si="9"/>
        <v>186278.69616516001</v>
      </c>
      <c r="T21" s="27">
        <f t="shared" si="10"/>
        <v>35392.952271380404</v>
      </c>
      <c r="U21" s="27">
        <f t="shared" si="29"/>
        <v>221671.64843654042</v>
      </c>
      <c r="V21" s="29">
        <f t="shared" si="30"/>
        <v>32807403.968607981</v>
      </c>
      <c r="X21" s="25">
        <f t="shared" si="13"/>
        <v>191867.05705011482</v>
      </c>
      <c r="Y21" s="27">
        <f t="shared" si="14"/>
        <v>36454.740839521815</v>
      </c>
      <c r="Z21" s="27">
        <f t="shared" si="31"/>
        <v>228321.79788963663</v>
      </c>
      <c r="AA21" s="29">
        <f t="shared" si="32"/>
        <v>31280086.310880218</v>
      </c>
      <c r="AC21" s="29">
        <f t="shared" si="3"/>
        <v>66423111.096348301</v>
      </c>
    </row>
    <row r="22" spans="1:29" s="6" customFormat="1" ht="39.75" customHeight="1" x14ac:dyDescent="0.3">
      <c r="A22" s="75" t="s">
        <v>67</v>
      </c>
      <c r="B22" s="76" t="s">
        <v>68</v>
      </c>
      <c r="C22" s="2" t="s">
        <v>144</v>
      </c>
      <c r="D22" s="79">
        <v>18</v>
      </c>
      <c r="E22" s="127">
        <f>5/18</f>
        <v>0.27777777777777779</v>
      </c>
      <c r="F22" s="64">
        <v>4</v>
      </c>
      <c r="G22" s="127">
        <f>3+(13/18)</f>
        <v>3.7222222222222223</v>
      </c>
      <c r="H22" s="126">
        <f t="shared" si="26"/>
        <v>8</v>
      </c>
      <c r="I22" s="80"/>
      <c r="J22" s="92">
        <v>156855.72886199999</v>
      </c>
      <c r="K22" s="63"/>
      <c r="L22" s="97">
        <v>200000</v>
      </c>
      <c r="M22" s="63"/>
      <c r="N22" s="25">
        <f t="shared" si="18"/>
        <v>178427.86443099999</v>
      </c>
      <c r="O22" s="27">
        <f t="shared" si="6"/>
        <v>33901.294241889998</v>
      </c>
      <c r="P22" s="27">
        <f t="shared" si="27"/>
        <v>212329.15867288999</v>
      </c>
      <c r="Q22" s="29">
        <f t="shared" si="28"/>
        <v>1061645.7933644501</v>
      </c>
      <c r="S22" s="25">
        <f t="shared" si="9"/>
        <v>186278.690465964</v>
      </c>
      <c r="T22" s="27">
        <f t="shared" si="10"/>
        <v>35392.951188533159</v>
      </c>
      <c r="U22" s="27">
        <f t="shared" si="29"/>
        <v>221671.64165449716</v>
      </c>
      <c r="V22" s="29">
        <f t="shared" si="30"/>
        <v>15960358.199123796</v>
      </c>
      <c r="X22" s="25">
        <f t="shared" si="13"/>
        <v>191867.05117994291</v>
      </c>
      <c r="Y22" s="27">
        <f t="shared" si="14"/>
        <v>36454.739724189152</v>
      </c>
      <c r="Z22" s="27">
        <f t="shared" si="31"/>
        <v>228321.79090413207</v>
      </c>
      <c r="AA22" s="29">
        <f t="shared" si="32"/>
        <v>15297559.99057685</v>
      </c>
      <c r="AC22" s="29">
        <f t="shared" si="3"/>
        <v>32319563.983065099</v>
      </c>
    </row>
    <row r="23" spans="1:29" s="6" customFormat="1" ht="41.25" customHeight="1" x14ac:dyDescent="0.3">
      <c r="A23" s="75" t="s">
        <v>69</v>
      </c>
      <c r="B23" s="76" t="s">
        <v>70</v>
      </c>
      <c r="C23" s="2" t="s">
        <v>144</v>
      </c>
      <c r="D23" s="79">
        <v>48</v>
      </c>
      <c r="E23" s="64">
        <f>30/48</f>
        <v>0.625</v>
      </c>
      <c r="F23" s="64">
        <v>4</v>
      </c>
      <c r="G23" s="64">
        <f>3+(18/48)</f>
        <v>3.375</v>
      </c>
      <c r="H23" s="1">
        <f t="shared" si="26"/>
        <v>8</v>
      </c>
      <c r="I23" s="80"/>
      <c r="J23" s="92">
        <v>156855.72886199999</v>
      </c>
      <c r="K23" s="63"/>
      <c r="L23" s="97">
        <v>200000</v>
      </c>
      <c r="M23" s="63"/>
      <c r="N23" s="25">
        <f t="shared" si="18"/>
        <v>178427.86443099999</v>
      </c>
      <c r="O23" s="27">
        <f t="shared" si="6"/>
        <v>33901.294241889998</v>
      </c>
      <c r="P23" s="27">
        <f t="shared" si="27"/>
        <v>212329.15867288999</v>
      </c>
      <c r="Q23" s="29">
        <f t="shared" si="28"/>
        <v>6369874.7601866992</v>
      </c>
      <c r="S23" s="25">
        <f t="shared" si="9"/>
        <v>186278.690465964</v>
      </c>
      <c r="T23" s="27">
        <f t="shared" si="10"/>
        <v>35392.951188533159</v>
      </c>
      <c r="U23" s="27">
        <f t="shared" si="29"/>
        <v>221671.64165449716</v>
      </c>
      <c r="V23" s="29">
        <f t="shared" si="30"/>
        <v>42560955.197663456</v>
      </c>
      <c r="X23" s="25">
        <f t="shared" si="13"/>
        <v>191867.05117994291</v>
      </c>
      <c r="Y23" s="27">
        <f t="shared" si="14"/>
        <v>36454.739724189152</v>
      </c>
      <c r="Z23" s="27">
        <f t="shared" si="31"/>
        <v>228321.79090413207</v>
      </c>
      <c r="AA23" s="29">
        <f t="shared" si="32"/>
        <v>36988130.126469396</v>
      </c>
      <c r="AC23" s="29">
        <f t="shared" si="3"/>
        <v>85918960.084319562</v>
      </c>
    </row>
    <row r="24" spans="1:29" s="6" customFormat="1" ht="45" customHeight="1" x14ac:dyDescent="0.3">
      <c r="A24" s="75" t="s">
        <v>71</v>
      </c>
      <c r="B24" s="76" t="s">
        <v>72</v>
      </c>
      <c r="C24" s="2" t="s">
        <v>144</v>
      </c>
      <c r="D24" s="79">
        <v>14</v>
      </c>
      <c r="E24" s="64">
        <v>0</v>
      </c>
      <c r="F24" s="64">
        <v>4</v>
      </c>
      <c r="G24" s="64">
        <f>3+(14/14)</f>
        <v>4</v>
      </c>
      <c r="H24" s="1">
        <f t="shared" si="26"/>
        <v>8</v>
      </c>
      <c r="I24" s="80"/>
      <c r="J24" s="92">
        <v>158758.77993399999</v>
      </c>
      <c r="K24" s="63"/>
      <c r="L24" s="97">
        <v>200000</v>
      </c>
      <c r="M24" s="63"/>
      <c r="N24" s="25">
        <f t="shared" si="18"/>
        <v>179379.389967</v>
      </c>
      <c r="O24" s="27">
        <f t="shared" si="6"/>
        <v>34082.084093730002</v>
      </c>
      <c r="P24" s="27">
        <f t="shared" si="27"/>
        <v>213461.47406072999</v>
      </c>
      <c r="Q24" s="29">
        <f t="shared" si="28"/>
        <v>0</v>
      </c>
      <c r="S24" s="25">
        <f t="shared" si="9"/>
        <v>187272.083125548</v>
      </c>
      <c r="T24" s="27">
        <f t="shared" si="10"/>
        <v>35581.695793854124</v>
      </c>
      <c r="U24" s="27">
        <f t="shared" si="29"/>
        <v>222853.77891940213</v>
      </c>
      <c r="V24" s="29">
        <f t="shared" si="30"/>
        <v>12479811.61948652</v>
      </c>
      <c r="X24" s="25">
        <f t="shared" si="13"/>
        <v>192890.24561931443</v>
      </c>
      <c r="Y24" s="27">
        <f t="shared" si="14"/>
        <v>36649.146667669746</v>
      </c>
      <c r="Z24" s="27">
        <f t="shared" si="31"/>
        <v>229539.39228698419</v>
      </c>
      <c r="AA24" s="29">
        <f t="shared" si="32"/>
        <v>12854205.968071114</v>
      </c>
      <c r="AC24" s="29">
        <f t="shared" si="3"/>
        <v>25334017.587557636</v>
      </c>
    </row>
    <row r="25" spans="1:29" s="6" customFormat="1" ht="33" customHeight="1" x14ac:dyDescent="0.3">
      <c r="A25" s="75" t="s">
        <v>73</v>
      </c>
      <c r="B25" s="76" t="s">
        <v>74</v>
      </c>
      <c r="C25" s="2" t="s">
        <v>144</v>
      </c>
      <c r="D25" s="79">
        <v>3</v>
      </c>
      <c r="E25" s="64">
        <v>0</v>
      </c>
      <c r="F25" s="64">
        <v>4</v>
      </c>
      <c r="G25" s="64">
        <f>3+(3/3)</f>
        <v>4</v>
      </c>
      <c r="H25" s="1">
        <f t="shared" si="26"/>
        <v>8</v>
      </c>
      <c r="I25" s="80"/>
      <c r="J25" s="92">
        <v>158758.80176999999</v>
      </c>
      <c r="K25" s="63"/>
      <c r="L25" s="97">
        <v>200000</v>
      </c>
      <c r="M25" s="63"/>
      <c r="N25" s="25">
        <f t="shared" si="18"/>
        <v>179379.40088500001</v>
      </c>
      <c r="O25" s="27">
        <f t="shared" si="6"/>
        <v>34082.086168150003</v>
      </c>
      <c r="P25" s="27">
        <f t="shared" si="27"/>
        <v>213461.48705315002</v>
      </c>
      <c r="Q25" s="29">
        <f t="shared" si="28"/>
        <v>0</v>
      </c>
      <c r="S25" s="25">
        <f t="shared" si="9"/>
        <v>187272.09452394</v>
      </c>
      <c r="T25" s="27">
        <f t="shared" si="10"/>
        <v>35581.697959548597</v>
      </c>
      <c r="U25" s="27">
        <f t="shared" si="29"/>
        <v>222853.79248348859</v>
      </c>
      <c r="V25" s="29">
        <f t="shared" si="30"/>
        <v>2674245.5098018632</v>
      </c>
      <c r="X25" s="25">
        <f t="shared" si="13"/>
        <v>192890.25735965819</v>
      </c>
      <c r="Y25" s="27">
        <f t="shared" si="14"/>
        <v>36649.148898335057</v>
      </c>
      <c r="Z25" s="27">
        <f t="shared" si="31"/>
        <v>229539.40625799325</v>
      </c>
      <c r="AA25" s="29">
        <f t="shared" si="32"/>
        <v>2754472.8750959188</v>
      </c>
      <c r="AC25" s="29">
        <f t="shared" si="3"/>
        <v>5428718.3848977815</v>
      </c>
    </row>
    <row r="26" spans="1:29" s="6" customFormat="1" ht="41.25" customHeight="1" x14ac:dyDescent="0.3">
      <c r="A26" s="77" t="s">
        <v>75</v>
      </c>
      <c r="B26" s="74" t="s">
        <v>76</v>
      </c>
      <c r="C26" s="74"/>
      <c r="D26" s="74"/>
      <c r="E26" s="74"/>
      <c r="F26" s="74"/>
      <c r="G26" s="74"/>
      <c r="H26" s="74"/>
      <c r="I26" s="80"/>
      <c r="J26" s="93"/>
      <c r="K26" s="63"/>
      <c r="L26" s="93"/>
      <c r="M26" s="63"/>
      <c r="N26" s="74"/>
      <c r="O26" s="74"/>
      <c r="P26" s="74"/>
      <c r="Q26" s="74"/>
      <c r="S26" s="100"/>
      <c r="T26" s="100"/>
      <c r="U26" s="100"/>
      <c r="V26" s="100"/>
      <c r="X26" s="100"/>
      <c r="Y26" s="100"/>
      <c r="Z26" s="100"/>
      <c r="AA26" s="100"/>
      <c r="AC26" s="100"/>
    </row>
    <row r="27" spans="1:29" s="6" customFormat="1" ht="45.75" customHeight="1" x14ac:dyDescent="0.3">
      <c r="A27" s="75" t="s">
        <v>77</v>
      </c>
      <c r="B27" s="76" t="s">
        <v>78</v>
      </c>
      <c r="C27" s="2" t="s">
        <v>144</v>
      </c>
      <c r="D27" s="79">
        <v>3</v>
      </c>
      <c r="E27" s="64">
        <v>0</v>
      </c>
      <c r="F27" s="64">
        <v>4</v>
      </c>
      <c r="G27" s="64">
        <f>3+(3/3)</f>
        <v>4</v>
      </c>
      <c r="H27" s="1">
        <f t="shared" ref="H27:H32" si="33">E27+F27+G27</f>
        <v>8</v>
      </c>
      <c r="I27" s="80"/>
      <c r="J27" s="92">
        <v>234000</v>
      </c>
      <c r="K27" s="63"/>
      <c r="L27" s="97">
        <v>200000</v>
      </c>
      <c r="M27" s="63"/>
      <c r="N27" s="25">
        <f t="shared" si="18"/>
        <v>217000</v>
      </c>
      <c r="O27" s="27">
        <f t="shared" si="6"/>
        <v>41230</v>
      </c>
      <c r="P27" s="27">
        <f t="shared" ref="P27:P32" si="34">+O27+N27</f>
        <v>258230</v>
      </c>
      <c r="Q27" s="29">
        <f t="shared" ref="Q27:Q32" si="35">+P27*E27*D27</f>
        <v>0</v>
      </c>
      <c r="S27" s="25">
        <f t="shared" si="9"/>
        <v>226548</v>
      </c>
      <c r="T27" s="27">
        <f t="shared" si="10"/>
        <v>43044.12</v>
      </c>
      <c r="U27" s="27">
        <f t="shared" ref="U27:U32" si="36">+T27+S27</f>
        <v>269592.12</v>
      </c>
      <c r="V27" s="29">
        <f t="shared" ref="V27:V32" si="37">+U27*F27*D27</f>
        <v>3235105.44</v>
      </c>
      <c r="X27" s="25">
        <f t="shared" si="13"/>
        <v>233344.44</v>
      </c>
      <c r="Y27" s="27">
        <f t="shared" si="14"/>
        <v>44335.443599999999</v>
      </c>
      <c r="Z27" s="27">
        <f t="shared" ref="Z27:Z32" si="38">+Y27+X27</f>
        <v>277679.8836</v>
      </c>
      <c r="AA27" s="29">
        <f t="shared" ref="AA27:AA32" si="39">+Z27*G27*D27</f>
        <v>3332158.6031999998</v>
      </c>
      <c r="AC27" s="29">
        <f t="shared" si="3"/>
        <v>6567264.0431999993</v>
      </c>
    </row>
    <row r="28" spans="1:29" s="6" customFormat="1" ht="44.25" customHeight="1" x14ac:dyDescent="0.3">
      <c r="A28" s="75" t="s">
        <v>79</v>
      </c>
      <c r="B28" s="76" t="s">
        <v>80</v>
      </c>
      <c r="C28" s="2" t="s">
        <v>144</v>
      </c>
      <c r="D28" s="79">
        <v>14</v>
      </c>
      <c r="E28" s="127">
        <f>8/14</f>
        <v>0.5714285714285714</v>
      </c>
      <c r="F28" s="64">
        <v>4</v>
      </c>
      <c r="G28" s="127">
        <f>3+(6/14)</f>
        <v>3.4285714285714284</v>
      </c>
      <c r="H28" s="1">
        <f t="shared" si="33"/>
        <v>8</v>
      </c>
      <c r="I28" s="80"/>
      <c r="J28" s="92">
        <v>234000</v>
      </c>
      <c r="K28" s="63"/>
      <c r="L28" s="97">
        <v>200000</v>
      </c>
      <c r="M28" s="63"/>
      <c r="N28" s="25">
        <f t="shared" si="18"/>
        <v>217000</v>
      </c>
      <c r="O28" s="27">
        <f t="shared" si="6"/>
        <v>41230</v>
      </c>
      <c r="P28" s="27">
        <f t="shared" si="34"/>
        <v>258230</v>
      </c>
      <c r="Q28" s="29">
        <f t="shared" si="35"/>
        <v>2065840</v>
      </c>
      <c r="S28" s="25">
        <f t="shared" si="9"/>
        <v>226548</v>
      </c>
      <c r="T28" s="27">
        <f t="shared" si="10"/>
        <v>43044.12</v>
      </c>
      <c r="U28" s="27">
        <f t="shared" si="36"/>
        <v>269592.12</v>
      </c>
      <c r="V28" s="29">
        <f t="shared" si="37"/>
        <v>15097158.719999999</v>
      </c>
      <c r="X28" s="25">
        <f t="shared" si="13"/>
        <v>233344.44</v>
      </c>
      <c r="Y28" s="27">
        <f t="shared" si="14"/>
        <v>44335.443599999999</v>
      </c>
      <c r="Z28" s="27">
        <f t="shared" si="38"/>
        <v>277679.8836</v>
      </c>
      <c r="AA28" s="29">
        <f t="shared" si="39"/>
        <v>13328634.412799999</v>
      </c>
      <c r="AC28" s="29">
        <f t="shared" si="3"/>
        <v>30491633.132799998</v>
      </c>
    </row>
    <row r="29" spans="1:29" s="6" customFormat="1" ht="44.25" customHeight="1" x14ac:dyDescent="0.3">
      <c r="A29" s="75" t="s">
        <v>81</v>
      </c>
      <c r="B29" s="76" t="s">
        <v>82</v>
      </c>
      <c r="C29" s="2" t="s">
        <v>144</v>
      </c>
      <c r="D29" s="79">
        <v>8</v>
      </c>
      <c r="E29" s="64">
        <f>2/D29</f>
        <v>0.25</v>
      </c>
      <c r="F29" s="64">
        <v>4</v>
      </c>
      <c r="G29" s="64">
        <f>3+(6/8)</f>
        <v>3.75</v>
      </c>
      <c r="H29" s="1">
        <f t="shared" si="33"/>
        <v>8</v>
      </c>
      <c r="I29" s="80"/>
      <c r="J29" s="92">
        <v>234000</v>
      </c>
      <c r="K29" s="63"/>
      <c r="L29" s="97">
        <v>200000</v>
      </c>
      <c r="M29" s="63"/>
      <c r="N29" s="25">
        <f t="shared" si="18"/>
        <v>217000</v>
      </c>
      <c r="O29" s="27">
        <f t="shared" si="6"/>
        <v>41230</v>
      </c>
      <c r="P29" s="27">
        <f t="shared" si="34"/>
        <v>258230</v>
      </c>
      <c r="Q29" s="29">
        <f t="shared" si="35"/>
        <v>516460</v>
      </c>
      <c r="S29" s="25">
        <f t="shared" si="9"/>
        <v>226548</v>
      </c>
      <c r="T29" s="27">
        <f t="shared" si="10"/>
        <v>43044.12</v>
      </c>
      <c r="U29" s="27">
        <f t="shared" si="36"/>
        <v>269592.12</v>
      </c>
      <c r="V29" s="29">
        <f t="shared" si="37"/>
        <v>8626947.8399999999</v>
      </c>
      <c r="X29" s="25">
        <f t="shared" si="13"/>
        <v>233344.44</v>
      </c>
      <c r="Y29" s="27">
        <f t="shared" si="14"/>
        <v>44335.443599999999</v>
      </c>
      <c r="Z29" s="27">
        <f t="shared" si="38"/>
        <v>277679.8836</v>
      </c>
      <c r="AA29" s="29">
        <f t="shared" si="39"/>
        <v>8330396.5080000004</v>
      </c>
      <c r="AC29" s="29">
        <f t="shared" si="3"/>
        <v>17473804.348000001</v>
      </c>
    </row>
    <row r="30" spans="1:29" s="6" customFormat="1" ht="34.5" customHeight="1" x14ac:dyDescent="0.3">
      <c r="A30" s="75" t="s">
        <v>83</v>
      </c>
      <c r="B30" s="76" t="s">
        <v>84</v>
      </c>
      <c r="C30" s="2" t="s">
        <v>144</v>
      </c>
      <c r="D30" s="79">
        <v>3</v>
      </c>
      <c r="E30" s="64">
        <f>3/D30</f>
        <v>1</v>
      </c>
      <c r="F30" s="64">
        <v>4</v>
      </c>
      <c r="G30" s="64">
        <v>3</v>
      </c>
      <c r="H30" s="1">
        <f t="shared" si="33"/>
        <v>8</v>
      </c>
      <c r="I30" s="80"/>
      <c r="J30" s="92">
        <v>234000</v>
      </c>
      <c r="K30" s="63"/>
      <c r="L30" s="97">
        <v>200000</v>
      </c>
      <c r="M30" s="63"/>
      <c r="N30" s="25">
        <f t="shared" si="18"/>
        <v>217000</v>
      </c>
      <c r="O30" s="27">
        <f t="shared" si="6"/>
        <v>41230</v>
      </c>
      <c r="P30" s="27">
        <f t="shared" si="34"/>
        <v>258230</v>
      </c>
      <c r="Q30" s="29">
        <f t="shared" si="35"/>
        <v>774690</v>
      </c>
      <c r="S30" s="25">
        <f t="shared" si="9"/>
        <v>226548</v>
      </c>
      <c r="T30" s="27">
        <f t="shared" si="10"/>
        <v>43044.12</v>
      </c>
      <c r="U30" s="27">
        <f t="shared" si="36"/>
        <v>269592.12</v>
      </c>
      <c r="V30" s="29">
        <f t="shared" si="37"/>
        <v>3235105.44</v>
      </c>
      <c r="X30" s="25">
        <f t="shared" si="13"/>
        <v>233344.44</v>
      </c>
      <c r="Y30" s="27">
        <f t="shared" si="14"/>
        <v>44335.443599999999</v>
      </c>
      <c r="Z30" s="27">
        <f t="shared" si="38"/>
        <v>277679.8836</v>
      </c>
      <c r="AA30" s="29">
        <f t="shared" si="39"/>
        <v>2499118.9523999998</v>
      </c>
      <c r="AC30" s="29">
        <f t="shared" si="3"/>
        <v>6508914.3924000002</v>
      </c>
    </row>
    <row r="31" spans="1:29" s="6" customFormat="1" ht="36" customHeight="1" x14ac:dyDescent="0.3">
      <c r="A31" s="75" t="s">
        <v>85</v>
      </c>
      <c r="B31" s="76" t="s">
        <v>86</v>
      </c>
      <c r="C31" s="2" t="s">
        <v>144</v>
      </c>
      <c r="D31" s="79">
        <v>4</v>
      </c>
      <c r="E31" s="64">
        <v>0</v>
      </c>
      <c r="F31" s="64">
        <v>4</v>
      </c>
      <c r="G31" s="64">
        <f>(3+(4/4))</f>
        <v>4</v>
      </c>
      <c r="H31" s="1">
        <f t="shared" si="33"/>
        <v>8</v>
      </c>
      <c r="I31" s="80"/>
      <c r="J31" s="92">
        <v>234000</v>
      </c>
      <c r="K31" s="63"/>
      <c r="L31" s="97">
        <v>200000</v>
      </c>
      <c r="M31" s="63"/>
      <c r="N31" s="25">
        <f t="shared" si="18"/>
        <v>217000</v>
      </c>
      <c r="O31" s="27">
        <f t="shared" si="6"/>
        <v>41230</v>
      </c>
      <c r="P31" s="27">
        <f t="shared" si="34"/>
        <v>258230</v>
      </c>
      <c r="Q31" s="29">
        <f t="shared" si="35"/>
        <v>0</v>
      </c>
      <c r="S31" s="25">
        <f t="shared" si="9"/>
        <v>226548</v>
      </c>
      <c r="T31" s="27">
        <f t="shared" si="10"/>
        <v>43044.12</v>
      </c>
      <c r="U31" s="27">
        <f t="shared" si="36"/>
        <v>269592.12</v>
      </c>
      <c r="V31" s="29">
        <f t="shared" si="37"/>
        <v>4313473.92</v>
      </c>
      <c r="X31" s="25">
        <f t="shared" si="13"/>
        <v>233344.44</v>
      </c>
      <c r="Y31" s="27">
        <f t="shared" si="14"/>
        <v>44335.443599999999</v>
      </c>
      <c r="Z31" s="27">
        <f t="shared" si="38"/>
        <v>277679.8836</v>
      </c>
      <c r="AA31" s="29">
        <f t="shared" si="39"/>
        <v>4442878.1376</v>
      </c>
      <c r="AC31" s="29">
        <f t="shared" si="3"/>
        <v>8756352.057599999</v>
      </c>
    </row>
    <row r="32" spans="1:29" s="6" customFormat="1" ht="32.25" customHeight="1" x14ac:dyDescent="0.3">
      <c r="A32" s="75" t="s">
        <v>87</v>
      </c>
      <c r="B32" s="76" t="s">
        <v>88</v>
      </c>
      <c r="C32" s="2" t="s">
        <v>144</v>
      </c>
      <c r="D32" s="79">
        <v>4</v>
      </c>
      <c r="E32" s="64">
        <f>1/4</f>
        <v>0.25</v>
      </c>
      <c r="F32" s="64">
        <v>4</v>
      </c>
      <c r="G32" s="64">
        <f>3+(3/4)</f>
        <v>3.75</v>
      </c>
      <c r="H32" s="1">
        <f t="shared" si="33"/>
        <v>8</v>
      </c>
      <c r="I32" s="80"/>
      <c r="J32" s="92">
        <v>234000</v>
      </c>
      <c r="K32" s="63"/>
      <c r="L32" s="97">
        <v>200000</v>
      </c>
      <c r="M32" s="63"/>
      <c r="N32" s="25">
        <f t="shared" si="18"/>
        <v>217000</v>
      </c>
      <c r="O32" s="27">
        <f t="shared" si="6"/>
        <v>41230</v>
      </c>
      <c r="P32" s="27">
        <f t="shared" si="34"/>
        <v>258230</v>
      </c>
      <c r="Q32" s="29">
        <f t="shared" si="35"/>
        <v>258230</v>
      </c>
      <c r="S32" s="25">
        <f t="shared" si="9"/>
        <v>226548</v>
      </c>
      <c r="T32" s="27">
        <f t="shared" si="10"/>
        <v>43044.12</v>
      </c>
      <c r="U32" s="27">
        <f t="shared" si="36"/>
        <v>269592.12</v>
      </c>
      <c r="V32" s="29">
        <f t="shared" si="37"/>
        <v>4313473.92</v>
      </c>
      <c r="X32" s="25">
        <f t="shared" si="13"/>
        <v>233344.44</v>
      </c>
      <c r="Y32" s="27">
        <f t="shared" si="14"/>
        <v>44335.443599999999</v>
      </c>
      <c r="Z32" s="27">
        <f t="shared" si="38"/>
        <v>277679.8836</v>
      </c>
      <c r="AA32" s="29">
        <f t="shared" si="39"/>
        <v>4165198.2540000002</v>
      </c>
      <c r="AC32" s="29">
        <f t="shared" si="3"/>
        <v>8736902.1740000006</v>
      </c>
    </row>
    <row r="33" spans="1:29" s="6" customFormat="1" ht="35.25" customHeight="1" x14ac:dyDescent="0.3">
      <c r="A33" s="77" t="s">
        <v>89</v>
      </c>
      <c r="B33" s="74" t="s">
        <v>90</v>
      </c>
      <c r="C33" s="74"/>
      <c r="D33" s="74"/>
      <c r="E33" s="74"/>
      <c r="F33" s="74"/>
      <c r="G33" s="74"/>
      <c r="H33" s="74"/>
      <c r="I33" s="80"/>
      <c r="J33" s="93"/>
      <c r="K33" s="63"/>
      <c r="L33" s="93"/>
      <c r="M33" s="63"/>
      <c r="N33" s="74"/>
      <c r="O33" s="74"/>
      <c r="P33" s="74"/>
      <c r="Q33" s="74"/>
      <c r="S33" s="100"/>
      <c r="T33" s="100"/>
      <c r="U33" s="100"/>
      <c r="V33" s="100"/>
      <c r="X33" s="100"/>
      <c r="Y33" s="100"/>
      <c r="Z33" s="100"/>
      <c r="AA33" s="100"/>
      <c r="AC33" s="100"/>
    </row>
    <row r="34" spans="1:29" s="6" customFormat="1" ht="30" customHeight="1" x14ac:dyDescent="0.3">
      <c r="A34" s="75" t="s">
        <v>91</v>
      </c>
      <c r="B34" s="76" t="s">
        <v>92</v>
      </c>
      <c r="C34" s="2" t="s">
        <v>144</v>
      </c>
      <c r="D34" s="79">
        <v>137</v>
      </c>
      <c r="E34" s="127">
        <f>29/137</f>
        <v>0.21167883211678831</v>
      </c>
      <c r="F34" s="64">
        <v>4</v>
      </c>
      <c r="G34" s="127">
        <f>3+(108/137)</f>
        <v>3.7883211678832116</v>
      </c>
      <c r="H34" s="1">
        <f t="shared" ref="H34:H37" si="40">E34+F34+G34</f>
        <v>8</v>
      </c>
      <c r="I34" s="80"/>
      <c r="J34" s="92">
        <v>108910.43458</v>
      </c>
      <c r="K34" s="63"/>
      <c r="L34" s="97">
        <v>135000</v>
      </c>
      <c r="M34" s="63"/>
      <c r="N34" s="25">
        <f t="shared" si="18"/>
        <v>121955.21729</v>
      </c>
      <c r="O34" s="27">
        <f t="shared" si="6"/>
        <v>23171.491285100001</v>
      </c>
      <c r="P34" s="27">
        <f t="shared" ref="P34:P37" si="41">+O34+N34</f>
        <v>145126.7085751</v>
      </c>
      <c r="Q34" s="29">
        <f t="shared" ref="Q34:Q37" si="42">+P34*E34*D34</f>
        <v>4208674.5486778999</v>
      </c>
      <c r="S34" s="25">
        <f t="shared" si="9"/>
        <v>127321.24685076</v>
      </c>
      <c r="T34" s="27">
        <f t="shared" si="10"/>
        <v>24191.036901644398</v>
      </c>
      <c r="U34" s="27">
        <f t="shared" ref="U34:U37" si="43">+T34+S34</f>
        <v>151512.28375240439</v>
      </c>
      <c r="V34" s="29">
        <f t="shared" ref="V34:V37" si="44">+U34*F34*D34</f>
        <v>83028731.49631761</v>
      </c>
      <c r="X34" s="25">
        <f t="shared" si="13"/>
        <v>131140.88425628279</v>
      </c>
      <c r="Y34" s="27">
        <f t="shared" si="14"/>
        <v>24916.768008693733</v>
      </c>
      <c r="Z34" s="27">
        <f t="shared" ref="Z34:Z37" si="45">+Y34+X34</f>
        <v>156057.65226497652</v>
      </c>
      <c r="AA34" s="29">
        <f t="shared" ref="AA34:AA37" si="46">+Z34*G34*D34</f>
        <v>80993921.525522813</v>
      </c>
      <c r="AC34" s="29">
        <f t="shared" si="3"/>
        <v>168231327.57051831</v>
      </c>
    </row>
    <row r="35" spans="1:29" s="6" customFormat="1" ht="36" customHeight="1" x14ac:dyDescent="0.3">
      <c r="A35" s="75" t="s">
        <v>93</v>
      </c>
      <c r="B35" s="76" t="s">
        <v>94</v>
      </c>
      <c r="C35" s="2" t="s">
        <v>144</v>
      </c>
      <c r="D35" s="79">
        <v>29</v>
      </c>
      <c r="E35" s="127">
        <f>15/D35</f>
        <v>0.51724137931034486</v>
      </c>
      <c r="F35" s="64">
        <v>4</v>
      </c>
      <c r="G35" s="127">
        <f>3+(14/29)</f>
        <v>3.4827586206896552</v>
      </c>
      <c r="H35" s="1">
        <f t="shared" si="40"/>
        <v>8</v>
      </c>
      <c r="I35" s="80"/>
      <c r="J35" s="92">
        <v>108910.445498</v>
      </c>
      <c r="K35" s="63"/>
      <c r="L35" s="97">
        <v>135000</v>
      </c>
      <c r="M35" s="63"/>
      <c r="N35" s="25">
        <f t="shared" si="18"/>
        <v>121955.22274900001</v>
      </c>
      <c r="O35" s="27">
        <f t="shared" si="6"/>
        <v>23171.492322310001</v>
      </c>
      <c r="P35" s="27">
        <f t="shared" si="41"/>
        <v>145126.71507131</v>
      </c>
      <c r="Q35" s="29">
        <f t="shared" si="42"/>
        <v>2176900.7260696501</v>
      </c>
      <c r="S35" s="25">
        <f t="shared" si="9"/>
        <v>127321.25254995601</v>
      </c>
      <c r="T35" s="27">
        <f t="shared" si="10"/>
        <v>24191.037984491642</v>
      </c>
      <c r="U35" s="27">
        <f t="shared" si="43"/>
        <v>151512.29053444765</v>
      </c>
      <c r="V35" s="29">
        <f t="shared" si="44"/>
        <v>17575425.701995928</v>
      </c>
      <c r="X35" s="25">
        <f t="shared" si="13"/>
        <v>131140.8901264547</v>
      </c>
      <c r="Y35" s="27">
        <f t="shared" si="14"/>
        <v>24916.769124026392</v>
      </c>
      <c r="Z35" s="27">
        <f t="shared" si="45"/>
        <v>156057.65925048108</v>
      </c>
      <c r="AA35" s="29">
        <f t="shared" si="46"/>
        <v>15761823.584298588</v>
      </c>
      <c r="AC35" s="29">
        <f t="shared" si="3"/>
        <v>35514150.012364164</v>
      </c>
    </row>
    <row r="36" spans="1:29" s="6" customFormat="1" ht="26.25" customHeight="1" x14ac:dyDescent="0.3">
      <c r="A36" s="75" t="s">
        <v>95</v>
      </c>
      <c r="B36" s="76" t="s">
        <v>96</v>
      </c>
      <c r="C36" s="2" t="s">
        <v>144</v>
      </c>
      <c r="D36" s="79">
        <v>10</v>
      </c>
      <c r="E36" s="64">
        <f>10/10</f>
        <v>1</v>
      </c>
      <c r="F36" s="64">
        <v>4</v>
      </c>
      <c r="G36" s="64">
        <v>3</v>
      </c>
      <c r="H36" s="1">
        <f t="shared" si="40"/>
        <v>8</v>
      </c>
      <c r="I36" s="80"/>
      <c r="J36" s="92">
        <v>108910.456416</v>
      </c>
      <c r="K36" s="63"/>
      <c r="L36" s="97">
        <v>135000</v>
      </c>
      <c r="M36" s="63"/>
      <c r="N36" s="25">
        <f t="shared" si="18"/>
        <v>121955.228208</v>
      </c>
      <c r="O36" s="27">
        <f t="shared" si="6"/>
        <v>23171.493359520002</v>
      </c>
      <c r="P36" s="27">
        <f t="shared" si="41"/>
        <v>145126.72156752</v>
      </c>
      <c r="Q36" s="29">
        <f t="shared" si="42"/>
        <v>1451267.2156751999</v>
      </c>
      <c r="S36" s="25">
        <f t="shared" si="9"/>
        <v>127321.258249152</v>
      </c>
      <c r="T36" s="27">
        <f t="shared" si="10"/>
        <v>24191.039067338879</v>
      </c>
      <c r="U36" s="27">
        <f t="shared" si="43"/>
        <v>151512.29731649088</v>
      </c>
      <c r="V36" s="29">
        <f t="shared" si="44"/>
        <v>6060491.8926596353</v>
      </c>
      <c r="X36" s="25">
        <f t="shared" si="13"/>
        <v>131140.89599662655</v>
      </c>
      <c r="Y36" s="27">
        <f t="shared" si="14"/>
        <v>24916.770239359044</v>
      </c>
      <c r="Z36" s="27">
        <f t="shared" si="45"/>
        <v>156057.66623598558</v>
      </c>
      <c r="AA36" s="29">
        <f t="shared" si="46"/>
        <v>4681729.9870795673</v>
      </c>
      <c r="AC36" s="29">
        <f t="shared" si="3"/>
        <v>12193489.095414402</v>
      </c>
    </row>
    <row r="37" spans="1:29" s="6" customFormat="1" ht="34.5" customHeight="1" x14ac:dyDescent="0.3">
      <c r="A37" s="75" t="s">
        <v>97</v>
      </c>
      <c r="B37" s="76" t="s">
        <v>98</v>
      </c>
      <c r="C37" s="2" t="s">
        <v>144</v>
      </c>
      <c r="D37" s="79">
        <v>9</v>
      </c>
      <c r="E37" s="127">
        <f>(1/9)</f>
        <v>0.1111111111111111</v>
      </c>
      <c r="F37" s="64">
        <v>4</v>
      </c>
      <c r="G37" s="127">
        <f>3+(8/9)</f>
        <v>3.8888888888888888</v>
      </c>
      <c r="H37" s="1">
        <f t="shared" si="40"/>
        <v>8</v>
      </c>
      <c r="I37" s="80"/>
      <c r="J37" s="92">
        <v>108910.478252</v>
      </c>
      <c r="K37" s="63"/>
      <c r="L37" s="97">
        <v>135000</v>
      </c>
      <c r="M37" s="63"/>
      <c r="N37" s="25">
        <f t="shared" si="18"/>
        <v>121955.239126</v>
      </c>
      <c r="O37" s="27">
        <f t="shared" si="6"/>
        <v>23171.495433939999</v>
      </c>
      <c r="P37" s="27">
        <f t="shared" si="41"/>
        <v>145126.73455994</v>
      </c>
      <c r="Q37" s="29">
        <f t="shared" si="42"/>
        <v>145126.73455994</v>
      </c>
      <c r="S37" s="25">
        <f t="shared" si="9"/>
        <v>127321.269647544</v>
      </c>
      <c r="T37" s="27">
        <f t="shared" si="10"/>
        <v>24191.04123303336</v>
      </c>
      <c r="U37" s="27">
        <f t="shared" si="43"/>
        <v>151512.31088057737</v>
      </c>
      <c r="V37" s="29">
        <f t="shared" si="44"/>
        <v>5454443.1917007854</v>
      </c>
      <c r="X37" s="25">
        <f t="shared" si="13"/>
        <v>131140.90773697032</v>
      </c>
      <c r="Y37" s="27">
        <f t="shared" si="14"/>
        <v>24916.77247002436</v>
      </c>
      <c r="Z37" s="27">
        <f t="shared" si="45"/>
        <v>156057.68020699467</v>
      </c>
      <c r="AA37" s="29">
        <f t="shared" si="46"/>
        <v>5462018.8072448131</v>
      </c>
      <c r="AC37" s="29">
        <f t="shared" si="3"/>
        <v>11061588.733505538</v>
      </c>
    </row>
    <row r="38" spans="1:29" s="6" customFormat="1" ht="36" customHeight="1" x14ac:dyDescent="0.3">
      <c r="A38" s="77" t="s">
        <v>99</v>
      </c>
      <c r="B38" s="74" t="s">
        <v>100</v>
      </c>
      <c r="C38" s="74"/>
      <c r="D38" s="74"/>
      <c r="E38" s="74"/>
      <c r="F38" s="74"/>
      <c r="G38" s="74"/>
      <c r="H38" s="74"/>
      <c r="I38" s="80"/>
      <c r="J38" s="93"/>
      <c r="K38" s="63"/>
      <c r="L38" s="93"/>
      <c r="M38" s="63"/>
      <c r="N38" s="74"/>
      <c r="O38" s="74"/>
      <c r="P38" s="74"/>
      <c r="Q38" s="74"/>
      <c r="S38" s="100"/>
      <c r="T38" s="100"/>
      <c r="U38" s="100"/>
      <c r="V38" s="100"/>
      <c r="X38" s="100"/>
      <c r="Y38" s="100"/>
      <c r="Z38" s="100"/>
      <c r="AA38" s="100"/>
      <c r="AC38" s="100"/>
    </row>
    <row r="39" spans="1:29" s="6" customFormat="1" ht="45.75" customHeight="1" x14ac:dyDescent="0.3">
      <c r="A39" s="75" t="s">
        <v>101</v>
      </c>
      <c r="B39" s="78" t="s">
        <v>102</v>
      </c>
      <c r="C39" s="2" t="s">
        <v>144</v>
      </c>
      <c r="D39" s="79">
        <v>7</v>
      </c>
      <c r="E39" s="64">
        <v>0</v>
      </c>
      <c r="F39" s="64">
        <v>4</v>
      </c>
      <c r="G39" s="64">
        <f>3+(7/7)</f>
        <v>4</v>
      </c>
      <c r="H39" s="1">
        <f t="shared" ref="H39:H45" si="47">E39+F39+G39</f>
        <v>8</v>
      </c>
      <c r="I39" s="80"/>
      <c r="J39" s="92">
        <v>150156.64058599999</v>
      </c>
      <c r="K39" s="63"/>
      <c r="L39" s="97">
        <v>165000</v>
      </c>
      <c r="M39" s="63"/>
      <c r="N39" s="25">
        <f t="shared" si="18"/>
        <v>157578.320293</v>
      </c>
      <c r="O39" s="27">
        <f t="shared" si="6"/>
        <v>29939.880855669999</v>
      </c>
      <c r="P39" s="27">
        <f t="shared" ref="P39:P45" si="48">+O39+N39</f>
        <v>187518.20114866999</v>
      </c>
      <c r="Q39" s="29">
        <f t="shared" ref="Q39:Q45" si="49">+P39*E39*D39</f>
        <v>0</v>
      </c>
      <c r="S39" s="25">
        <f t="shared" si="9"/>
        <v>164511.766385892</v>
      </c>
      <c r="T39" s="27">
        <f t="shared" si="10"/>
        <v>31257.235613319481</v>
      </c>
      <c r="U39" s="27">
        <f t="shared" ref="U39:U45" si="50">+T39+S39</f>
        <v>195769.00199921147</v>
      </c>
      <c r="V39" s="29">
        <f t="shared" ref="V39:V45" si="51">+U39*F39*D39</f>
        <v>5481532.055977921</v>
      </c>
      <c r="X39" s="25">
        <f t="shared" si="13"/>
        <v>169447.11937746877</v>
      </c>
      <c r="Y39" s="27">
        <f t="shared" si="14"/>
        <v>32194.952681719067</v>
      </c>
      <c r="Z39" s="27">
        <f t="shared" ref="Z39:Z45" si="52">+Y39+X39</f>
        <v>201642.07205918783</v>
      </c>
      <c r="AA39" s="29">
        <f t="shared" ref="AA39:AA45" si="53">+Z39*G39*D39</f>
        <v>5645978.0176572595</v>
      </c>
      <c r="AC39" s="29">
        <f t="shared" si="3"/>
        <v>11127510.07363518</v>
      </c>
    </row>
    <row r="40" spans="1:29" s="6" customFormat="1" ht="36.75" customHeight="1" x14ac:dyDescent="0.3">
      <c r="A40" s="75" t="s">
        <v>103</v>
      </c>
      <c r="B40" s="78" t="s">
        <v>104</v>
      </c>
      <c r="C40" s="2" t="s">
        <v>144</v>
      </c>
      <c r="D40" s="79">
        <v>4</v>
      </c>
      <c r="E40" s="64">
        <v>0</v>
      </c>
      <c r="F40" s="64">
        <v>4</v>
      </c>
      <c r="G40" s="64">
        <f>3+(4/4)</f>
        <v>4</v>
      </c>
      <c r="H40" s="1">
        <f t="shared" si="47"/>
        <v>8</v>
      </c>
      <c r="I40" s="80"/>
      <c r="J40" s="92">
        <v>106782.745658</v>
      </c>
      <c r="K40" s="63"/>
      <c r="L40" s="97">
        <v>165000</v>
      </c>
      <c r="M40" s="63"/>
      <c r="N40" s="25">
        <f t="shared" si="18"/>
        <v>135891.372829</v>
      </c>
      <c r="O40" s="27">
        <f t="shared" si="6"/>
        <v>25819.360837510001</v>
      </c>
      <c r="P40" s="27">
        <f t="shared" si="48"/>
        <v>161710.73366651</v>
      </c>
      <c r="Q40" s="29">
        <f t="shared" si="49"/>
        <v>0</v>
      </c>
      <c r="S40" s="25">
        <f t="shared" si="9"/>
        <v>141870.59323347601</v>
      </c>
      <c r="T40" s="27">
        <f t="shared" si="10"/>
        <v>26955.412714360442</v>
      </c>
      <c r="U40" s="27">
        <f t="shared" si="50"/>
        <v>168826.00594783644</v>
      </c>
      <c r="V40" s="29">
        <f t="shared" si="51"/>
        <v>2701216.0951653831</v>
      </c>
      <c r="X40" s="25">
        <f t="shared" si="13"/>
        <v>146126.71103048031</v>
      </c>
      <c r="Y40" s="27">
        <f t="shared" si="14"/>
        <v>27764.075095791257</v>
      </c>
      <c r="Z40" s="27">
        <f t="shared" si="52"/>
        <v>173890.78612627156</v>
      </c>
      <c r="AA40" s="29">
        <f t="shared" si="53"/>
        <v>2782252.578020345</v>
      </c>
      <c r="AC40" s="29">
        <f t="shared" si="3"/>
        <v>5483468.6731857285</v>
      </c>
    </row>
    <row r="41" spans="1:29" s="6" customFormat="1" ht="32.25" customHeight="1" x14ac:dyDescent="0.3">
      <c r="A41" s="75" t="s">
        <v>105</v>
      </c>
      <c r="B41" s="78" t="s">
        <v>106</v>
      </c>
      <c r="C41" s="2" t="s">
        <v>144</v>
      </c>
      <c r="D41" s="79">
        <v>4</v>
      </c>
      <c r="E41" s="64">
        <v>0</v>
      </c>
      <c r="F41" s="64">
        <v>4</v>
      </c>
      <c r="G41" s="64">
        <f>3+(4/4)</f>
        <v>4</v>
      </c>
      <c r="H41" s="1">
        <f t="shared" si="47"/>
        <v>8</v>
      </c>
      <c r="I41" s="80"/>
      <c r="J41" s="92">
        <v>99100.840857999996</v>
      </c>
      <c r="K41" s="63"/>
      <c r="L41" s="97">
        <v>165000</v>
      </c>
      <c r="M41" s="63"/>
      <c r="N41" s="25">
        <f t="shared" si="18"/>
        <v>132050.42042899999</v>
      </c>
      <c r="O41" s="27">
        <f t="shared" si="6"/>
        <v>25089.579881509999</v>
      </c>
      <c r="P41" s="27">
        <f t="shared" si="48"/>
        <v>157140.00031050999</v>
      </c>
      <c r="Q41" s="29">
        <f t="shared" si="49"/>
        <v>0</v>
      </c>
      <c r="S41" s="25">
        <f t="shared" si="9"/>
        <v>137860.63892787599</v>
      </c>
      <c r="T41" s="27">
        <f t="shared" si="10"/>
        <v>26193.521396296437</v>
      </c>
      <c r="U41" s="27">
        <f t="shared" si="50"/>
        <v>164054.16032417244</v>
      </c>
      <c r="V41" s="29">
        <f t="shared" si="51"/>
        <v>2624866.565186759</v>
      </c>
      <c r="X41" s="25">
        <f t="shared" si="13"/>
        <v>141996.45809571227</v>
      </c>
      <c r="Y41" s="27">
        <f t="shared" si="14"/>
        <v>26979.327038185333</v>
      </c>
      <c r="Z41" s="27">
        <f t="shared" si="52"/>
        <v>168975.78513389759</v>
      </c>
      <c r="AA41" s="29">
        <f t="shared" si="53"/>
        <v>2703612.5621423614</v>
      </c>
      <c r="AC41" s="29">
        <f t="shared" si="3"/>
        <v>5328479.1273291204</v>
      </c>
    </row>
    <row r="42" spans="1:29" s="6" customFormat="1" ht="34.5" customHeight="1" x14ac:dyDescent="0.3">
      <c r="A42" s="75" t="s">
        <v>107</v>
      </c>
      <c r="B42" s="78" t="s">
        <v>108</v>
      </c>
      <c r="C42" s="2" t="s">
        <v>144</v>
      </c>
      <c r="D42" s="79">
        <v>9</v>
      </c>
      <c r="E42" s="64">
        <v>0</v>
      </c>
      <c r="F42" s="64">
        <v>4</v>
      </c>
      <c r="G42" s="64">
        <f>3+(9/9)</f>
        <v>4</v>
      </c>
      <c r="H42" s="1">
        <f t="shared" si="47"/>
        <v>8</v>
      </c>
      <c r="I42" s="80"/>
      <c r="J42" s="92">
        <v>151369.805074</v>
      </c>
      <c r="K42" s="63"/>
      <c r="L42" s="97">
        <v>165000</v>
      </c>
      <c r="M42" s="63"/>
      <c r="N42" s="25">
        <f t="shared" si="18"/>
        <v>158184.90253700002</v>
      </c>
      <c r="O42" s="27">
        <f t="shared" si="6"/>
        <v>30055.131482030003</v>
      </c>
      <c r="P42" s="27">
        <f t="shared" si="48"/>
        <v>188240.03401903002</v>
      </c>
      <c r="Q42" s="29">
        <f t="shared" si="49"/>
        <v>0</v>
      </c>
      <c r="S42" s="25">
        <f t="shared" si="9"/>
        <v>165145.03824862803</v>
      </c>
      <c r="T42" s="27">
        <f t="shared" si="10"/>
        <v>31377.557267239325</v>
      </c>
      <c r="U42" s="27">
        <f t="shared" si="50"/>
        <v>196522.59551586735</v>
      </c>
      <c r="V42" s="29">
        <f t="shared" si="51"/>
        <v>7074813.438571224</v>
      </c>
      <c r="X42" s="25">
        <f t="shared" si="13"/>
        <v>170099.38939608686</v>
      </c>
      <c r="Y42" s="27">
        <f t="shared" si="14"/>
        <v>32318.883985256503</v>
      </c>
      <c r="Z42" s="27">
        <f t="shared" si="52"/>
        <v>202418.27338134337</v>
      </c>
      <c r="AA42" s="29">
        <f t="shared" si="53"/>
        <v>7287057.8417283613</v>
      </c>
      <c r="AC42" s="29">
        <f t="shared" si="3"/>
        <v>14361871.280299585</v>
      </c>
    </row>
    <row r="43" spans="1:29" s="6" customFormat="1" ht="39.75" customHeight="1" x14ac:dyDescent="0.3">
      <c r="A43" s="75" t="s">
        <v>109</v>
      </c>
      <c r="B43" s="78" t="s">
        <v>110</v>
      </c>
      <c r="C43" s="2" t="s">
        <v>144</v>
      </c>
      <c r="D43" s="79">
        <v>3</v>
      </c>
      <c r="E43" s="64">
        <v>0</v>
      </c>
      <c r="F43" s="64">
        <v>4</v>
      </c>
      <c r="G43" s="64">
        <f>3+(3/3)</f>
        <v>4</v>
      </c>
      <c r="H43" s="1">
        <f t="shared" si="47"/>
        <v>8</v>
      </c>
      <c r="I43" s="80"/>
      <c r="J43" s="92">
        <v>150156.78252000001</v>
      </c>
      <c r="K43" s="63"/>
      <c r="L43" s="97">
        <v>165000</v>
      </c>
      <c r="M43" s="63"/>
      <c r="N43" s="25">
        <f t="shared" si="18"/>
        <v>157578.39126</v>
      </c>
      <c r="O43" s="27">
        <f t="shared" si="6"/>
        <v>29939.894339400002</v>
      </c>
      <c r="P43" s="27">
        <f t="shared" si="48"/>
        <v>187518.2855994</v>
      </c>
      <c r="Q43" s="29">
        <f t="shared" si="49"/>
        <v>0</v>
      </c>
      <c r="S43" s="25">
        <f t="shared" si="9"/>
        <v>164511.84047544</v>
      </c>
      <c r="T43" s="27">
        <f t="shared" si="10"/>
        <v>31257.2496903336</v>
      </c>
      <c r="U43" s="27">
        <f t="shared" si="50"/>
        <v>195769.09016577358</v>
      </c>
      <c r="V43" s="29">
        <f t="shared" si="51"/>
        <v>2349229.0819892827</v>
      </c>
      <c r="X43" s="25">
        <f t="shared" si="13"/>
        <v>169447.19568970319</v>
      </c>
      <c r="Y43" s="27">
        <f t="shared" si="14"/>
        <v>32194.967181043608</v>
      </c>
      <c r="Z43" s="27">
        <f t="shared" si="52"/>
        <v>201642.1628707468</v>
      </c>
      <c r="AA43" s="29">
        <f t="shared" si="53"/>
        <v>2419705.9544489617</v>
      </c>
      <c r="AC43" s="29">
        <f t="shared" si="3"/>
        <v>4768935.0364382444</v>
      </c>
    </row>
    <row r="44" spans="1:29" s="6" customFormat="1" ht="34.5" customHeight="1" x14ac:dyDescent="0.3">
      <c r="A44" s="75" t="s">
        <v>111</v>
      </c>
      <c r="B44" s="78" t="s">
        <v>112</v>
      </c>
      <c r="C44" s="2" t="s">
        <v>144</v>
      </c>
      <c r="D44" s="79">
        <v>6</v>
      </c>
      <c r="E44" s="64">
        <v>0</v>
      </c>
      <c r="F44" s="64">
        <v>4</v>
      </c>
      <c r="G44" s="64">
        <f>3+(6/6)</f>
        <v>4</v>
      </c>
      <c r="H44" s="1">
        <f t="shared" si="47"/>
        <v>8</v>
      </c>
      <c r="I44" s="80"/>
      <c r="J44" s="92">
        <v>111759.770548</v>
      </c>
      <c r="K44" s="63"/>
      <c r="L44" s="97">
        <v>165000</v>
      </c>
      <c r="M44" s="63"/>
      <c r="N44" s="25">
        <f t="shared" si="18"/>
        <v>138379.885274</v>
      </c>
      <c r="O44" s="27">
        <f t="shared" si="6"/>
        <v>26292.17820206</v>
      </c>
      <c r="P44" s="27">
        <f t="shared" si="48"/>
        <v>164672.06347605999</v>
      </c>
      <c r="Q44" s="29">
        <f t="shared" si="49"/>
        <v>0</v>
      </c>
      <c r="S44" s="25">
        <f t="shared" si="9"/>
        <v>144468.60022605601</v>
      </c>
      <c r="T44" s="27">
        <f t="shared" si="10"/>
        <v>27449.03404295064</v>
      </c>
      <c r="U44" s="27">
        <f t="shared" si="50"/>
        <v>171917.63426900664</v>
      </c>
      <c r="V44" s="29">
        <f t="shared" si="51"/>
        <v>4126023.2224561591</v>
      </c>
      <c r="X44" s="25">
        <f t="shared" si="13"/>
        <v>148802.65823283768</v>
      </c>
      <c r="Y44" s="27">
        <f t="shared" si="14"/>
        <v>28272.505064239162</v>
      </c>
      <c r="Z44" s="27">
        <f t="shared" si="52"/>
        <v>177075.16329707686</v>
      </c>
      <c r="AA44" s="29">
        <f t="shared" si="53"/>
        <v>4249803.9191298448</v>
      </c>
      <c r="AC44" s="29">
        <f t="shared" si="3"/>
        <v>8375827.1415860038</v>
      </c>
    </row>
    <row r="45" spans="1:29" s="6" customFormat="1" ht="42.75" customHeight="1" x14ac:dyDescent="0.3">
      <c r="A45" s="75" t="s">
        <v>113</v>
      </c>
      <c r="B45" s="78" t="s">
        <v>114</v>
      </c>
      <c r="C45" s="2" t="s">
        <v>144</v>
      </c>
      <c r="D45" s="79">
        <v>5</v>
      </c>
      <c r="E45" s="64">
        <v>0</v>
      </c>
      <c r="F45" s="64">
        <v>4</v>
      </c>
      <c r="G45" s="64">
        <f>3+(5/5)</f>
        <v>4</v>
      </c>
      <c r="H45" s="1">
        <f t="shared" si="47"/>
        <v>8</v>
      </c>
      <c r="I45" s="80"/>
      <c r="J45" s="92">
        <v>137078.33959799999</v>
      </c>
      <c r="K45" s="63"/>
      <c r="L45" s="97">
        <v>165000</v>
      </c>
      <c r="M45" s="63"/>
      <c r="N45" s="25">
        <f t="shared" si="18"/>
        <v>151039.169799</v>
      </c>
      <c r="O45" s="27">
        <f t="shared" si="6"/>
        <v>28697.44226181</v>
      </c>
      <c r="P45" s="27">
        <f t="shared" si="48"/>
        <v>179736.61206081</v>
      </c>
      <c r="Q45" s="29">
        <f t="shared" si="49"/>
        <v>0</v>
      </c>
      <c r="S45" s="25">
        <f t="shared" si="9"/>
        <v>157684.893270156</v>
      </c>
      <c r="T45" s="27">
        <f t="shared" si="10"/>
        <v>29960.129721329638</v>
      </c>
      <c r="U45" s="27">
        <f t="shared" si="50"/>
        <v>187645.02299148563</v>
      </c>
      <c r="V45" s="29">
        <f t="shared" si="51"/>
        <v>3752900.4598297128</v>
      </c>
      <c r="X45" s="25">
        <f t="shared" si="13"/>
        <v>162415.44006826068</v>
      </c>
      <c r="Y45" s="27">
        <f t="shared" si="14"/>
        <v>30858.933612969529</v>
      </c>
      <c r="Z45" s="27">
        <f t="shared" si="52"/>
        <v>193274.37368123021</v>
      </c>
      <c r="AA45" s="29">
        <f t="shared" si="53"/>
        <v>3865487.4736246043</v>
      </c>
      <c r="AC45" s="29">
        <f t="shared" si="3"/>
        <v>7618387.933454317</v>
      </c>
    </row>
    <row r="46" spans="1:29" s="6" customFormat="1" ht="42.75" customHeight="1" x14ac:dyDescent="0.3">
      <c r="A46" s="77" t="s">
        <v>115</v>
      </c>
      <c r="B46" s="74" t="s">
        <v>116</v>
      </c>
      <c r="C46" s="74"/>
      <c r="D46" s="74"/>
      <c r="E46" s="74"/>
      <c r="F46" s="74"/>
      <c r="G46" s="74"/>
      <c r="H46" s="74"/>
      <c r="I46" s="80"/>
      <c r="J46" s="93"/>
      <c r="K46" s="63"/>
      <c r="L46" s="93"/>
      <c r="M46" s="63"/>
      <c r="N46" s="74"/>
      <c r="O46" s="74"/>
      <c r="P46" s="74"/>
      <c r="Q46" s="74"/>
      <c r="S46" s="100"/>
      <c r="T46" s="100"/>
      <c r="U46" s="100"/>
      <c r="V46" s="100"/>
      <c r="X46" s="100"/>
      <c r="Y46" s="100"/>
      <c r="Z46" s="100"/>
      <c r="AA46" s="100"/>
      <c r="AC46" s="100"/>
    </row>
    <row r="47" spans="1:29" s="6" customFormat="1" ht="43.5" customHeight="1" x14ac:dyDescent="0.3">
      <c r="A47" s="75" t="s">
        <v>117</v>
      </c>
      <c r="B47" s="76" t="s">
        <v>118</v>
      </c>
      <c r="C47" s="2" t="s">
        <v>179</v>
      </c>
      <c r="D47" s="79">
        <v>1</v>
      </c>
      <c r="E47" s="64">
        <v>0</v>
      </c>
      <c r="F47" s="64">
        <v>4</v>
      </c>
      <c r="G47" s="64">
        <v>4</v>
      </c>
      <c r="H47" s="1">
        <f t="shared" ref="H47:H48" si="54">E47+F47+G47</f>
        <v>8</v>
      </c>
      <c r="I47" s="80"/>
      <c r="J47" s="94">
        <v>505096.34420599998</v>
      </c>
      <c r="K47" s="63"/>
      <c r="L47" s="98">
        <v>580000</v>
      </c>
      <c r="M47" s="63"/>
      <c r="N47" s="25">
        <f t="shared" si="18"/>
        <v>542548.17210299999</v>
      </c>
      <c r="O47" s="27">
        <f t="shared" si="6"/>
        <v>103084.15269957</v>
      </c>
      <c r="P47" s="27">
        <f t="shared" ref="P47:P48" si="55">+O47+N47</f>
        <v>645632.32480257004</v>
      </c>
      <c r="Q47" s="29">
        <f t="shared" ref="Q47:Q48" si="56">+P47*E47*D47</f>
        <v>0</v>
      </c>
      <c r="S47" s="25">
        <f t="shared" si="9"/>
        <v>566420.291675532</v>
      </c>
      <c r="T47" s="27">
        <f t="shared" si="10"/>
        <v>107619.85541835109</v>
      </c>
      <c r="U47" s="27">
        <f t="shared" ref="U47:U48" si="57">+T47+S47</f>
        <v>674040.14709388313</v>
      </c>
      <c r="V47" s="29">
        <f t="shared" ref="V47:V48" si="58">+U47*F47*D47</f>
        <v>2696160.5883755325</v>
      </c>
      <c r="X47" s="25">
        <f t="shared" si="13"/>
        <v>583412.90042579791</v>
      </c>
      <c r="Y47" s="27">
        <f t="shared" si="14"/>
        <v>110848.45108090161</v>
      </c>
      <c r="Z47" s="27">
        <f t="shared" ref="Z47:Z48" si="59">+Y47+X47</f>
        <v>694261.35150669958</v>
      </c>
      <c r="AA47" s="29">
        <f t="shared" ref="AA47:AA48" si="60">+Z47*G47*D47</f>
        <v>2777045.4060267983</v>
      </c>
      <c r="AC47" s="29">
        <f t="shared" si="3"/>
        <v>5473205.9944023304</v>
      </c>
    </row>
    <row r="48" spans="1:29" s="6" customFormat="1" ht="39.75" customHeight="1" x14ac:dyDescent="0.3">
      <c r="A48" s="75" t="s">
        <v>119</v>
      </c>
      <c r="B48" s="76" t="s">
        <v>120</v>
      </c>
      <c r="C48" s="2" t="s">
        <v>179</v>
      </c>
      <c r="D48" s="79">
        <v>1</v>
      </c>
      <c r="E48" s="64">
        <v>0</v>
      </c>
      <c r="F48" s="64">
        <v>4</v>
      </c>
      <c r="G48" s="64">
        <v>4</v>
      </c>
      <c r="H48" s="1">
        <f t="shared" si="54"/>
        <v>8</v>
      </c>
      <c r="I48" s="80"/>
      <c r="J48" s="94">
        <v>766071.06692200003</v>
      </c>
      <c r="K48" s="63"/>
      <c r="L48" s="98">
        <v>900000</v>
      </c>
      <c r="M48" s="63"/>
      <c r="N48" s="25">
        <f t="shared" si="18"/>
        <v>833035.53346100007</v>
      </c>
      <c r="O48" s="27">
        <f t="shared" si="6"/>
        <v>158276.75135759002</v>
      </c>
      <c r="P48" s="27">
        <f t="shared" si="55"/>
        <v>991312.28481859015</v>
      </c>
      <c r="Q48" s="29">
        <f t="shared" si="56"/>
        <v>0</v>
      </c>
      <c r="S48" s="25">
        <f t="shared" si="9"/>
        <v>869689.09693328408</v>
      </c>
      <c r="T48" s="27">
        <f t="shared" si="10"/>
        <v>165240.92841732397</v>
      </c>
      <c r="U48" s="27">
        <f t="shared" si="57"/>
        <v>1034930.025350608</v>
      </c>
      <c r="V48" s="29">
        <f t="shared" si="58"/>
        <v>4139720.1014024322</v>
      </c>
      <c r="X48" s="25">
        <f t="shared" si="13"/>
        <v>895779.76984128263</v>
      </c>
      <c r="Y48" s="27">
        <f t="shared" si="14"/>
        <v>170198.15626984369</v>
      </c>
      <c r="Z48" s="27">
        <f t="shared" si="59"/>
        <v>1065977.9261111263</v>
      </c>
      <c r="AA48" s="29">
        <f t="shared" si="60"/>
        <v>4263911.7044445053</v>
      </c>
      <c r="AC48" s="29">
        <f t="shared" si="3"/>
        <v>8403631.805846937</v>
      </c>
    </row>
    <row r="49" spans="1:29" s="6" customFormat="1" ht="31.5" customHeight="1" x14ac:dyDescent="0.3">
      <c r="A49" s="73">
        <v>2</v>
      </c>
      <c r="B49" s="74" t="s">
        <v>121</v>
      </c>
      <c r="C49" s="74"/>
      <c r="D49" s="74"/>
      <c r="E49" s="74"/>
      <c r="F49" s="74"/>
      <c r="G49" s="74"/>
      <c r="H49" s="74"/>
      <c r="I49" s="80"/>
      <c r="J49" s="89"/>
      <c r="K49" s="63"/>
      <c r="L49" s="89"/>
      <c r="M49" s="63"/>
      <c r="N49" s="74"/>
      <c r="O49" s="74"/>
      <c r="P49" s="74"/>
      <c r="Q49" s="74"/>
      <c r="S49" s="100"/>
      <c r="T49" s="100"/>
      <c r="U49" s="100"/>
      <c r="V49" s="100"/>
      <c r="X49" s="100"/>
      <c r="Y49" s="100"/>
      <c r="Z49" s="100"/>
      <c r="AA49" s="100"/>
      <c r="AC49" s="100"/>
    </row>
    <row r="50" spans="1:29" s="6" customFormat="1" ht="30" customHeight="1" x14ac:dyDescent="0.3">
      <c r="A50" s="73" t="s">
        <v>122</v>
      </c>
      <c r="B50" s="74" t="s">
        <v>123</v>
      </c>
      <c r="C50" s="74"/>
      <c r="D50" s="74"/>
      <c r="E50" s="74"/>
      <c r="F50" s="74"/>
      <c r="G50" s="74"/>
      <c r="H50" s="74"/>
      <c r="I50" s="80"/>
      <c r="J50" s="95"/>
      <c r="K50" s="63"/>
      <c r="L50" s="95"/>
      <c r="M50" s="63"/>
      <c r="N50" s="74"/>
      <c r="O50" s="74"/>
      <c r="P50" s="74"/>
      <c r="Q50" s="74"/>
      <c r="S50" s="100"/>
      <c r="T50" s="100"/>
      <c r="U50" s="100"/>
      <c r="V50" s="100"/>
      <c r="X50" s="100"/>
      <c r="Y50" s="100"/>
      <c r="Z50" s="100"/>
      <c r="AA50" s="100"/>
      <c r="AC50" s="100"/>
    </row>
    <row r="51" spans="1:29" s="6" customFormat="1" ht="33.75" customHeight="1" x14ac:dyDescent="0.3">
      <c r="A51" s="75" t="s">
        <v>124</v>
      </c>
      <c r="B51" s="76" t="s">
        <v>125</v>
      </c>
      <c r="C51" s="2" t="s">
        <v>144</v>
      </c>
      <c r="D51" s="79">
        <v>1</v>
      </c>
      <c r="E51" s="64">
        <v>0</v>
      </c>
      <c r="F51" s="64">
        <v>4</v>
      </c>
      <c r="G51" s="64">
        <f>3+(1/1)</f>
        <v>4</v>
      </c>
      <c r="H51" s="1">
        <f t="shared" ref="H51:H52" si="61">E51+F51+G51</f>
        <v>8</v>
      </c>
      <c r="I51" s="80"/>
      <c r="J51" s="90">
        <v>325000</v>
      </c>
      <c r="K51" s="63"/>
      <c r="L51" s="96">
        <v>300000</v>
      </c>
      <c r="M51" s="63"/>
      <c r="N51" s="25">
        <f t="shared" si="18"/>
        <v>312500</v>
      </c>
      <c r="O51" s="27">
        <f t="shared" si="6"/>
        <v>59375</v>
      </c>
      <c r="P51" s="27">
        <f t="shared" ref="P51:P52" si="62">+O51+N51</f>
        <v>371875</v>
      </c>
      <c r="Q51" s="29">
        <f t="shared" ref="Q51:Q52" si="63">+P51*E51*D51</f>
        <v>0</v>
      </c>
      <c r="S51" s="25">
        <f t="shared" si="9"/>
        <v>326250</v>
      </c>
      <c r="T51" s="27">
        <f t="shared" si="10"/>
        <v>61987.5</v>
      </c>
      <c r="U51" s="27">
        <f t="shared" ref="U51:U52" si="64">+T51+S51</f>
        <v>388237.5</v>
      </c>
      <c r="V51" s="29">
        <f t="shared" ref="V51:V52" si="65">+U51*F51*D51</f>
        <v>1552950</v>
      </c>
      <c r="X51" s="25">
        <f t="shared" si="13"/>
        <v>336037.5</v>
      </c>
      <c r="Y51" s="27">
        <f t="shared" si="14"/>
        <v>63847.125</v>
      </c>
      <c r="Z51" s="27">
        <f t="shared" ref="Z51:Z52" si="66">+Y51+X51</f>
        <v>399884.625</v>
      </c>
      <c r="AA51" s="29">
        <f t="shared" ref="AA51:AA52" si="67">+Z51*G51*D51</f>
        <v>1599538.5</v>
      </c>
      <c r="AC51" s="29">
        <f t="shared" ref="AC51:AC52" si="68">+AA51+V51+Q51</f>
        <v>3152488.5</v>
      </c>
    </row>
    <row r="52" spans="1:29" s="6" customFormat="1" ht="26.25" customHeight="1" x14ac:dyDescent="0.3">
      <c r="A52" s="75" t="s">
        <v>126</v>
      </c>
      <c r="B52" s="76" t="s">
        <v>127</v>
      </c>
      <c r="C52" s="2" t="s">
        <v>144</v>
      </c>
      <c r="D52" s="79">
        <v>1</v>
      </c>
      <c r="E52" s="64">
        <v>0</v>
      </c>
      <c r="F52" s="64">
        <v>4</v>
      </c>
      <c r="G52" s="64">
        <f>3+(1/1)</f>
        <v>4</v>
      </c>
      <c r="H52" s="1">
        <f t="shared" si="61"/>
        <v>8</v>
      </c>
      <c r="I52" s="80"/>
      <c r="J52" s="90">
        <v>325000</v>
      </c>
      <c r="K52" s="63"/>
      <c r="L52" s="96">
        <v>300000</v>
      </c>
      <c r="M52" s="63"/>
      <c r="N52" s="25">
        <f t="shared" si="18"/>
        <v>312500</v>
      </c>
      <c r="O52" s="27">
        <f t="shared" si="6"/>
        <v>59375</v>
      </c>
      <c r="P52" s="27">
        <f t="shared" si="62"/>
        <v>371875</v>
      </c>
      <c r="Q52" s="29">
        <f t="shared" si="63"/>
        <v>0</v>
      </c>
      <c r="S52" s="25">
        <f t="shared" si="9"/>
        <v>326250</v>
      </c>
      <c r="T52" s="27">
        <f t="shared" si="10"/>
        <v>61987.5</v>
      </c>
      <c r="U52" s="27">
        <f t="shared" si="64"/>
        <v>388237.5</v>
      </c>
      <c r="V52" s="29">
        <f t="shared" si="65"/>
        <v>1552950</v>
      </c>
      <c r="X52" s="25">
        <f t="shared" si="13"/>
        <v>336037.5</v>
      </c>
      <c r="Y52" s="27">
        <f t="shared" si="14"/>
        <v>63847.125</v>
      </c>
      <c r="Z52" s="27">
        <f t="shared" si="66"/>
        <v>399884.625</v>
      </c>
      <c r="AA52" s="29">
        <f t="shared" si="67"/>
        <v>1599538.5</v>
      </c>
      <c r="AC52" s="29">
        <f t="shared" si="68"/>
        <v>3152488.5</v>
      </c>
    </row>
    <row r="53" spans="1:29" s="6" customFormat="1" ht="30.75" customHeight="1" x14ac:dyDescent="0.3">
      <c r="A53" s="77" t="s">
        <v>128</v>
      </c>
      <c r="B53" s="74" t="s">
        <v>129</v>
      </c>
      <c r="C53" s="74"/>
      <c r="D53" s="74"/>
      <c r="E53" s="74"/>
      <c r="F53" s="74"/>
      <c r="G53" s="74"/>
      <c r="H53" s="74"/>
      <c r="I53" s="80"/>
      <c r="J53" s="91"/>
      <c r="K53" s="63"/>
      <c r="L53" s="95"/>
      <c r="M53" s="63"/>
      <c r="N53" s="74"/>
      <c r="O53" s="74"/>
      <c r="P53" s="74"/>
      <c r="Q53" s="74"/>
      <c r="S53" s="100"/>
      <c r="T53" s="100"/>
      <c r="U53" s="100"/>
      <c r="V53" s="100"/>
      <c r="X53" s="100"/>
      <c r="Y53" s="100"/>
      <c r="Z53" s="100"/>
      <c r="AA53" s="100"/>
      <c r="AC53" s="100"/>
    </row>
    <row r="54" spans="1:29" s="6" customFormat="1" ht="24.75" customHeight="1" x14ac:dyDescent="0.3">
      <c r="A54" s="75" t="s">
        <v>130</v>
      </c>
      <c r="B54" s="76" t="s">
        <v>131</v>
      </c>
      <c r="C54" s="2" t="s">
        <v>144</v>
      </c>
      <c r="D54" s="79">
        <v>4</v>
      </c>
      <c r="E54" s="64">
        <v>0</v>
      </c>
      <c r="F54" s="64">
        <v>4</v>
      </c>
      <c r="G54" s="64">
        <f>3+(4/4)</f>
        <v>4</v>
      </c>
      <c r="H54" s="1">
        <f>E54+F54+G54</f>
        <v>8</v>
      </c>
      <c r="I54" s="80"/>
      <c r="J54" s="90">
        <v>158758.80176999999</v>
      </c>
      <c r="K54" s="63"/>
      <c r="L54" s="96">
        <v>250000</v>
      </c>
      <c r="M54" s="63"/>
      <c r="N54" s="25">
        <f t="shared" si="18"/>
        <v>204379.40088500001</v>
      </c>
      <c r="O54" s="27">
        <f t="shared" si="6"/>
        <v>38832.086168150003</v>
      </c>
      <c r="P54" s="27">
        <f t="shared" ref="P54" si="69">+O54+N54</f>
        <v>243211.48705315002</v>
      </c>
      <c r="Q54" s="29">
        <f>+P54*E54*D54</f>
        <v>0</v>
      </c>
      <c r="S54" s="25">
        <f t="shared" si="9"/>
        <v>213372.09452394</v>
      </c>
      <c r="T54" s="27">
        <f t="shared" si="10"/>
        <v>40540.697959548605</v>
      </c>
      <c r="U54" s="27">
        <f t="shared" ref="U54" si="70">+T54+S54</f>
        <v>253912.79248348862</v>
      </c>
      <c r="V54" s="29">
        <f>+U54*F54*D54</f>
        <v>4062604.6797358179</v>
      </c>
      <c r="X54" s="25">
        <f t="shared" si="13"/>
        <v>219773.25735965819</v>
      </c>
      <c r="Y54" s="27">
        <f t="shared" si="14"/>
        <v>41756.918898335054</v>
      </c>
      <c r="Z54" s="27">
        <f t="shared" ref="Z54" si="71">+Y54+X54</f>
        <v>261530.17625799324</v>
      </c>
      <c r="AA54" s="29">
        <f>+Z54*G54*D54</f>
        <v>4184482.8201278918</v>
      </c>
      <c r="AC54" s="29">
        <f t="shared" ref="AC54" si="72">+AA54+V54+Q54</f>
        <v>8247087.4998637103</v>
      </c>
    </row>
    <row r="55" spans="1:29" s="6" customFormat="1" ht="36" customHeight="1" x14ac:dyDescent="0.3">
      <c r="A55" s="77" t="s">
        <v>132</v>
      </c>
      <c r="B55" s="74" t="s">
        <v>133</v>
      </c>
      <c r="C55" s="74"/>
      <c r="D55" s="74"/>
      <c r="E55" s="74"/>
      <c r="F55" s="74"/>
      <c r="G55" s="74"/>
      <c r="H55" s="74"/>
      <c r="I55" s="80"/>
      <c r="J55" s="91"/>
      <c r="K55" s="63"/>
      <c r="L55" s="95"/>
      <c r="M55" s="63"/>
      <c r="N55" s="74"/>
      <c r="O55" s="74"/>
      <c r="P55" s="74"/>
      <c r="Q55" s="74"/>
      <c r="S55" s="100"/>
      <c r="T55" s="100"/>
      <c r="U55" s="100"/>
      <c r="V55" s="100"/>
      <c r="X55" s="100"/>
      <c r="Y55" s="100"/>
      <c r="Z55" s="100"/>
      <c r="AA55" s="100"/>
      <c r="AC55" s="100"/>
    </row>
    <row r="56" spans="1:29" s="6" customFormat="1" ht="43.5" customHeight="1" x14ac:dyDescent="0.3">
      <c r="A56" s="75" t="s">
        <v>134</v>
      </c>
      <c r="B56" s="76" t="s">
        <v>135</v>
      </c>
      <c r="C56" s="2" t="s">
        <v>144</v>
      </c>
      <c r="D56" s="79">
        <v>18</v>
      </c>
      <c r="E56" s="64">
        <v>0</v>
      </c>
      <c r="F56" s="64">
        <v>4</v>
      </c>
      <c r="G56" s="64">
        <f>3+(18/18)</f>
        <v>4</v>
      </c>
      <c r="H56" s="1">
        <f t="shared" ref="H56:H58" si="73">E56+F56+G56</f>
        <v>8</v>
      </c>
      <c r="I56" s="80"/>
      <c r="J56" s="90">
        <v>108910.456416</v>
      </c>
      <c r="K56" s="63"/>
      <c r="L56" s="96">
        <v>150000</v>
      </c>
      <c r="M56" s="63"/>
      <c r="N56" s="25">
        <f t="shared" si="18"/>
        <v>129455.228208</v>
      </c>
      <c r="O56" s="27">
        <f t="shared" si="6"/>
        <v>24596.493359520002</v>
      </c>
      <c r="P56" s="27">
        <f t="shared" ref="P56:P58" si="74">+O56+N56</f>
        <v>154051.72156752</v>
      </c>
      <c r="Q56" s="29">
        <f t="shared" ref="Q56:Q58" si="75">+P56*E56*D56</f>
        <v>0</v>
      </c>
      <c r="S56" s="25">
        <f t="shared" si="9"/>
        <v>135151.25824915199</v>
      </c>
      <c r="T56" s="27">
        <f t="shared" si="10"/>
        <v>25678.739067338876</v>
      </c>
      <c r="U56" s="27">
        <f t="shared" ref="U56:U58" si="76">+T56+S56</f>
        <v>160829.99731649086</v>
      </c>
      <c r="V56" s="29">
        <f t="shared" ref="V56:V58" si="77">+U56*F56*D56</f>
        <v>11579759.806787342</v>
      </c>
      <c r="X56" s="25">
        <f t="shared" si="13"/>
        <v>139205.79599662655</v>
      </c>
      <c r="Y56" s="27">
        <f t="shared" si="14"/>
        <v>26449.101239359043</v>
      </c>
      <c r="Z56" s="27">
        <f t="shared" ref="Z56:Z58" si="78">+Y56+X56</f>
        <v>165654.89723598558</v>
      </c>
      <c r="AA56" s="29">
        <f t="shared" ref="AA56:AA58" si="79">+Z56*G56*D56</f>
        <v>11927152.600990962</v>
      </c>
      <c r="AC56" s="29">
        <f t="shared" ref="AC56:AC58" si="80">+AA56+V56+Q56</f>
        <v>23506912.407778304</v>
      </c>
    </row>
    <row r="57" spans="1:29" s="6" customFormat="1" ht="33.75" customHeight="1" x14ac:dyDescent="0.3">
      <c r="A57" s="75" t="s">
        <v>136</v>
      </c>
      <c r="B57" s="76" t="s">
        <v>137</v>
      </c>
      <c r="C57" s="2" t="s">
        <v>144</v>
      </c>
      <c r="D57" s="79">
        <v>1</v>
      </c>
      <c r="E57" s="64">
        <v>0</v>
      </c>
      <c r="F57" s="64">
        <v>4</v>
      </c>
      <c r="G57" s="64">
        <f>3+(1/1)</f>
        <v>4</v>
      </c>
      <c r="H57" s="1">
        <f t="shared" si="73"/>
        <v>8</v>
      </c>
      <c r="I57" s="80"/>
      <c r="J57" s="90">
        <v>108910.456416</v>
      </c>
      <c r="K57" s="63"/>
      <c r="L57" s="96">
        <v>150000</v>
      </c>
      <c r="M57" s="63"/>
      <c r="N57" s="25">
        <f t="shared" si="18"/>
        <v>129455.228208</v>
      </c>
      <c r="O57" s="27">
        <f t="shared" si="6"/>
        <v>24596.493359520002</v>
      </c>
      <c r="P57" s="27">
        <f t="shared" si="74"/>
        <v>154051.72156752</v>
      </c>
      <c r="Q57" s="29">
        <f t="shared" si="75"/>
        <v>0</v>
      </c>
      <c r="S57" s="25">
        <f t="shared" si="9"/>
        <v>135151.25824915199</v>
      </c>
      <c r="T57" s="27">
        <f t="shared" si="10"/>
        <v>25678.739067338876</v>
      </c>
      <c r="U57" s="27">
        <f t="shared" si="76"/>
        <v>160829.99731649086</v>
      </c>
      <c r="V57" s="29">
        <f t="shared" si="77"/>
        <v>643319.98926596344</v>
      </c>
      <c r="X57" s="25">
        <f t="shared" si="13"/>
        <v>139205.79599662655</v>
      </c>
      <c r="Y57" s="27">
        <f t="shared" si="14"/>
        <v>26449.101239359043</v>
      </c>
      <c r="Z57" s="27">
        <f t="shared" si="78"/>
        <v>165654.89723598558</v>
      </c>
      <c r="AA57" s="29">
        <f t="shared" si="79"/>
        <v>662619.58894394233</v>
      </c>
      <c r="AC57" s="29">
        <f t="shared" si="80"/>
        <v>1305939.5782099059</v>
      </c>
    </row>
    <row r="58" spans="1:29" s="6" customFormat="1" ht="35.25" customHeight="1" x14ac:dyDescent="0.3">
      <c r="A58" s="75" t="s">
        <v>138</v>
      </c>
      <c r="B58" s="76" t="s">
        <v>139</v>
      </c>
      <c r="C58" s="2" t="s">
        <v>144</v>
      </c>
      <c r="D58" s="79">
        <v>1</v>
      </c>
      <c r="E58" s="64">
        <v>0</v>
      </c>
      <c r="F58" s="64">
        <v>4</v>
      </c>
      <c r="G58" s="64">
        <f>3+(1/1)</f>
        <v>4</v>
      </c>
      <c r="H58" s="1">
        <f t="shared" si="73"/>
        <v>8</v>
      </c>
      <c r="I58" s="80"/>
      <c r="J58" s="90">
        <v>108910.456416</v>
      </c>
      <c r="K58" s="63"/>
      <c r="L58" s="96">
        <v>150000</v>
      </c>
      <c r="M58" s="63"/>
      <c r="N58" s="25">
        <f t="shared" si="18"/>
        <v>129455.228208</v>
      </c>
      <c r="O58" s="27">
        <f t="shared" si="6"/>
        <v>24596.493359520002</v>
      </c>
      <c r="P58" s="27">
        <f t="shared" si="74"/>
        <v>154051.72156752</v>
      </c>
      <c r="Q58" s="29">
        <f t="shared" si="75"/>
        <v>0</v>
      </c>
      <c r="S58" s="25">
        <f t="shared" si="9"/>
        <v>135151.25824915199</v>
      </c>
      <c r="T58" s="27">
        <f t="shared" si="10"/>
        <v>25678.739067338876</v>
      </c>
      <c r="U58" s="27">
        <f t="shared" si="76"/>
        <v>160829.99731649086</v>
      </c>
      <c r="V58" s="29">
        <f t="shared" si="77"/>
        <v>643319.98926596344</v>
      </c>
      <c r="X58" s="25">
        <f t="shared" si="13"/>
        <v>139205.79599662655</v>
      </c>
      <c r="Y58" s="27">
        <f t="shared" si="14"/>
        <v>26449.101239359043</v>
      </c>
      <c r="Z58" s="27">
        <f t="shared" si="78"/>
        <v>165654.89723598558</v>
      </c>
      <c r="AA58" s="29">
        <f t="shared" si="79"/>
        <v>662619.58894394233</v>
      </c>
      <c r="AC58" s="29">
        <f t="shared" si="80"/>
        <v>1305939.5782099059</v>
      </c>
    </row>
    <row r="59" spans="1:29" s="6" customFormat="1" ht="42.75" customHeight="1" x14ac:dyDescent="0.3">
      <c r="A59" s="77" t="s">
        <v>140</v>
      </c>
      <c r="B59" s="74" t="s">
        <v>141</v>
      </c>
      <c r="C59" s="74"/>
      <c r="D59" s="74"/>
      <c r="E59" s="74"/>
      <c r="F59" s="74"/>
      <c r="G59" s="74"/>
      <c r="H59" s="74"/>
      <c r="I59" s="80"/>
      <c r="J59" s="93"/>
      <c r="K59" s="63"/>
      <c r="L59" s="95"/>
      <c r="M59" s="63"/>
      <c r="N59" s="74"/>
      <c r="O59" s="74"/>
      <c r="P59" s="74"/>
      <c r="Q59" s="74"/>
      <c r="S59" s="100"/>
      <c r="T59" s="100"/>
      <c r="U59" s="100"/>
      <c r="V59" s="100"/>
      <c r="X59" s="100"/>
      <c r="Y59" s="100"/>
      <c r="Z59" s="100"/>
      <c r="AA59" s="100"/>
      <c r="AC59" s="100"/>
    </row>
    <row r="60" spans="1:29" s="6" customFormat="1" ht="36" customHeight="1" x14ac:dyDescent="0.3">
      <c r="A60" s="75" t="s">
        <v>142</v>
      </c>
      <c r="B60" s="76" t="s">
        <v>143</v>
      </c>
      <c r="C60" s="2" t="s">
        <v>144</v>
      </c>
      <c r="D60" s="79">
        <v>1</v>
      </c>
      <c r="E60" s="64">
        <v>0</v>
      </c>
      <c r="F60" s="64">
        <v>4</v>
      </c>
      <c r="G60" s="64">
        <f>3+(1/1)</f>
        <v>4</v>
      </c>
      <c r="H60" s="1">
        <f>E60+F60+G60</f>
        <v>8</v>
      </c>
      <c r="I60" s="80"/>
      <c r="J60" s="90">
        <v>260000</v>
      </c>
      <c r="K60" s="63"/>
      <c r="L60" s="96">
        <v>180000</v>
      </c>
      <c r="M60" s="63"/>
      <c r="N60" s="25">
        <f t="shared" si="18"/>
        <v>220000</v>
      </c>
      <c r="O60" s="27">
        <f t="shared" si="6"/>
        <v>41800</v>
      </c>
      <c r="P60" s="27">
        <f t="shared" ref="P60" si="81">+O60+N60</f>
        <v>261800</v>
      </c>
      <c r="Q60" s="29">
        <f>+P60*E60*D60</f>
        <v>0</v>
      </c>
      <c r="S60" s="25">
        <f t="shared" si="9"/>
        <v>229680</v>
      </c>
      <c r="T60" s="27">
        <f t="shared" si="10"/>
        <v>43639.199999999997</v>
      </c>
      <c r="U60" s="27">
        <f t="shared" ref="U60" si="82">+T60+S60</f>
        <v>273319.2</v>
      </c>
      <c r="V60" s="29">
        <f>+U60*F60*D60</f>
        <v>1093276.8</v>
      </c>
      <c r="X60" s="25">
        <f t="shared" si="13"/>
        <v>236570.4</v>
      </c>
      <c r="Y60" s="27">
        <f t="shared" si="14"/>
        <v>44948.375999999997</v>
      </c>
      <c r="Z60" s="27">
        <f t="shared" ref="Z60" si="83">+Y60+X60</f>
        <v>281518.77600000001</v>
      </c>
      <c r="AA60" s="29">
        <f>+Z60*G60*D60</f>
        <v>1126075.1040000001</v>
      </c>
      <c r="AC60" s="29">
        <f t="shared" ref="AC60" si="84">+AA60+V60+Q60</f>
        <v>2219351.9040000001</v>
      </c>
    </row>
    <row r="61" spans="1:29" s="6" customFormat="1" ht="71.25" customHeight="1" x14ac:dyDescent="0.3">
      <c r="A61" s="147" t="s">
        <v>9</v>
      </c>
      <c r="B61" s="147"/>
      <c r="C61" s="147"/>
      <c r="D61" s="147"/>
      <c r="E61" s="147"/>
      <c r="F61" s="147"/>
      <c r="G61" s="147"/>
      <c r="H61" s="147"/>
      <c r="I61" s="12"/>
      <c r="J61" s="10"/>
      <c r="K61" s="12"/>
      <c r="L61" s="10"/>
      <c r="M61" s="12"/>
      <c r="N61" s="10"/>
      <c r="O61" s="10"/>
      <c r="P61" s="10"/>
      <c r="Q61" s="103">
        <f>SUM(Q9:Q60)</f>
        <v>32069499.028914127</v>
      </c>
      <c r="S61" s="10"/>
      <c r="T61" s="10"/>
      <c r="U61" s="10"/>
      <c r="V61" s="103">
        <f>SUM(V9:V60)</f>
        <v>439360527.66659468</v>
      </c>
      <c r="X61" s="10"/>
      <c r="Y61" s="10"/>
      <c r="Z61" s="10"/>
      <c r="AA61" s="103">
        <f>SUM(AA9:AA60)</f>
        <v>418056369.80082065</v>
      </c>
      <c r="AC61" s="103">
        <f>SUM(AC9:AC60)</f>
        <v>889486396.49632907</v>
      </c>
    </row>
    <row r="62" spans="1:29" ht="73.5" customHeight="1" x14ac:dyDescent="0.2">
      <c r="A62" s="151" t="s">
        <v>10</v>
      </c>
      <c r="B62" s="151"/>
      <c r="C62" s="151"/>
      <c r="D62" s="151"/>
      <c r="E62" s="151"/>
      <c r="F62" s="151"/>
      <c r="G62" s="151"/>
      <c r="H62" s="151"/>
      <c r="I62" s="117"/>
      <c r="J62" s="82" t="s">
        <v>185</v>
      </c>
      <c r="K62" s="53"/>
      <c r="L62" s="130" t="s">
        <v>184</v>
      </c>
      <c r="M62" s="53"/>
      <c r="N62" s="57"/>
      <c r="O62" s="58"/>
      <c r="P62" s="58"/>
      <c r="Q62" s="56"/>
      <c r="S62" s="57"/>
      <c r="T62" s="58"/>
      <c r="U62" s="58"/>
      <c r="V62" s="56"/>
      <c r="X62" s="57"/>
      <c r="Y62" s="58"/>
      <c r="Z62" s="58"/>
      <c r="AA62" s="56"/>
      <c r="AC62" s="54"/>
    </row>
    <row r="63" spans="1:29" ht="49.5" customHeight="1" x14ac:dyDescent="0.2">
      <c r="A63" s="43" t="s">
        <v>11</v>
      </c>
      <c r="B63" s="152" t="s">
        <v>12</v>
      </c>
      <c r="C63" s="152"/>
      <c r="D63" s="152"/>
      <c r="E63" s="152"/>
      <c r="F63" s="152"/>
      <c r="G63" s="44" t="s">
        <v>14</v>
      </c>
      <c r="H63" s="44" t="s">
        <v>13</v>
      </c>
      <c r="I63" s="87"/>
      <c r="J63" s="44" t="s">
        <v>175</v>
      </c>
      <c r="K63" s="50"/>
      <c r="L63" s="44" t="s">
        <v>176</v>
      </c>
      <c r="M63" s="50"/>
      <c r="N63" s="44" t="s">
        <v>5</v>
      </c>
      <c r="O63" s="44" t="s">
        <v>6</v>
      </c>
      <c r="P63" s="44" t="s">
        <v>15</v>
      </c>
      <c r="Q63" s="44" t="s">
        <v>8</v>
      </c>
      <c r="S63" s="44" t="s">
        <v>5</v>
      </c>
      <c r="T63" s="44" t="s">
        <v>6</v>
      </c>
      <c r="U63" s="44" t="s">
        <v>15</v>
      </c>
      <c r="V63" s="44" t="s">
        <v>8</v>
      </c>
      <c r="X63" s="44" t="s">
        <v>5</v>
      </c>
      <c r="Y63" s="44" t="s">
        <v>6</v>
      </c>
      <c r="Z63" s="44" t="s">
        <v>15</v>
      </c>
      <c r="AA63" s="44" t="s">
        <v>8</v>
      </c>
      <c r="AC63" s="44" t="s">
        <v>8</v>
      </c>
    </row>
    <row r="64" spans="1:29" s="6" customFormat="1" ht="73.5" customHeight="1" x14ac:dyDescent="0.3">
      <c r="A64" s="120">
        <v>1</v>
      </c>
      <c r="B64" s="156" t="s">
        <v>145</v>
      </c>
      <c r="C64" s="157"/>
      <c r="D64" s="157"/>
      <c r="E64" s="157"/>
      <c r="F64" s="158"/>
      <c r="G64" s="113" t="s">
        <v>16</v>
      </c>
      <c r="H64" s="113">
        <v>1</v>
      </c>
      <c r="I64" s="83"/>
      <c r="J64" s="104">
        <v>1383206.8134920001</v>
      </c>
      <c r="K64" s="13"/>
      <c r="L64" s="105">
        <v>1180000</v>
      </c>
      <c r="M64" s="13"/>
      <c r="N64" s="25">
        <f t="shared" ref="N64:N101" si="85">AVERAGE(J64,L64)</f>
        <v>1281603.4067460001</v>
      </c>
      <c r="O64" s="27">
        <f t="shared" ref="O64:O101" si="86">(N64*19%)</f>
        <v>243504.64728174001</v>
      </c>
      <c r="P64" s="27">
        <f>+O64+N64</f>
        <v>1525108.0540277401</v>
      </c>
      <c r="Q64" s="29">
        <f t="shared" ref="Q64" si="87">+P64*H64</f>
        <v>1525108.0540277401</v>
      </c>
      <c r="S64" s="25">
        <f t="shared" ref="S64:S101" si="88">N64+(N64*4.4%)</f>
        <v>1337993.956642824</v>
      </c>
      <c r="T64" s="27">
        <f t="shared" ref="T64:T101" si="89">S64*19%</f>
        <v>254218.85176213656</v>
      </c>
      <c r="U64" s="27">
        <f t="shared" ref="U64" si="90">+T64+S64</f>
        <v>1592212.8084049607</v>
      </c>
      <c r="V64" s="29">
        <f t="shared" ref="V64" si="91">+U64*H64</f>
        <v>1592212.8084049607</v>
      </c>
      <c r="X64" s="25">
        <f t="shared" ref="X64:X101" si="92">S64+(S64*3%)</f>
        <v>1378133.7753421087</v>
      </c>
      <c r="Y64" s="27">
        <f t="shared" ref="Y64:Y101" si="93">X64*19%</f>
        <v>261845.41731500064</v>
      </c>
      <c r="Z64" s="27">
        <f>+Y64+X64</f>
        <v>1639979.1926571093</v>
      </c>
      <c r="AA64" s="29">
        <f t="shared" ref="AA64" si="94">+Z64*H64</f>
        <v>1639979.1926571093</v>
      </c>
      <c r="AC64" s="29">
        <f>+AA64+V64+Q64</f>
        <v>4757300.0550898099</v>
      </c>
    </row>
    <row r="65" spans="1:29" s="6" customFormat="1" ht="44.25" customHeight="1" x14ac:dyDescent="0.3">
      <c r="A65" s="120">
        <v>2</v>
      </c>
      <c r="B65" s="156" t="s">
        <v>146</v>
      </c>
      <c r="C65" s="157"/>
      <c r="D65" s="157"/>
      <c r="E65" s="157"/>
      <c r="F65" s="158"/>
      <c r="G65" s="113" t="s">
        <v>16</v>
      </c>
      <c r="H65" s="113">
        <v>1</v>
      </c>
      <c r="I65" s="83"/>
      <c r="J65" s="104">
        <v>289609.48687299999</v>
      </c>
      <c r="K65" s="13"/>
      <c r="L65" s="105">
        <v>260000</v>
      </c>
      <c r="M65" s="13"/>
      <c r="N65" s="25">
        <f t="shared" si="85"/>
        <v>274804.74343649996</v>
      </c>
      <c r="O65" s="27">
        <f t="shared" si="86"/>
        <v>52212.901252934993</v>
      </c>
      <c r="P65" s="27">
        <f t="shared" ref="P65:P95" si="95">+O65+N65</f>
        <v>327017.64468943496</v>
      </c>
      <c r="Q65" s="29">
        <f t="shared" ref="Q65:Q95" si="96">+P65*H65</f>
        <v>327017.64468943496</v>
      </c>
      <c r="S65" s="25">
        <f t="shared" si="88"/>
        <v>286896.15214770596</v>
      </c>
      <c r="T65" s="27">
        <f t="shared" si="89"/>
        <v>54510.268908064136</v>
      </c>
      <c r="U65" s="27">
        <f t="shared" ref="U65:U95" si="97">+T65+S65</f>
        <v>341406.42105577007</v>
      </c>
      <c r="V65" s="29">
        <f t="shared" ref="V65:V95" si="98">+U65*H65</f>
        <v>341406.42105577007</v>
      </c>
      <c r="X65" s="25">
        <f t="shared" si="92"/>
        <v>295503.03671213711</v>
      </c>
      <c r="Y65" s="27">
        <f t="shared" si="93"/>
        <v>56145.576975306052</v>
      </c>
      <c r="Z65" s="27">
        <f t="shared" ref="Z65:Z95" si="99">+Y65+X65</f>
        <v>351648.61368744314</v>
      </c>
      <c r="AA65" s="29">
        <f t="shared" ref="AA65:AA95" si="100">+Z65*H65</f>
        <v>351648.61368744314</v>
      </c>
      <c r="AC65" s="29">
        <f t="shared" ref="AC65:AC101" si="101">+AA65+V65+Q65</f>
        <v>1020072.6794326482</v>
      </c>
    </row>
    <row r="66" spans="1:29" s="6" customFormat="1" ht="44.25" customHeight="1" x14ac:dyDescent="0.3">
      <c r="A66" s="120">
        <v>3</v>
      </c>
      <c r="B66" s="156" t="s">
        <v>147</v>
      </c>
      <c r="C66" s="157"/>
      <c r="D66" s="157"/>
      <c r="E66" s="157"/>
      <c r="F66" s="158"/>
      <c r="G66" s="113" t="s">
        <v>16</v>
      </c>
      <c r="H66" s="113">
        <v>1</v>
      </c>
      <c r="I66" s="83"/>
      <c r="J66" s="104">
        <v>328586.746873</v>
      </c>
      <c r="K66" s="13"/>
      <c r="L66" s="105">
        <v>290000</v>
      </c>
      <c r="M66" s="13"/>
      <c r="N66" s="25">
        <f t="shared" si="85"/>
        <v>309293.37343649997</v>
      </c>
      <c r="O66" s="27">
        <f t="shared" si="86"/>
        <v>58765.740952934997</v>
      </c>
      <c r="P66" s="27">
        <f t="shared" si="95"/>
        <v>368059.11438943498</v>
      </c>
      <c r="Q66" s="29">
        <f t="shared" si="96"/>
        <v>368059.11438943498</v>
      </c>
      <c r="S66" s="25">
        <f t="shared" si="88"/>
        <v>322902.28186770598</v>
      </c>
      <c r="T66" s="27">
        <f t="shared" si="89"/>
        <v>61351.433554864139</v>
      </c>
      <c r="U66" s="27">
        <f t="shared" si="97"/>
        <v>384253.71542257012</v>
      </c>
      <c r="V66" s="29">
        <f t="shared" si="98"/>
        <v>384253.71542257012</v>
      </c>
      <c r="X66" s="25">
        <f t="shared" si="92"/>
        <v>332589.35032373713</v>
      </c>
      <c r="Y66" s="27">
        <f t="shared" si="93"/>
        <v>63191.976561510055</v>
      </c>
      <c r="Z66" s="27">
        <f t="shared" si="99"/>
        <v>395781.3268852472</v>
      </c>
      <c r="AA66" s="29">
        <f t="shared" si="100"/>
        <v>395781.3268852472</v>
      </c>
      <c r="AC66" s="29">
        <f t="shared" si="101"/>
        <v>1148094.1566972523</v>
      </c>
    </row>
    <row r="67" spans="1:29" s="6" customFormat="1" ht="58.5" customHeight="1" x14ac:dyDescent="0.3">
      <c r="A67" s="120">
        <v>4</v>
      </c>
      <c r="B67" s="156" t="s">
        <v>148</v>
      </c>
      <c r="C67" s="157"/>
      <c r="D67" s="157"/>
      <c r="E67" s="157"/>
      <c r="F67" s="158"/>
      <c r="G67" s="113" t="s">
        <v>16</v>
      </c>
      <c r="H67" s="113">
        <v>1</v>
      </c>
      <c r="I67" s="83"/>
      <c r="J67" s="104">
        <v>393548.84687299997</v>
      </c>
      <c r="K67" s="13"/>
      <c r="L67" s="105">
        <v>356000</v>
      </c>
      <c r="M67" s="13"/>
      <c r="N67" s="25">
        <f t="shared" si="85"/>
        <v>374774.42343650002</v>
      </c>
      <c r="O67" s="27">
        <f t="shared" si="86"/>
        <v>71207.140452934997</v>
      </c>
      <c r="P67" s="27">
        <f t="shared" si="95"/>
        <v>445981.56388943503</v>
      </c>
      <c r="Q67" s="29">
        <f t="shared" si="96"/>
        <v>445981.56388943503</v>
      </c>
      <c r="S67" s="25">
        <f t="shared" si="88"/>
        <v>391264.49806770601</v>
      </c>
      <c r="T67" s="27">
        <f t="shared" si="89"/>
        <v>74340.254632864147</v>
      </c>
      <c r="U67" s="27">
        <f t="shared" si="97"/>
        <v>465604.75270057016</v>
      </c>
      <c r="V67" s="29">
        <f t="shared" si="98"/>
        <v>465604.75270057016</v>
      </c>
      <c r="X67" s="25">
        <f t="shared" si="92"/>
        <v>403002.43300973717</v>
      </c>
      <c r="Y67" s="27">
        <f t="shared" si="93"/>
        <v>76570.462271850061</v>
      </c>
      <c r="Z67" s="27">
        <f t="shared" si="99"/>
        <v>479572.89528158726</v>
      </c>
      <c r="AA67" s="29">
        <f t="shared" si="100"/>
        <v>479572.89528158726</v>
      </c>
      <c r="AC67" s="29">
        <f t="shared" si="101"/>
        <v>1391159.2118715923</v>
      </c>
    </row>
    <row r="68" spans="1:29" s="6" customFormat="1" ht="44.25" customHeight="1" x14ac:dyDescent="0.3">
      <c r="A68" s="120">
        <v>5</v>
      </c>
      <c r="B68" s="156" t="s">
        <v>149</v>
      </c>
      <c r="C68" s="157"/>
      <c r="D68" s="157"/>
      <c r="E68" s="157"/>
      <c r="F68" s="158"/>
      <c r="G68" s="113" t="s">
        <v>16</v>
      </c>
      <c r="H68" s="113">
        <v>1</v>
      </c>
      <c r="I68" s="83"/>
      <c r="J68" s="104">
        <v>465007.15687300003</v>
      </c>
      <c r="K68" s="13"/>
      <c r="L68" s="105">
        <v>420000</v>
      </c>
      <c r="M68" s="13"/>
      <c r="N68" s="25">
        <f t="shared" si="85"/>
        <v>442503.57843650004</v>
      </c>
      <c r="O68" s="27">
        <f t="shared" si="86"/>
        <v>84075.679902935008</v>
      </c>
      <c r="P68" s="27">
        <f t="shared" si="95"/>
        <v>526579.25833943509</v>
      </c>
      <c r="Q68" s="29">
        <f t="shared" si="96"/>
        <v>526579.25833943509</v>
      </c>
      <c r="S68" s="25">
        <f t="shared" si="88"/>
        <v>461973.73588770605</v>
      </c>
      <c r="T68" s="27">
        <f t="shared" si="89"/>
        <v>87775.009818664155</v>
      </c>
      <c r="U68" s="27">
        <f t="shared" si="97"/>
        <v>549748.74570637022</v>
      </c>
      <c r="V68" s="29">
        <f t="shared" si="98"/>
        <v>549748.74570637022</v>
      </c>
      <c r="X68" s="25">
        <f t="shared" si="92"/>
        <v>475832.94796433725</v>
      </c>
      <c r="Y68" s="27">
        <f t="shared" si="93"/>
        <v>90408.260113224082</v>
      </c>
      <c r="Z68" s="27">
        <f t="shared" si="99"/>
        <v>566241.20807756134</v>
      </c>
      <c r="AA68" s="29">
        <f t="shared" si="100"/>
        <v>566241.20807756134</v>
      </c>
      <c r="AC68" s="29">
        <f t="shared" si="101"/>
        <v>1642569.2121233668</v>
      </c>
    </row>
    <row r="69" spans="1:29" s="6" customFormat="1" ht="44.25" customHeight="1" x14ac:dyDescent="0.3">
      <c r="A69" s="120">
        <v>6</v>
      </c>
      <c r="B69" s="156" t="s">
        <v>150</v>
      </c>
      <c r="C69" s="157"/>
      <c r="D69" s="157"/>
      <c r="E69" s="157"/>
      <c r="F69" s="158"/>
      <c r="G69" s="113" t="s">
        <v>16</v>
      </c>
      <c r="H69" s="113">
        <v>1</v>
      </c>
      <c r="I69" s="83"/>
      <c r="J69" s="104">
        <v>542961.67687299999</v>
      </c>
      <c r="K69" s="13"/>
      <c r="L69" s="105">
        <v>510600</v>
      </c>
      <c r="M69" s="13"/>
      <c r="N69" s="25">
        <f t="shared" si="85"/>
        <v>526780.83843649994</v>
      </c>
      <c r="O69" s="27">
        <f t="shared" si="86"/>
        <v>100088.35930293499</v>
      </c>
      <c r="P69" s="27">
        <f t="shared" si="95"/>
        <v>626869.19773943489</v>
      </c>
      <c r="Q69" s="29">
        <f t="shared" si="96"/>
        <v>626869.19773943489</v>
      </c>
      <c r="S69" s="25">
        <f t="shared" si="88"/>
        <v>549959.19532770594</v>
      </c>
      <c r="T69" s="27">
        <f t="shared" si="89"/>
        <v>104492.24711226413</v>
      </c>
      <c r="U69" s="27">
        <f t="shared" si="97"/>
        <v>654451.44243997009</v>
      </c>
      <c r="V69" s="29">
        <f t="shared" si="98"/>
        <v>654451.44243997009</v>
      </c>
      <c r="X69" s="25">
        <f t="shared" si="92"/>
        <v>566457.97118753707</v>
      </c>
      <c r="Y69" s="27">
        <f t="shared" si="93"/>
        <v>107627.01452563204</v>
      </c>
      <c r="Z69" s="27">
        <f t="shared" si="99"/>
        <v>674084.9857131691</v>
      </c>
      <c r="AA69" s="29">
        <f t="shared" si="100"/>
        <v>674084.9857131691</v>
      </c>
      <c r="AC69" s="29">
        <f t="shared" si="101"/>
        <v>1955405.625892574</v>
      </c>
    </row>
    <row r="70" spans="1:29" s="6" customFormat="1" ht="44.25" customHeight="1" x14ac:dyDescent="0.3">
      <c r="A70" s="120">
        <v>7</v>
      </c>
      <c r="B70" s="156" t="s">
        <v>151</v>
      </c>
      <c r="C70" s="157"/>
      <c r="D70" s="157"/>
      <c r="E70" s="157"/>
      <c r="F70" s="158"/>
      <c r="G70" s="113" t="s">
        <v>16</v>
      </c>
      <c r="H70" s="113">
        <v>1</v>
      </c>
      <c r="I70" s="83"/>
      <c r="J70" s="104">
        <v>115284.990765</v>
      </c>
      <c r="K70" s="13"/>
      <c r="L70" s="105">
        <v>105400</v>
      </c>
      <c r="M70" s="13"/>
      <c r="N70" s="25">
        <f t="shared" si="85"/>
        <v>110342.4953825</v>
      </c>
      <c r="O70" s="27">
        <f t="shared" si="86"/>
        <v>20965.074122675</v>
      </c>
      <c r="P70" s="27">
        <f t="shared" si="95"/>
        <v>131307.56950517499</v>
      </c>
      <c r="Q70" s="29">
        <f t="shared" si="96"/>
        <v>131307.56950517499</v>
      </c>
      <c r="S70" s="25">
        <f t="shared" si="88"/>
        <v>115197.56517932999</v>
      </c>
      <c r="T70" s="27">
        <f t="shared" si="89"/>
        <v>21887.537384072697</v>
      </c>
      <c r="U70" s="27">
        <f t="shared" si="97"/>
        <v>137085.10256340267</v>
      </c>
      <c r="V70" s="29">
        <f t="shared" si="98"/>
        <v>137085.10256340267</v>
      </c>
      <c r="X70" s="25">
        <f t="shared" si="92"/>
        <v>118653.49213470989</v>
      </c>
      <c r="Y70" s="27">
        <f t="shared" si="93"/>
        <v>22544.163505594879</v>
      </c>
      <c r="Z70" s="27">
        <f t="shared" si="99"/>
        <v>141197.65564030476</v>
      </c>
      <c r="AA70" s="29">
        <f t="shared" si="100"/>
        <v>141197.65564030476</v>
      </c>
      <c r="AC70" s="29">
        <f t="shared" si="101"/>
        <v>409590.3277088824</v>
      </c>
    </row>
    <row r="71" spans="1:29" s="6" customFormat="1" ht="44.25" customHeight="1" x14ac:dyDescent="0.3">
      <c r="A71" s="120">
        <v>8</v>
      </c>
      <c r="B71" s="156" t="s">
        <v>152</v>
      </c>
      <c r="C71" s="157"/>
      <c r="D71" s="157"/>
      <c r="E71" s="157"/>
      <c r="F71" s="158"/>
      <c r="G71" s="113" t="s">
        <v>16</v>
      </c>
      <c r="H71" s="113">
        <v>1</v>
      </c>
      <c r="I71" s="83"/>
      <c r="J71" s="104">
        <v>115284.990765</v>
      </c>
      <c r="K71" s="13"/>
      <c r="L71" s="105">
        <v>105400</v>
      </c>
      <c r="M71" s="13"/>
      <c r="N71" s="25">
        <f t="shared" si="85"/>
        <v>110342.4953825</v>
      </c>
      <c r="O71" s="27">
        <f t="shared" si="86"/>
        <v>20965.074122675</v>
      </c>
      <c r="P71" s="27">
        <f t="shared" si="95"/>
        <v>131307.56950517499</v>
      </c>
      <c r="Q71" s="29">
        <f t="shared" si="96"/>
        <v>131307.56950517499</v>
      </c>
      <c r="S71" s="25">
        <f t="shared" si="88"/>
        <v>115197.56517932999</v>
      </c>
      <c r="T71" s="27">
        <f t="shared" si="89"/>
        <v>21887.537384072697</v>
      </c>
      <c r="U71" s="27">
        <f t="shared" si="97"/>
        <v>137085.10256340267</v>
      </c>
      <c r="V71" s="29">
        <f t="shared" si="98"/>
        <v>137085.10256340267</v>
      </c>
      <c r="X71" s="25">
        <f t="shared" si="92"/>
        <v>118653.49213470989</v>
      </c>
      <c r="Y71" s="27">
        <f t="shared" si="93"/>
        <v>22544.163505594879</v>
      </c>
      <c r="Z71" s="27">
        <f t="shared" si="99"/>
        <v>141197.65564030476</v>
      </c>
      <c r="AA71" s="29">
        <f t="shared" si="100"/>
        <v>141197.65564030476</v>
      </c>
      <c r="AC71" s="29">
        <f t="shared" si="101"/>
        <v>409590.3277088824</v>
      </c>
    </row>
    <row r="72" spans="1:29" s="6" customFormat="1" ht="44.25" customHeight="1" x14ac:dyDescent="0.3">
      <c r="A72" s="120">
        <v>9</v>
      </c>
      <c r="B72" s="156" t="s">
        <v>153</v>
      </c>
      <c r="C72" s="157"/>
      <c r="D72" s="157"/>
      <c r="E72" s="157"/>
      <c r="F72" s="158"/>
      <c r="G72" s="113" t="s">
        <v>16</v>
      </c>
      <c r="H72" s="113">
        <v>1</v>
      </c>
      <c r="I72" s="83"/>
      <c r="J72" s="104">
        <v>115284.990765</v>
      </c>
      <c r="K72" s="13"/>
      <c r="L72" s="105">
        <v>105400</v>
      </c>
      <c r="M72" s="13"/>
      <c r="N72" s="25">
        <f t="shared" si="85"/>
        <v>110342.4953825</v>
      </c>
      <c r="O72" s="27">
        <f t="shared" si="86"/>
        <v>20965.074122675</v>
      </c>
      <c r="P72" s="27">
        <f t="shared" si="95"/>
        <v>131307.56950517499</v>
      </c>
      <c r="Q72" s="29">
        <f t="shared" si="96"/>
        <v>131307.56950517499</v>
      </c>
      <c r="S72" s="25">
        <f t="shared" si="88"/>
        <v>115197.56517932999</v>
      </c>
      <c r="T72" s="27">
        <f t="shared" si="89"/>
        <v>21887.537384072697</v>
      </c>
      <c r="U72" s="27">
        <f t="shared" si="97"/>
        <v>137085.10256340267</v>
      </c>
      <c r="V72" s="29">
        <f t="shared" si="98"/>
        <v>137085.10256340267</v>
      </c>
      <c r="X72" s="25">
        <f t="shared" si="92"/>
        <v>118653.49213470989</v>
      </c>
      <c r="Y72" s="27">
        <f t="shared" si="93"/>
        <v>22544.163505594879</v>
      </c>
      <c r="Z72" s="27">
        <f t="shared" si="99"/>
        <v>141197.65564030476</v>
      </c>
      <c r="AA72" s="29">
        <f t="shared" si="100"/>
        <v>141197.65564030476</v>
      </c>
      <c r="AC72" s="29">
        <f t="shared" si="101"/>
        <v>409590.3277088824</v>
      </c>
    </row>
    <row r="73" spans="1:29" s="6" customFormat="1" ht="44.25" customHeight="1" x14ac:dyDescent="0.3">
      <c r="A73" s="120">
        <v>10</v>
      </c>
      <c r="B73" s="156" t="s">
        <v>154</v>
      </c>
      <c r="C73" s="157"/>
      <c r="D73" s="157"/>
      <c r="E73" s="157"/>
      <c r="F73" s="158"/>
      <c r="G73" s="113" t="s">
        <v>16</v>
      </c>
      <c r="H73" s="113">
        <v>1</v>
      </c>
      <c r="I73" s="83"/>
      <c r="J73" s="104">
        <v>115859.90535</v>
      </c>
      <c r="K73" s="13"/>
      <c r="L73" s="105">
        <v>105400</v>
      </c>
      <c r="M73" s="13"/>
      <c r="N73" s="25">
        <f t="shared" si="85"/>
        <v>110629.95267500001</v>
      </c>
      <c r="O73" s="27">
        <f t="shared" si="86"/>
        <v>21019.691008250004</v>
      </c>
      <c r="P73" s="27">
        <f t="shared" si="95"/>
        <v>131649.64368325</v>
      </c>
      <c r="Q73" s="29">
        <f t="shared" si="96"/>
        <v>131649.64368325</v>
      </c>
      <c r="S73" s="25">
        <f t="shared" si="88"/>
        <v>115497.67059270001</v>
      </c>
      <c r="T73" s="27">
        <f t="shared" si="89"/>
        <v>21944.557412613001</v>
      </c>
      <c r="U73" s="27">
        <f t="shared" si="97"/>
        <v>137442.22800531302</v>
      </c>
      <c r="V73" s="29">
        <f t="shared" si="98"/>
        <v>137442.22800531302</v>
      </c>
      <c r="X73" s="25">
        <f t="shared" si="92"/>
        <v>118962.60071048101</v>
      </c>
      <c r="Y73" s="27">
        <f t="shared" si="93"/>
        <v>22602.894134991391</v>
      </c>
      <c r="Z73" s="27">
        <f t="shared" si="99"/>
        <v>141565.49484547239</v>
      </c>
      <c r="AA73" s="29">
        <f t="shared" si="100"/>
        <v>141565.49484547239</v>
      </c>
      <c r="AC73" s="29">
        <f t="shared" si="101"/>
        <v>410657.36653403542</v>
      </c>
    </row>
    <row r="74" spans="1:29" s="6" customFormat="1" ht="44.25" customHeight="1" x14ac:dyDescent="0.3">
      <c r="A74" s="120">
        <v>11</v>
      </c>
      <c r="B74" s="156" t="s">
        <v>155</v>
      </c>
      <c r="C74" s="157"/>
      <c r="D74" s="157"/>
      <c r="E74" s="157"/>
      <c r="F74" s="158"/>
      <c r="G74" s="113" t="s">
        <v>16</v>
      </c>
      <c r="H74" s="113">
        <v>1</v>
      </c>
      <c r="I74" s="83"/>
      <c r="J74" s="104">
        <v>115284.990765</v>
      </c>
      <c r="K74" s="13"/>
      <c r="L74" s="105">
        <v>105400</v>
      </c>
      <c r="M74" s="13"/>
      <c r="N74" s="25">
        <f t="shared" si="85"/>
        <v>110342.4953825</v>
      </c>
      <c r="O74" s="27">
        <f t="shared" si="86"/>
        <v>20965.074122675</v>
      </c>
      <c r="P74" s="27">
        <f t="shared" si="95"/>
        <v>131307.56950517499</v>
      </c>
      <c r="Q74" s="29">
        <f t="shared" si="96"/>
        <v>131307.56950517499</v>
      </c>
      <c r="S74" s="25">
        <f t="shared" si="88"/>
        <v>115197.56517932999</v>
      </c>
      <c r="T74" s="27">
        <f t="shared" si="89"/>
        <v>21887.537384072697</v>
      </c>
      <c r="U74" s="27">
        <f t="shared" si="97"/>
        <v>137085.10256340267</v>
      </c>
      <c r="V74" s="29">
        <f t="shared" si="98"/>
        <v>137085.10256340267</v>
      </c>
      <c r="X74" s="25">
        <f t="shared" si="92"/>
        <v>118653.49213470989</v>
      </c>
      <c r="Y74" s="27">
        <f t="shared" si="93"/>
        <v>22544.163505594879</v>
      </c>
      <c r="Z74" s="27">
        <f t="shared" si="99"/>
        <v>141197.65564030476</v>
      </c>
      <c r="AA74" s="29">
        <f t="shared" si="100"/>
        <v>141197.65564030476</v>
      </c>
      <c r="AC74" s="29">
        <f t="shared" si="101"/>
        <v>409590.3277088824</v>
      </c>
    </row>
    <row r="75" spans="1:29" s="6" customFormat="1" ht="44.25" customHeight="1" x14ac:dyDescent="0.3">
      <c r="A75" s="120">
        <v>12</v>
      </c>
      <c r="B75" s="156" t="s">
        <v>156</v>
      </c>
      <c r="C75" s="157"/>
      <c r="D75" s="157"/>
      <c r="E75" s="157"/>
      <c r="F75" s="158"/>
      <c r="G75" s="113" t="s">
        <v>16</v>
      </c>
      <c r="H75" s="113">
        <v>1</v>
      </c>
      <c r="I75" s="83"/>
      <c r="J75" s="104">
        <v>115284.990765</v>
      </c>
      <c r="K75" s="13"/>
      <c r="L75" s="105">
        <v>105400</v>
      </c>
      <c r="M75" s="13"/>
      <c r="N75" s="25">
        <f t="shared" si="85"/>
        <v>110342.4953825</v>
      </c>
      <c r="O75" s="27">
        <f t="shared" si="86"/>
        <v>20965.074122675</v>
      </c>
      <c r="P75" s="27">
        <f t="shared" si="95"/>
        <v>131307.56950517499</v>
      </c>
      <c r="Q75" s="29">
        <f t="shared" si="96"/>
        <v>131307.56950517499</v>
      </c>
      <c r="S75" s="25">
        <f t="shared" si="88"/>
        <v>115197.56517932999</v>
      </c>
      <c r="T75" s="27">
        <f t="shared" si="89"/>
        <v>21887.537384072697</v>
      </c>
      <c r="U75" s="27">
        <f t="shared" si="97"/>
        <v>137085.10256340267</v>
      </c>
      <c r="V75" s="29">
        <f t="shared" si="98"/>
        <v>137085.10256340267</v>
      </c>
      <c r="X75" s="25">
        <f t="shared" si="92"/>
        <v>118653.49213470989</v>
      </c>
      <c r="Y75" s="27">
        <f t="shared" si="93"/>
        <v>22544.163505594879</v>
      </c>
      <c r="Z75" s="27">
        <f t="shared" si="99"/>
        <v>141197.65564030476</v>
      </c>
      <c r="AA75" s="29">
        <f t="shared" si="100"/>
        <v>141197.65564030476</v>
      </c>
      <c r="AC75" s="29">
        <f t="shared" si="101"/>
        <v>409590.3277088824</v>
      </c>
    </row>
    <row r="76" spans="1:29" s="6" customFormat="1" ht="44.25" customHeight="1" x14ac:dyDescent="0.3">
      <c r="A76" s="120">
        <v>13</v>
      </c>
      <c r="B76" s="156" t="s">
        <v>157</v>
      </c>
      <c r="C76" s="157"/>
      <c r="D76" s="157"/>
      <c r="E76" s="157"/>
      <c r="F76" s="158"/>
      <c r="G76" s="113" t="s">
        <v>16</v>
      </c>
      <c r="H76" s="113">
        <v>1</v>
      </c>
      <c r="I76" s="83"/>
      <c r="J76" s="104">
        <v>116914.240233</v>
      </c>
      <c r="K76" s="13"/>
      <c r="L76" s="105">
        <v>105400</v>
      </c>
      <c r="M76" s="13"/>
      <c r="N76" s="25">
        <f t="shared" si="85"/>
        <v>111157.12011650001</v>
      </c>
      <c r="O76" s="27">
        <f t="shared" si="86"/>
        <v>21119.852822135002</v>
      </c>
      <c r="P76" s="27">
        <f t="shared" si="95"/>
        <v>132276.97293863501</v>
      </c>
      <c r="Q76" s="29">
        <f t="shared" si="96"/>
        <v>132276.97293863501</v>
      </c>
      <c r="S76" s="25">
        <f t="shared" si="88"/>
        <v>116048.03340162602</v>
      </c>
      <c r="T76" s="27">
        <f t="shared" si="89"/>
        <v>22049.126346308942</v>
      </c>
      <c r="U76" s="27">
        <f t="shared" si="97"/>
        <v>138097.15974793496</v>
      </c>
      <c r="V76" s="29">
        <f t="shared" si="98"/>
        <v>138097.15974793496</v>
      </c>
      <c r="X76" s="25">
        <f t="shared" si="92"/>
        <v>119529.4744036748</v>
      </c>
      <c r="Y76" s="27">
        <f t="shared" si="93"/>
        <v>22710.600136698213</v>
      </c>
      <c r="Z76" s="27">
        <f t="shared" si="99"/>
        <v>142240.07454037303</v>
      </c>
      <c r="AA76" s="29">
        <f t="shared" si="100"/>
        <v>142240.07454037303</v>
      </c>
      <c r="AC76" s="29">
        <f t="shared" si="101"/>
        <v>412614.20722694299</v>
      </c>
    </row>
    <row r="77" spans="1:29" s="6" customFormat="1" ht="44.25" customHeight="1" x14ac:dyDescent="0.3">
      <c r="A77" s="120">
        <v>14</v>
      </c>
      <c r="B77" s="156" t="s">
        <v>158</v>
      </c>
      <c r="C77" s="157"/>
      <c r="D77" s="157"/>
      <c r="E77" s="157"/>
      <c r="F77" s="158"/>
      <c r="G77" s="113" t="s">
        <v>16</v>
      </c>
      <c r="H77" s="113">
        <v>1</v>
      </c>
      <c r="I77" s="83"/>
      <c r="J77" s="104">
        <v>116914.240233</v>
      </c>
      <c r="K77" s="13"/>
      <c r="L77" s="105">
        <v>105400</v>
      </c>
      <c r="M77" s="13"/>
      <c r="N77" s="25">
        <f t="shared" si="85"/>
        <v>111157.12011650001</v>
      </c>
      <c r="O77" s="27">
        <f t="shared" si="86"/>
        <v>21119.852822135002</v>
      </c>
      <c r="P77" s="27">
        <f t="shared" si="95"/>
        <v>132276.97293863501</v>
      </c>
      <c r="Q77" s="29">
        <f t="shared" si="96"/>
        <v>132276.97293863501</v>
      </c>
      <c r="S77" s="25">
        <f t="shared" si="88"/>
        <v>116048.03340162602</v>
      </c>
      <c r="T77" s="27">
        <f t="shared" si="89"/>
        <v>22049.126346308942</v>
      </c>
      <c r="U77" s="27">
        <f t="shared" si="97"/>
        <v>138097.15974793496</v>
      </c>
      <c r="V77" s="29">
        <f t="shared" si="98"/>
        <v>138097.15974793496</v>
      </c>
      <c r="X77" s="25">
        <f t="shared" si="92"/>
        <v>119529.4744036748</v>
      </c>
      <c r="Y77" s="27">
        <f t="shared" si="93"/>
        <v>22710.600136698213</v>
      </c>
      <c r="Z77" s="27">
        <f t="shared" si="99"/>
        <v>142240.07454037303</v>
      </c>
      <c r="AA77" s="29">
        <f t="shared" si="100"/>
        <v>142240.07454037303</v>
      </c>
      <c r="AC77" s="29">
        <f t="shared" si="101"/>
        <v>412614.20722694299</v>
      </c>
    </row>
    <row r="78" spans="1:29" s="6" customFormat="1" ht="44.25" customHeight="1" x14ac:dyDescent="0.3">
      <c r="A78" s="120">
        <v>15</v>
      </c>
      <c r="B78" s="156" t="s">
        <v>159</v>
      </c>
      <c r="C78" s="157"/>
      <c r="D78" s="157"/>
      <c r="E78" s="157"/>
      <c r="F78" s="158"/>
      <c r="G78" s="113" t="s">
        <v>16</v>
      </c>
      <c r="H78" s="113">
        <v>1</v>
      </c>
      <c r="I78" s="83"/>
      <c r="J78" s="104">
        <v>148492.31704299999</v>
      </c>
      <c r="K78" s="13"/>
      <c r="L78" s="105">
        <v>125000</v>
      </c>
      <c r="M78" s="13"/>
      <c r="N78" s="25">
        <f t="shared" si="85"/>
        <v>136746.15852150001</v>
      </c>
      <c r="O78" s="27">
        <f t="shared" si="86"/>
        <v>25981.770119085002</v>
      </c>
      <c r="P78" s="27">
        <f t="shared" si="95"/>
        <v>162727.92864058501</v>
      </c>
      <c r="Q78" s="29">
        <f t="shared" si="96"/>
        <v>162727.92864058501</v>
      </c>
      <c r="S78" s="25">
        <f t="shared" si="88"/>
        <v>142762.98949644601</v>
      </c>
      <c r="T78" s="27">
        <f t="shared" si="89"/>
        <v>27124.968004324743</v>
      </c>
      <c r="U78" s="27">
        <f t="shared" si="97"/>
        <v>169887.95750077075</v>
      </c>
      <c r="V78" s="29">
        <f t="shared" si="98"/>
        <v>169887.95750077075</v>
      </c>
      <c r="X78" s="25">
        <f t="shared" si="92"/>
        <v>147045.87918133941</v>
      </c>
      <c r="Y78" s="27">
        <f t="shared" si="93"/>
        <v>27938.717044454486</v>
      </c>
      <c r="Z78" s="27">
        <f t="shared" si="99"/>
        <v>174984.59622579388</v>
      </c>
      <c r="AA78" s="29">
        <f t="shared" si="100"/>
        <v>174984.59622579388</v>
      </c>
      <c r="AC78" s="29">
        <f t="shared" si="101"/>
        <v>507600.48236714967</v>
      </c>
    </row>
    <row r="79" spans="1:29" s="6" customFormat="1" ht="44.25" customHeight="1" x14ac:dyDescent="0.3">
      <c r="A79" s="120">
        <v>16</v>
      </c>
      <c r="B79" s="156" t="s">
        <v>160</v>
      </c>
      <c r="C79" s="157"/>
      <c r="D79" s="157"/>
      <c r="E79" s="157"/>
      <c r="F79" s="158"/>
      <c r="G79" s="113" t="s">
        <v>16</v>
      </c>
      <c r="H79" s="113">
        <v>1</v>
      </c>
      <c r="I79" s="83"/>
      <c r="J79" s="104">
        <v>121130.930144</v>
      </c>
      <c r="K79" s="13"/>
      <c r="L79" s="105">
        <v>125000</v>
      </c>
      <c r="M79" s="13"/>
      <c r="N79" s="25">
        <f t="shared" si="85"/>
        <v>123065.46507199999</v>
      </c>
      <c r="O79" s="27">
        <f t="shared" si="86"/>
        <v>23382.438363679998</v>
      </c>
      <c r="P79" s="27">
        <f t="shared" si="95"/>
        <v>146447.90343568</v>
      </c>
      <c r="Q79" s="29">
        <f t="shared" si="96"/>
        <v>146447.90343568</v>
      </c>
      <c r="S79" s="25">
        <f t="shared" si="88"/>
        <v>128480.34553516799</v>
      </c>
      <c r="T79" s="27">
        <f t="shared" si="89"/>
        <v>24411.265651681919</v>
      </c>
      <c r="U79" s="27">
        <f t="shared" si="97"/>
        <v>152891.61118684991</v>
      </c>
      <c r="V79" s="29">
        <f t="shared" si="98"/>
        <v>152891.61118684991</v>
      </c>
      <c r="X79" s="25">
        <f t="shared" si="92"/>
        <v>132334.75590122302</v>
      </c>
      <c r="Y79" s="27">
        <f t="shared" si="93"/>
        <v>25143.603621232374</v>
      </c>
      <c r="Z79" s="27">
        <f t="shared" si="99"/>
        <v>157478.3595224554</v>
      </c>
      <c r="AA79" s="29">
        <f t="shared" si="100"/>
        <v>157478.3595224554</v>
      </c>
      <c r="AC79" s="29">
        <f t="shared" si="101"/>
        <v>456817.87414498534</v>
      </c>
    </row>
    <row r="80" spans="1:29" s="6" customFormat="1" ht="44.25" customHeight="1" x14ac:dyDescent="0.3">
      <c r="A80" s="120">
        <v>17</v>
      </c>
      <c r="B80" s="156" t="s">
        <v>161</v>
      </c>
      <c r="C80" s="157"/>
      <c r="D80" s="157"/>
      <c r="E80" s="157"/>
      <c r="F80" s="158"/>
      <c r="G80" s="113" t="s">
        <v>16</v>
      </c>
      <c r="H80" s="113">
        <v>1</v>
      </c>
      <c r="I80" s="83"/>
      <c r="J80" s="104">
        <v>187258.45021800001</v>
      </c>
      <c r="K80" s="13"/>
      <c r="L80" s="105">
        <v>172350</v>
      </c>
      <c r="M80" s="13"/>
      <c r="N80" s="25">
        <f t="shared" si="85"/>
        <v>179804.22510899999</v>
      </c>
      <c r="O80" s="27">
        <f t="shared" si="86"/>
        <v>34162.802770709997</v>
      </c>
      <c r="P80" s="27">
        <f t="shared" si="95"/>
        <v>213967.02787970999</v>
      </c>
      <c r="Q80" s="29">
        <f t="shared" si="96"/>
        <v>213967.02787970999</v>
      </c>
      <c r="S80" s="25">
        <f t="shared" si="88"/>
        <v>187715.61101379601</v>
      </c>
      <c r="T80" s="27">
        <f t="shared" si="89"/>
        <v>35665.966092621238</v>
      </c>
      <c r="U80" s="27">
        <f t="shared" si="97"/>
        <v>223381.57710641724</v>
      </c>
      <c r="V80" s="29">
        <f t="shared" si="98"/>
        <v>223381.57710641724</v>
      </c>
      <c r="X80" s="25">
        <f t="shared" si="92"/>
        <v>193347.07934420989</v>
      </c>
      <c r="Y80" s="27">
        <f t="shared" si="93"/>
        <v>36735.945075399883</v>
      </c>
      <c r="Z80" s="27">
        <f t="shared" si="99"/>
        <v>230083.02441960978</v>
      </c>
      <c r="AA80" s="29">
        <f t="shared" si="100"/>
        <v>230083.02441960978</v>
      </c>
      <c r="AC80" s="29">
        <f t="shared" si="101"/>
        <v>667431.62940573704</v>
      </c>
    </row>
    <row r="81" spans="1:29" s="6" customFormat="1" ht="44.25" customHeight="1" x14ac:dyDescent="0.3">
      <c r="A81" s="120">
        <v>18</v>
      </c>
      <c r="B81" s="156" t="s">
        <v>162</v>
      </c>
      <c r="C81" s="157"/>
      <c r="D81" s="157"/>
      <c r="E81" s="157"/>
      <c r="F81" s="158"/>
      <c r="G81" s="113" t="s">
        <v>16</v>
      </c>
      <c r="H81" s="113">
        <v>1</v>
      </c>
      <c r="I81" s="83"/>
      <c r="J81" s="104">
        <v>187258.45021800001</v>
      </c>
      <c r="K81" s="13"/>
      <c r="L81" s="105">
        <v>172350</v>
      </c>
      <c r="M81" s="13"/>
      <c r="N81" s="25">
        <f t="shared" si="85"/>
        <v>179804.22510899999</v>
      </c>
      <c r="O81" s="27">
        <f t="shared" si="86"/>
        <v>34162.802770709997</v>
      </c>
      <c r="P81" s="27">
        <f t="shared" si="95"/>
        <v>213967.02787970999</v>
      </c>
      <c r="Q81" s="29">
        <f t="shared" si="96"/>
        <v>213967.02787970999</v>
      </c>
      <c r="S81" s="25">
        <f t="shared" si="88"/>
        <v>187715.61101379601</v>
      </c>
      <c r="T81" s="27">
        <f t="shared" si="89"/>
        <v>35665.966092621238</v>
      </c>
      <c r="U81" s="27">
        <f t="shared" si="97"/>
        <v>223381.57710641724</v>
      </c>
      <c r="V81" s="29">
        <f t="shared" si="98"/>
        <v>223381.57710641724</v>
      </c>
      <c r="X81" s="25">
        <f t="shared" si="92"/>
        <v>193347.07934420989</v>
      </c>
      <c r="Y81" s="27">
        <f t="shared" si="93"/>
        <v>36735.945075399883</v>
      </c>
      <c r="Z81" s="27">
        <f t="shared" si="99"/>
        <v>230083.02441960978</v>
      </c>
      <c r="AA81" s="29">
        <f t="shared" si="100"/>
        <v>230083.02441960978</v>
      </c>
      <c r="AC81" s="29">
        <f t="shared" si="101"/>
        <v>667431.62940573704</v>
      </c>
    </row>
    <row r="82" spans="1:29" s="6" customFormat="1" ht="44.25" customHeight="1" x14ac:dyDescent="0.3">
      <c r="A82" s="120">
        <v>19</v>
      </c>
      <c r="B82" s="156" t="s">
        <v>163</v>
      </c>
      <c r="C82" s="157"/>
      <c r="D82" s="157"/>
      <c r="E82" s="157"/>
      <c r="F82" s="158"/>
      <c r="G82" s="113" t="s">
        <v>16</v>
      </c>
      <c r="H82" s="113">
        <v>1</v>
      </c>
      <c r="I82" s="83"/>
      <c r="J82" s="104">
        <v>187258.45021800001</v>
      </c>
      <c r="K82" s="13"/>
      <c r="L82" s="105">
        <v>172350</v>
      </c>
      <c r="M82" s="13"/>
      <c r="N82" s="25">
        <f t="shared" si="85"/>
        <v>179804.22510899999</v>
      </c>
      <c r="O82" s="27">
        <f t="shared" si="86"/>
        <v>34162.802770709997</v>
      </c>
      <c r="P82" s="27">
        <f t="shared" si="95"/>
        <v>213967.02787970999</v>
      </c>
      <c r="Q82" s="29">
        <f t="shared" si="96"/>
        <v>213967.02787970999</v>
      </c>
      <c r="S82" s="25">
        <f t="shared" si="88"/>
        <v>187715.61101379601</v>
      </c>
      <c r="T82" s="27">
        <f t="shared" si="89"/>
        <v>35665.966092621238</v>
      </c>
      <c r="U82" s="27">
        <f t="shared" si="97"/>
        <v>223381.57710641724</v>
      </c>
      <c r="V82" s="29">
        <f t="shared" si="98"/>
        <v>223381.57710641724</v>
      </c>
      <c r="X82" s="25">
        <f t="shared" si="92"/>
        <v>193347.07934420989</v>
      </c>
      <c r="Y82" s="27">
        <f t="shared" si="93"/>
        <v>36735.945075399883</v>
      </c>
      <c r="Z82" s="27">
        <f t="shared" si="99"/>
        <v>230083.02441960978</v>
      </c>
      <c r="AA82" s="29">
        <f t="shared" si="100"/>
        <v>230083.02441960978</v>
      </c>
      <c r="AC82" s="29">
        <f t="shared" si="101"/>
        <v>667431.62940573704</v>
      </c>
    </row>
    <row r="83" spans="1:29" s="6" customFormat="1" ht="44.25" customHeight="1" x14ac:dyDescent="0.3">
      <c r="A83" s="120">
        <v>20</v>
      </c>
      <c r="B83" s="156" t="s">
        <v>164</v>
      </c>
      <c r="C83" s="157"/>
      <c r="D83" s="157"/>
      <c r="E83" s="157"/>
      <c r="F83" s="158"/>
      <c r="G83" s="113" t="s">
        <v>16</v>
      </c>
      <c r="H83" s="113">
        <v>1</v>
      </c>
      <c r="I83" s="83"/>
      <c r="J83" s="104">
        <v>187258.45021800001</v>
      </c>
      <c r="K83" s="13"/>
      <c r="L83" s="105">
        <v>172350</v>
      </c>
      <c r="M83" s="13"/>
      <c r="N83" s="25">
        <f t="shared" si="85"/>
        <v>179804.22510899999</v>
      </c>
      <c r="O83" s="27">
        <f t="shared" si="86"/>
        <v>34162.802770709997</v>
      </c>
      <c r="P83" s="27">
        <f t="shared" si="95"/>
        <v>213967.02787970999</v>
      </c>
      <c r="Q83" s="29">
        <f t="shared" si="96"/>
        <v>213967.02787970999</v>
      </c>
      <c r="S83" s="25">
        <f t="shared" si="88"/>
        <v>187715.61101379601</v>
      </c>
      <c r="T83" s="27">
        <f t="shared" si="89"/>
        <v>35665.966092621238</v>
      </c>
      <c r="U83" s="27">
        <f t="shared" si="97"/>
        <v>223381.57710641724</v>
      </c>
      <c r="V83" s="29">
        <f t="shared" si="98"/>
        <v>223381.57710641724</v>
      </c>
      <c r="X83" s="25">
        <f t="shared" si="92"/>
        <v>193347.07934420989</v>
      </c>
      <c r="Y83" s="27">
        <f t="shared" si="93"/>
        <v>36735.945075399883</v>
      </c>
      <c r="Z83" s="27">
        <f t="shared" si="99"/>
        <v>230083.02441960978</v>
      </c>
      <c r="AA83" s="29">
        <f t="shared" si="100"/>
        <v>230083.02441960978</v>
      </c>
      <c r="AC83" s="29">
        <f t="shared" si="101"/>
        <v>667431.62940573704</v>
      </c>
    </row>
    <row r="84" spans="1:29" s="6" customFormat="1" ht="44.25" customHeight="1" x14ac:dyDescent="0.3">
      <c r="A84" s="120">
        <v>21</v>
      </c>
      <c r="B84" s="156" t="s">
        <v>165</v>
      </c>
      <c r="C84" s="157"/>
      <c r="D84" s="157"/>
      <c r="E84" s="157"/>
      <c r="F84" s="158"/>
      <c r="G84" s="113" t="s">
        <v>16</v>
      </c>
      <c r="H84" s="113">
        <v>1</v>
      </c>
      <c r="I84" s="83"/>
      <c r="J84" s="104">
        <v>187258.45021800001</v>
      </c>
      <c r="K84" s="13"/>
      <c r="L84" s="105">
        <v>172350</v>
      </c>
      <c r="M84" s="13"/>
      <c r="N84" s="25">
        <f t="shared" si="85"/>
        <v>179804.22510899999</v>
      </c>
      <c r="O84" s="27">
        <f t="shared" si="86"/>
        <v>34162.802770709997</v>
      </c>
      <c r="P84" s="27">
        <f t="shared" si="95"/>
        <v>213967.02787970999</v>
      </c>
      <c r="Q84" s="29">
        <f t="shared" si="96"/>
        <v>213967.02787970999</v>
      </c>
      <c r="S84" s="25">
        <f t="shared" si="88"/>
        <v>187715.61101379601</v>
      </c>
      <c r="T84" s="27">
        <f t="shared" si="89"/>
        <v>35665.966092621238</v>
      </c>
      <c r="U84" s="27">
        <f t="shared" si="97"/>
        <v>223381.57710641724</v>
      </c>
      <c r="V84" s="29">
        <f t="shared" si="98"/>
        <v>223381.57710641724</v>
      </c>
      <c r="X84" s="25">
        <f t="shared" si="92"/>
        <v>193347.07934420989</v>
      </c>
      <c r="Y84" s="27">
        <f t="shared" si="93"/>
        <v>36735.945075399883</v>
      </c>
      <c r="Z84" s="27">
        <f t="shared" si="99"/>
        <v>230083.02441960978</v>
      </c>
      <c r="AA84" s="29">
        <f t="shared" si="100"/>
        <v>230083.02441960978</v>
      </c>
      <c r="AC84" s="29">
        <f t="shared" si="101"/>
        <v>667431.62940573704</v>
      </c>
    </row>
    <row r="85" spans="1:29" s="6" customFormat="1" ht="44.25" customHeight="1" x14ac:dyDescent="0.3">
      <c r="A85" s="120">
        <v>22</v>
      </c>
      <c r="B85" s="156" t="s">
        <v>166</v>
      </c>
      <c r="C85" s="157"/>
      <c r="D85" s="157"/>
      <c r="E85" s="157"/>
      <c r="F85" s="158"/>
      <c r="G85" s="113" t="s">
        <v>16</v>
      </c>
      <c r="H85" s="113">
        <v>1</v>
      </c>
      <c r="I85" s="83"/>
      <c r="J85" s="104">
        <v>664320</v>
      </c>
      <c r="K85" s="13"/>
      <c r="L85" s="105">
        <v>684770</v>
      </c>
      <c r="M85" s="13"/>
      <c r="N85" s="25">
        <f t="shared" si="85"/>
        <v>674545</v>
      </c>
      <c r="O85" s="27">
        <f t="shared" si="86"/>
        <v>128163.55</v>
      </c>
      <c r="P85" s="27">
        <f t="shared" si="95"/>
        <v>802708.55</v>
      </c>
      <c r="Q85" s="29">
        <f t="shared" si="96"/>
        <v>802708.55</v>
      </c>
      <c r="S85" s="25">
        <f t="shared" si="88"/>
        <v>704224.98</v>
      </c>
      <c r="T85" s="27">
        <f t="shared" si="89"/>
        <v>133802.74619999999</v>
      </c>
      <c r="U85" s="27">
        <f t="shared" si="97"/>
        <v>838027.72619999992</v>
      </c>
      <c r="V85" s="29">
        <f t="shared" si="98"/>
        <v>838027.72619999992</v>
      </c>
      <c r="X85" s="25">
        <f t="shared" si="92"/>
        <v>725351.72939999995</v>
      </c>
      <c r="Y85" s="27">
        <f t="shared" si="93"/>
        <v>137816.82858599999</v>
      </c>
      <c r="Z85" s="27">
        <f t="shared" si="99"/>
        <v>863168.55798599997</v>
      </c>
      <c r="AA85" s="29">
        <f t="shared" si="100"/>
        <v>863168.55798599997</v>
      </c>
      <c r="AC85" s="29">
        <f t="shared" si="101"/>
        <v>2503904.8341859998</v>
      </c>
    </row>
    <row r="86" spans="1:29" s="6" customFormat="1" ht="44.25" customHeight="1" x14ac:dyDescent="0.3">
      <c r="A86" s="120">
        <v>23</v>
      </c>
      <c r="B86" s="156" t="s">
        <v>167</v>
      </c>
      <c r="C86" s="157"/>
      <c r="D86" s="157"/>
      <c r="E86" s="157"/>
      <c r="F86" s="158"/>
      <c r="G86" s="113" t="s">
        <v>16</v>
      </c>
      <c r="H86" s="113">
        <v>1</v>
      </c>
      <c r="I86" s="83"/>
      <c r="J86" s="104">
        <v>721200</v>
      </c>
      <c r="K86" s="13"/>
      <c r="L86" s="105">
        <v>781200</v>
      </c>
      <c r="M86" s="13"/>
      <c r="N86" s="25">
        <f t="shared" si="85"/>
        <v>751200</v>
      </c>
      <c r="O86" s="27">
        <f t="shared" si="86"/>
        <v>142728</v>
      </c>
      <c r="P86" s="27">
        <f t="shared" si="95"/>
        <v>893928</v>
      </c>
      <c r="Q86" s="29">
        <f t="shared" si="96"/>
        <v>893928</v>
      </c>
      <c r="S86" s="25">
        <f t="shared" si="88"/>
        <v>784252.8</v>
      </c>
      <c r="T86" s="27">
        <f t="shared" si="89"/>
        <v>149008.03200000001</v>
      </c>
      <c r="U86" s="27">
        <f t="shared" si="97"/>
        <v>933260.83200000005</v>
      </c>
      <c r="V86" s="29">
        <f t="shared" si="98"/>
        <v>933260.83200000005</v>
      </c>
      <c r="X86" s="25">
        <f t="shared" si="92"/>
        <v>807780.38400000008</v>
      </c>
      <c r="Y86" s="27">
        <f t="shared" si="93"/>
        <v>153478.27296000003</v>
      </c>
      <c r="Z86" s="27">
        <f t="shared" si="99"/>
        <v>961258.65696000005</v>
      </c>
      <c r="AA86" s="29">
        <f t="shared" si="100"/>
        <v>961258.65696000005</v>
      </c>
      <c r="AC86" s="29">
        <f t="shared" si="101"/>
        <v>2788447.4889600002</v>
      </c>
    </row>
    <row r="87" spans="1:29" s="6" customFormat="1" ht="44.25" customHeight="1" x14ac:dyDescent="0.3">
      <c r="A87" s="122">
        <v>24</v>
      </c>
      <c r="B87" s="174" t="s">
        <v>193</v>
      </c>
      <c r="C87" s="175"/>
      <c r="D87" s="175"/>
      <c r="E87" s="175"/>
      <c r="F87" s="176"/>
      <c r="G87" s="113" t="s">
        <v>16</v>
      </c>
      <c r="H87" s="113">
        <v>1</v>
      </c>
      <c r="I87" s="83"/>
      <c r="J87" s="104">
        <v>1477584</v>
      </c>
      <c r="K87" s="13"/>
      <c r="L87" s="105">
        <v>1518000</v>
      </c>
      <c r="M87" s="13"/>
      <c r="N87" s="25">
        <f t="shared" si="85"/>
        <v>1497792</v>
      </c>
      <c r="O87" s="27">
        <f t="shared" si="86"/>
        <v>284580.47999999998</v>
      </c>
      <c r="P87" s="27">
        <f t="shared" ref="P87:P90" si="102">+O87+N87</f>
        <v>1782372.48</v>
      </c>
      <c r="Q87" s="29">
        <f t="shared" ref="Q87:Q90" si="103">+P87*H87</f>
        <v>1782372.48</v>
      </c>
      <c r="S87" s="25">
        <f t="shared" si="88"/>
        <v>1563694.848</v>
      </c>
      <c r="T87" s="27">
        <f t="shared" si="89"/>
        <v>297102.02111999999</v>
      </c>
      <c r="U87" s="27">
        <f t="shared" ref="U87:U90" si="104">+T87+S87</f>
        <v>1860796.8691199999</v>
      </c>
      <c r="V87" s="29">
        <f t="shared" ref="V87:V90" si="105">+U87*H87</f>
        <v>1860796.8691199999</v>
      </c>
      <c r="X87" s="25">
        <f t="shared" si="92"/>
        <v>1610605.6934400001</v>
      </c>
      <c r="Y87" s="27">
        <f t="shared" si="93"/>
        <v>306015.08175360004</v>
      </c>
      <c r="Z87" s="27">
        <f t="shared" ref="Z87:Z90" si="106">+Y87+X87</f>
        <v>1916620.7751936</v>
      </c>
      <c r="AA87" s="29">
        <f t="shared" ref="AA87:AA90" si="107">+Z87*H87</f>
        <v>1916620.7751936</v>
      </c>
      <c r="AC87" s="29">
        <f t="shared" si="101"/>
        <v>5559790.1243136004</v>
      </c>
    </row>
    <row r="88" spans="1:29" s="6" customFormat="1" ht="44.25" customHeight="1" x14ac:dyDescent="0.3">
      <c r="A88" s="122">
        <v>25</v>
      </c>
      <c r="B88" s="174" t="s">
        <v>194</v>
      </c>
      <c r="C88" s="175"/>
      <c r="D88" s="175"/>
      <c r="E88" s="175"/>
      <c r="F88" s="176"/>
      <c r="G88" s="113" t="s">
        <v>16</v>
      </c>
      <c r="H88" s="113">
        <v>1</v>
      </c>
      <c r="I88" s="83"/>
      <c r="J88" s="104">
        <v>2331360</v>
      </c>
      <c r="K88" s="13"/>
      <c r="L88" s="105">
        <v>2415800</v>
      </c>
      <c r="M88" s="13"/>
      <c r="N88" s="25">
        <f t="shared" si="85"/>
        <v>2373580</v>
      </c>
      <c r="O88" s="27">
        <f t="shared" si="86"/>
        <v>450980.2</v>
      </c>
      <c r="P88" s="27">
        <f t="shared" si="102"/>
        <v>2824560.2</v>
      </c>
      <c r="Q88" s="29">
        <f t="shared" si="103"/>
        <v>2824560.2</v>
      </c>
      <c r="S88" s="25">
        <f t="shared" si="88"/>
        <v>2478017.52</v>
      </c>
      <c r="T88" s="27">
        <f t="shared" si="89"/>
        <v>470823.32880000002</v>
      </c>
      <c r="U88" s="27">
        <f t="shared" si="104"/>
        <v>2948840.8487999998</v>
      </c>
      <c r="V88" s="29">
        <f t="shared" si="105"/>
        <v>2948840.8487999998</v>
      </c>
      <c r="X88" s="25">
        <f t="shared" si="92"/>
        <v>2552358.0455999998</v>
      </c>
      <c r="Y88" s="27">
        <f t="shared" si="93"/>
        <v>484948.02866399998</v>
      </c>
      <c r="Z88" s="27">
        <f t="shared" si="106"/>
        <v>3037306.0742639997</v>
      </c>
      <c r="AA88" s="29">
        <f t="shared" si="107"/>
        <v>3037306.0742639997</v>
      </c>
      <c r="AC88" s="29">
        <f t="shared" si="101"/>
        <v>8810707.1230640002</v>
      </c>
    </row>
    <row r="89" spans="1:29" s="6" customFormat="1" ht="44.25" customHeight="1" x14ac:dyDescent="0.3">
      <c r="A89" s="122">
        <v>26</v>
      </c>
      <c r="B89" s="174" t="s">
        <v>195</v>
      </c>
      <c r="C89" s="175"/>
      <c r="D89" s="175"/>
      <c r="E89" s="175"/>
      <c r="F89" s="176"/>
      <c r="G89" s="113" t="s">
        <v>16</v>
      </c>
      <c r="H89" s="113">
        <v>1</v>
      </c>
      <c r="I89" s="83"/>
      <c r="J89" s="104">
        <v>685200</v>
      </c>
      <c r="K89" s="13"/>
      <c r="L89" s="105">
        <v>747900</v>
      </c>
      <c r="M89" s="13"/>
      <c r="N89" s="25">
        <f t="shared" si="85"/>
        <v>716550</v>
      </c>
      <c r="O89" s="27">
        <f t="shared" si="86"/>
        <v>136144.5</v>
      </c>
      <c r="P89" s="27">
        <f t="shared" si="102"/>
        <v>852694.5</v>
      </c>
      <c r="Q89" s="29">
        <f t="shared" si="103"/>
        <v>852694.5</v>
      </c>
      <c r="S89" s="25">
        <f t="shared" si="88"/>
        <v>748078.2</v>
      </c>
      <c r="T89" s="27">
        <f t="shared" si="89"/>
        <v>142134.85799999998</v>
      </c>
      <c r="U89" s="27">
        <f t="shared" si="104"/>
        <v>890213.05799999996</v>
      </c>
      <c r="V89" s="29">
        <f t="shared" si="105"/>
        <v>890213.05799999996</v>
      </c>
      <c r="X89" s="25">
        <f t="shared" si="92"/>
        <v>770520.54599999997</v>
      </c>
      <c r="Y89" s="27">
        <f t="shared" si="93"/>
        <v>146398.90374000001</v>
      </c>
      <c r="Z89" s="27">
        <f t="shared" si="106"/>
        <v>916919.44973999995</v>
      </c>
      <c r="AA89" s="29">
        <f t="shared" si="107"/>
        <v>916919.44973999995</v>
      </c>
      <c r="AC89" s="29">
        <f t="shared" si="101"/>
        <v>2659827.0077399998</v>
      </c>
    </row>
    <row r="90" spans="1:29" s="6" customFormat="1" ht="44.25" customHeight="1" x14ac:dyDescent="0.3">
      <c r="A90" s="122">
        <v>27</v>
      </c>
      <c r="B90" s="174" t="s">
        <v>196</v>
      </c>
      <c r="C90" s="175"/>
      <c r="D90" s="175"/>
      <c r="E90" s="175"/>
      <c r="F90" s="176"/>
      <c r="G90" s="113" t="s">
        <v>16</v>
      </c>
      <c r="H90" s="113">
        <v>1</v>
      </c>
      <c r="I90" s="83"/>
      <c r="J90" s="104">
        <v>685200</v>
      </c>
      <c r="K90" s="13"/>
      <c r="L90" s="105">
        <v>847900</v>
      </c>
      <c r="M90" s="13"/>
      <c r="N90" s="25">
        <f t="shared" si="85"/>
        <v>766550</v>
      </c>
      <c r="O90" s="27">
        <f t="shared" si="86"/>
        <v>145644.5</v>
      </c>
      <c r="P90" s="27">
        <f t="shared" si="102"/>
        <v>912194.5</v>
      </c>
      <c r="Q90" s="29">
        <f t="shared" si="103"/>
        <v>912194.5</v>
      </c>
      <c r="S90" s="25">
        <f t="shared" si="88"/>
        <v>800278.2</v>
      </c>
      <c r="T90" s="27">
        <f t="shared" si="89"/>
        <v>152052.85800000001</v>
      </c>
      <c r="U90" s="27">
        <f t="shared" si="104"/>
        <v>952331.05799999996</v>
      </c>
      <c r="V90" s="29">
        <f t="shared" si="105"/>
        <v>952331.05799999996</v>
      </c>
      <c r="X90" s="25">
        <f t="shared" si="92"/>
        <v>824286.54599999997</v>
      </c>
      <c r="Y90" s="27">
        <f t="shared" si="93"/>
        <v>156614.44373999999</v>
      </c>
      <c r="Z90" s="27">
        <f t="shared" si="106"/>
        <v>980900.98973999999</v>
      </c>
      <c r="AA90" s="29">
        <f t="shared" si="107"/>
        <v>980900.98973999999</v>
      </c>
      <c r="AC90" s="29">
        <f t="shared" si="101"/>
        <v>2845426.5477399998</v>
      </c>
    </row>
    <row r="91" spans="1:29" s="6" customFormat="1" ht="44.25" customHeight="1" x14ac:dyDescent="0.3">
      <c r="A91" s="120">
        <v>28</v>
      </c>
      <c r="B91" s="156" t="s">
        <v>168</v>
      </c>
      <c r="C91" s="157"/>
      <c r="D91" s="157"/>
      <c r="E91" s="157"/>
      <c r="F91" s="158"/>
      <c r="G91" s="113" t="s">
        <v>16</v>
      </c>
      <c r="H91" s="113">
        <v>1</v>
      </c>
      <c r="I91" s="83"/>
      <c r="J91" s="104">
        <v>23898717.929288998</v>
      </c>
      <c r="K91" s="13"/>
      <c r="L91" s="105">
        <v>23956000</v>
      </c>
      <c r="M91" s="13"/>
      <c r="N91" s="25">
        <f t="shared" si="85"/>
        <v>23927358.964644499</v>
      </c>
      <c r="O91" s="27">
        <f t="shared" si="86"/>
        <v>4546198.203282455</v>
      </c>
      <c r="P91" s="27">
        <f t="shared" si="95"/>
        <v>28473557.167926952</v>
      </c>
      <c r="Q91" s="29">
        <f t="shared" si="96"/>
        <v>28473557.167926952</v>
      </c>
      <c r="S91" s="25">
        <f t="shared" si="88"/>
        <v>24980162.759088859</v>
      </c>
      <c r="T91" s="27">
        <f t="shared" si="89"/>
        <v>4746230.9242268829</v>
      </c>
      <c r="U91" s="27">
        <f t="shared" si="97"/>
        <v>29726393.683315743</v>
      </c>
      <c r="V91" s="29">
        <f t="shared" si="98"/>
        <v>29726393.683315743</v>
      </c>
      <c r="X91" s="25">
        <f t="shared" si="92"/>
        <v>25729567.641861524</v>
      </c>
      <c r="Y91" s="27">
        <f t="shared" si="93"/>
        <v>4888617.8519536899</v>
      </c>
      <c r="Z91" s="27">
        <f t="shared" si="99"/>
        <v>30618185.493815213</v>
      </c>
      <c r="AA91" s="29">
        <f t="shared" si="100"/>
        <v>30618185.493815213</v>
      </c>
      <c r="AC91" s="29">
        <f t="shared" si="101"/>
        <v>88818136.345057905</v>
      </c>
    </row>
    <row r="92" spans="1:29" s="6" customFormat="1" ht="44.25" customHeight="1" x14ac:dyDescent="0.3">
      <c r="A92" s="120">
        <v>29</v>
      </c>
      <c r="B92" s="156" t="s">
        <v>169</v>
      </c>
      <c r="C92" s="157"/>
      <c r="D92" s="157"/>
      <c r="E92" s="157"/>
      <c r="F92" s="158"/>
      <c r="G92" s="113" t="s">
        <v>16</v>
      </c>
      <c r="H92" s="113">
        <v>1</v>
      </c>
      <c r="I92" s="83"/>
      <c r="J92" s="104">
        <v>17597512.460310999</v>
      </c>
      <c r="K92" s="13"/>
      <c r="L92" s="105">
        <v>17870000</v>
      </c>
      <c r="M92" s="13"/>
      <c r="N92" s="25">
        <f t="shared" si="85"/>
        <v>17733756.230155498</v>
      </c>
      <c r="O92" s="27">
        <f t="shared" si="86"/>
        <v>3369413.6837295447</v>
      </c>
      <c r="P92" s="27">
        <f t="shared" si="95"/>
        <v>21103169.913885042</v>
      </c>
      <c r="Q92" s="29">
        <f t="shared" si="96"/>
        <v>21103169.913885042</v>
      </c>
      <c r="S92" s="25">
        <f t="shared" si="88"/>
        <v>18514041.50428234</v>
      </c>
      <c r="T92" s="27">
        <f t="shared" si="89"/>
        <v>3517667.8858136446</v>
      </c>
      <c r="U92" s="27">
        <f t="shared" si="97"/>
        <v>22031709.390095986</v>
      </c>
      <c r="V92" s="29">
        <f t="shared" si="98"/>
        <v>22031709.390095986</v>
      </c>
      <c r="X92" s="25">
        <f t="shared" si="92"/>
        <v>19069462.749410812</v>
      </c>
      <c r="Y92" s="27">
        <f t="shared" si="93"/>
        <v>3623197.9223880544</v>
      </c>
      <c r="Z92" s="27">
        <f t="shared" si="99"/>
        <v>22692660.671798866</v>
      </c>
      <c r="AA92" s="29">
        <f t="shared" si="100"/>
        <v>22692660.671798866</v>
      </c>
      <c r="AC92" s="29">
        <f t="shared" si="101"/>
        <v>65827539.975779891</v>
      </c>
    </row>
    <row r="93" spans="1:29" s="6" customFormat="1" ht="44.25" customHeight="1" x14ac:dyDescent="0.3">
      <c r="A93" s="120">
        <v>30</v>
      </c>
      <c r="B93" s="156" t="s">
        <v>170</v>
      </c>
      <c r="C93" s="157"/>
      <c r="D93" s="157"/>
      <c r="E93" s="157"/>
      <c r="F93" s="158"/>
      <c r="G93" s="113" t="s">
        <v>16</v>
      </c>
      <c r="H93" s="113">
        <v>1</v>
      </c>
      <c r="I93" s="83"/>
      <c r="J93" s="104">
        <v>952052.05654999998</v>
      </c>
      <c r="K93" s="13"/>
      <c r="L93" s="105">
        <v>856000</v>
      </c>
      <c r="M93" s="13"/>
      <c r="N93" s="25">
        <f t="shared" si="85"/>
        <v>904026.02827499993</v>
      </c>
      <c r="O93" s="27">
        <f t="shared" si="86"/>
        <v>171764.94537224999</v>
      </c>
      <c r="P93" s="27">
        <f t="shared" si="95"/>
        <v>1075790.9736472499</v>
      </c>
      <c r="Q93" s="29">
        <f t="shared" si="96"/>
        <v>1075790.9736472499</v>
      </c>
      <c r="S93" s="25">
        <f t="shared" si="88"/>
        <v>943803.17351909995</v>
      </c>
      <c r="T93" s="27">
        <f t="shared" si="89"/>
        <v>179322.60296862898</v>
      </c>
      <c r="U93" s="27">
        <f t="shared" si="97"/>
        <v>1123125.776487729</v>
      </c>
      <c r="V93" s="29">
        <f t="shared" si="98"/>
        <v>1123125.776487729</v>
      </c>
      <c r="X93" s="25">
        <f t="shared" si="92"/>
        <v>972117.26872467296</v>
      </c>
      <c r="Y93" s="27">
        <f t="shared" si="93"/>
        <v>184702.28105768785</v>
      </c>
      <c r="Z93" s="27">
        <f t="shared" si="99"/>
        <v>1156819.5497823609</v>
      </c>
      <c r="AA93" s="29">
        <f t="shared" si="100"/>
        <v>1156819.5497823609</v>
      </c>
      <c r="AC93" s="29">
        <f t="shared" si="101"/>
        <v>3355736.2999173398</v>
      </c>
    </row>
    <row r="94" spans="1:29" s="6" customFormat="1" ht="44.25" customHeight="1" x14ac:dyDescent="0.3">
      <c r="A94" s="120">
        <v>31</v>
      </c>
      <c r="B94" s="156" t="s">
        <v>171</v>
      </c>
      <c r="C94" s="157"/>
      <c r="D94" s="157"/>
      <c r="E94" s="157"/>
      <c r="F94" s="158"/>
      <c r="G94" s="113" t="s">
        <v>16</v>
      </c>
      <c r="H94" s="113">
        <v>1</v>
      </c>
      <c r="I94" s="83"/>
      <c r="J94" s="104">
        <v>952052.05654999998</v>
      </c>
      <c r="K94" s="13"/>
      <c r="L94" s="105">
        <v>856000</v>
      </c>
      <c r="M94" s="13"/>
      <c r="N94" s="25">
        <f t="shared" si="85"/>
        <v>904026.02827499993</v>
      </c>
      <c r="O94" s="27">
        <f t="shared" si="86"/>
        <v>171764.94537224999</v>
      </c>
      <c r="P94" s="27">
        <f t="shared" si="95"/>
        <v>1075790.9736472499</v>
      </c>
      <c r="Q94" s="29">
        <f t="shared" si="96"/>
        <v>1075790.9736472499</v>
      </c>
      <c r="S94" s="25">
        <f t="shared" si="88"/>
        <v>943803.17351909995</v>
      </c>
      <c r="T94" s="27">
        <f t="shared" si="89"/>
        <v>179322.60296862898</v>
      </c>
      <c r="U94" s="27">
        <f t="shared" si="97"/>
        <v>1123125.776487729</v>
      </c>
      <c r="V94" s="29">
        <f t="shared" si="98"/>
        <v>1123125.776487729</v>
      </c>
      <c r="X94" s="25">
        <f t="shared" si="92"/>
        <v>972117.26872467296</v>
      </c>
      <c r="Y94" s="27">
        <f t="shared" si="93"/>
        <v>184702.28105768785</v>
      </c>
      <c r="Z94" s="27">
        <f t="shared" si="99"/>
        <v>1156819.5497823609</v>
      </c>
      <c r="AA94" s="29">
        <f t="shared" si="100"/>
        <v>1156819.5497823609</v>
      </c>
      <c r="AC94" s="29">
        <f t="shared" si="101"/>
        <v>3355736.2999173398</v>
      </c>
    </row>
    <row r="95" spans="1:29" s="6" customFormat="1" ht="44.25" customHeight="1" x14ac:dyDescent="0.3">
      <c r="A95" s="120">
        <v>32</v>
      </c>
      <c r="B95" s="156" t="s">
        <v>172</v>
      </c>
      <c r="C95" s="157"/>
      <c r="D95" s="157"/>
      <c r="E95" s="157"/>
      <c r="F95" s="158"/>
      <c r="G95" s="113" t="s">
        <v>16</v>
      </c>
      <c r="H95" s="113">
        <v>1</v>
      </c>
      <c r="I95" s="83"/>
      <c r="J95" s="104">
        <v>950135.67460000003</v>
      </c>
      <c r="K95" s="13"/>
      <c r="L95" s="105">
        <v>886600</v>
      </c>
      <c r="M95" s="13"/>
      <c r="N95" s="25">
        <f t="shared" si="85"/>
        <v>918367.83730000001</v>
      </c>
      <c r="O95" s="27">
        <f t="shared" si="86"/>
        <v>174489.88908700002</v>
      </c>
      <c r="P95" s="27">
        <f t="shared" si="95"/>
        <v>1092857.7263869999</v>
      </c>
      <c r="Q95" s="29">
        <f t="shared" si="96"/>
        <v>1092857.7263869999</v>
      </c>
      <c r="S95" s="25">
        <f t="shared" si="88"/>
        <v>958776.02214120002</v>
      </c>
      <c r="T95" s="27">
        <f t="shared" si="89"/>
        <v>182167.44420682802</v>
      </c>
      <c r="U95" s="27">
        <f t="shared" si="97"/>
        <v>1140943.466348028</v>
      </c>
      <c r="V95" s="29">
        <f t="shared" si="98"/>
        <v>1140943.466348028</v>
      </c>
      <c r="X95" s="25">
        <f t="shared" si="92"/>
        <v>987539.30280543608</v>
      </c>
      <c r="Y95" s="27">
        <f t="shared" si="93"/>
        <v>187632.46753303285</v>
      </c>
      <c r="Z95" s="27">
        <f t="shared" si="99"/>
        <v>1175171.770338469</v>
      </c>
      <c r="AA95" s="29">
        <f t="shared" si="100"/>
        <v>1175171.770338469</v>
      </c>
      <c r="AC95" s="29">
        <f t="shared" si="101"/>
        <v>3408972.9630734967</v>
      </c>
    </row>
    <row r="96" spans="1:29" s="6" customFormat="1" ht="44.25" customHeight="1" thickBot="1" x14ac:dyDescent="0.35">
      <c r="A96" s="121">
        <v>33</v>
      </c>
      <c r="B96" s="163" t="s">
        <v>173</v>
      </c>
      <c r="C96" s="164"/>
      <c r="D96" s="164"/>
      <c r="E96" s="164"/>
      <c r="F96" s="165"/>
      <c r="G96" s="113" t="s">
        <v>16</v>
      </c>
      <c r="H96" s="113">
        <v>1</v>
      </c>
      <c r="I96" s="83"/>
      <c r="J96" s="104">
        <v>637768.01523400005</v>
      </c>
      <c r="K96" s="13"/>
      <c r="L96" s="106">
        <v>692000</v>
      </c>
      <c r="M96" s="13"/>
      <c r="N96" s="25">
        <f t="shared" si="85"/>
        <v>664884.00761700002</v>
      </c>
      <c r="O96" s="27">
        <f t="shared" si="86"/>
        <v>126327.96144723</v>
      </c>
      <c r="P96" s="27">
        <f t="shared" ref="P96:P105" si="108">+O96+N96</f>
        <v>791211.96906422998</v>
      </c>
      <c r="Q96" s="29">
        <f t="shared" ref="Q96:Q105" si="109">+P96*H96</f>
        <v>791211.96906422998</v>
      </c>
      <c r="S96" s="25">
        <f t="shared" si="88"/>
        <v>694138.90395214804</v>
      </c>
      <c r="T96" s="27">
        <f t="shared" si="89"/>
        <v>131886.39175090814</v>
      </c>
      <c r="U96" s="27">
        <f t="shared" ref="U96:U105" si="110">+T96+S96</f>
        <v>826025.29570305615</v>
      </c>
      <c r="V96" s="29">
        <f t="shared" ref="V96:V105" si="111">+U96*H96</f>
        <v>826025.29570305615</v>
      </c>
      <c r="X96" s="25">
        <f t="shared" si="92"/>
        <v>714963.07107071253</v>
      </c>
      <c r="Y96" s="27">
        <f t="shared" si="93"/>
        <v>135842.98350343539</v>
      </c>
      <c r="Z96" s="27">
        <f t="shared" ref="Z96:Z105" si="112">+Y96+X96</f>
        <v>850806.05457414791</v>
      </c>
      <c r="AA96" s="29">
        <f t="shared" ref="AA96:AA105" si="113">+Z96*H96</f>
        <v>850806.05457414791</v>
      </c>
      <c r="AC96" s="29">
        <f t="shared" ref="AC96" si="114">+AA96+V96+Q96</f>
        <v>2468043.3193414342</v>
      </c>
    </row>
    <row r="97" spans="1:29" s="6" customFormat="1" ht="44.25" customHeight="1" thickBot="1" x14ac:dyDescent="0.35">
      <c r="A97" s="131">
        <v>34</v>
      </c>
      <c r="B97" s="156" t="s">
        <v>197</v>
      </c>
      <c r="C97" s="157"/>
      <c r="D97" s="157"/>
      <c r="E97" s="157"/>
      <c r="F97" s="158"/>
      <c r="G97" s="113" t="s">
        <v>16</v>
      </c>
      <c r="H97" s="113">
        <v>1</v>
      </c>
      <c r="I97" s="83"/>
      <c r="J97" s="104">
        <v>1163298.78</v>
      </c>
      <c r="K97" s="13"/>
      <c r="L97" s="106">
        <v>950000</v>
      </c>
      <c r="M97" s="13"/>
      <c r="N97" s="25">
        <f t="shared" si="85"/>
        <v>1056649.3900000001</v>
      </c>
      <c r="O97" s="27">
        <f t="shared" si="86"/>
        <v>200763.38410000002</v>
      </c>
      <c r="P97" s="27">
        <f t="shared" si="108"/>
        <v>1257412.7741</v>
      </c>
      <c r="Q97" s="29">
        <f t="shared" si="109"/>
        <v>1257412.7741</v>
      </c>
      <c r="S97" s="25">
        <f t="shared" si="88"/>
        <v>1103141.96316</v>
      </c>
      <c r="T97" s="27">
        <f t="shared" si="89"/>
        <v>209596.9730004</v>
      </c>
      <c r="U97" s="27">
        <f t="shared" si="110"/>
        <v>1312738.9361604</v>
      </c>
      <c r="V97" s="29">
        <f t="shared" si="111"/>
        <v>1312738.9361604</v>
      </c>
      <c r="X97" s="25">
        <f t="shared" si="92"/>
        <v>1136236.2220548</v>
      </c>
      <c r="Y97" s="27">
        <f t="shared" si="93"/>
        <v>215884.882190412</v>
      </c>
      <c r="Z97" s="27">
        <f t="shared" si="112"/>
        <v>1352121.1042452119</v>
      </c>
      <c r="AA97" s="29">
        <f t="shared" si="113"/>
        <v>1352121.1042452119</v>
      </c>
      <c r="AC97" s="29">
        <f t="shared" si="101"/>
        <v>3922272.814505612</v>
      </c>
    </row>
    <row r="98" spans="1:29" s="6" customFormat="1" ht="44.25" customHeight="1" thickBot="1" x14ac:dyDescent="0.35">
      <c r="A98" s="131">
        <v>35</v>
      </c>
      <c r="B98" s="156" t="s">
        <v>198</v>
      </c>
      <c r="C98" s="157"/>
      <c r="D98" s="157"/>
      <c r="E98" s="157"/>
      <c r="F98" s="158"/>
      <c r="G98" s="113" t="s">
        <v>16</v>
      </c>
      <c r="H98" s="113">
        <v>1</v>
      </c>
      <c r="I98" s="83"/>
      <c r="J98" s="104">
        <v>75570.95</v>
      </c>
      <c r="K98" s="13"/>
      <c r="L98" s="106">
        <v>75000</v>
      </c>
      <c r="M98" s="13"/>
      <c r="N98" s="25">
        <f t="shared" si="85"/>
        <v>75285.475000000006</v>
      </c>
      <c r="O98" s="27">
        <f t="shared" si="86"/>
        <v>14304.240250000001</v>
      </c>
      <c r="P98" s="27">
        <f t="shared" si="108"/>
        <v>89589.715250000008</v>
      </c>
      <c r="Q98" s="29">
        <f t="shared" si="109"/>
        <v>89589.715250000008</v>
      </c>
      <c r="S98" s="25">
        <f t="shared" si="88"/>
        <v>78598.035900000003</v>
      </c>
      <c r="T98" s="27">
        <f t="shared" si="89"/>
        <v>14933.626821</v>
      </c>
      <c r="U98" s="27">
        <f t="shared" si="110"/>
        <v>93531.662721000001</v>
      </c>
      <c r="V98" s="29">
        <f t="shared" si="111"/>
        <v>93531.662721000001</v>
      </c>
      <c r="X98" s="25">
        <f t="shared" si="92"/>
        <v>80955.976976999998</v>
      </c>
      <c r="Y98" s="27">
        <f t="shared" si="93"/>
        <v>15381.635625630001</v>
      </c>
      <c r="Z98" s="27">
        <f t="shared" si="112"/>
        <v>96337.612602630004</v>
      </c>
      <c r="AA98" s="29">
        <f t="shared" si="113"/>
        <v>96337.612602630004</v>
      </c>
      <c r="AC98" s="29">
        <f t="shared" si="101"/>
        <v>279458.99057363003</v>
      </c>
    </row>
    <row r="99" spans="1:29" s="6" customFormat="1" ht="44.25" customHeight="1" thickBot="1" x14ac:dyDescent="0.35">
      <c r="A99" s="131">
        <v>36</v>
      </c>
      <c r="B99" s="156" t="s">
        <v>199</v>
      </c>
      <c r="C99" s="157"/>
      <c r="D99" s="157"/>
      <c r="E99" s="157"/>
      <c r="F99" s="158"/>
      <c r="G99" s="113" t="s">
        <v>16</v>
      </c>
      <c r="H99" s="113">
        <v>1</v>
      </c>
      <c r="I99" s="83"/>
      <c r="J99" s="104">
        <v>311705.03000000003</v>
      </c>
      <c r="K99" s="13"/>
      <c r="L99" s="106">
        <v>355000</v>
      </c>
      <c r="M99" s="13"/>
      <c r="N99" s="25">
        <f t="shared" si="85"/>
        <v>333352.51500000001</v>
      </c>
      <c r="O99" s="27">
        <f t="shared" si="86"/>
        <v>63336.977850000003</v>
      </c>
      <c r="P99" s="27">
        <f t="shared" si="108"/>
        <v>396689.49285000004</v>
      </c>
      <c r="Q99" s="29">
        <f t="shared" si="109"/>
        <v>396689.49285000004</v>
      </c>
      <c r="S99" s="25">
        <f t="shared" si="88"/>
        <v>348020.02566000004</v>
      </c>
      <c r="T99" s="27">
        <f t="shared" si="89"/>
        <v>66123.804875400005</v>
      </c>
      <c r="U99" s="27">
        <f t="shared" si="110"/>
        <v>414143.83053540008</v>
      </c>
      <c r="V99" s="29">
        <f t="shared" si="111"/>
        <v>414143.83053540008</v>
      </c>
      <c r="X99" s="25">
        <f t="shared" si="92"/>
        <v>358460.62642980006</v>
      </c>
      <c r="Y99" s="27">
        <f t="shared" si="93"/>
        <v>68107.51902166201</v>
      </c>
      <c r="Z99" s="27">
        <f t="shared" si="112"/>
        <v>426568.14545146207</v>
      </c>
      <c r="AA99" s="29">
        <f t="shared" si="113"/>
        <v>426568.14545146207</v>
      </c>
      <c r="AC99" s="29">
        <f t="shared" si="101"/>
        <v>1237401.4688368621</v>
      </c>
    </row>
    <row r="100" spans="1:29" s="6" customFormat="1" ht="44.25" customHeight="1" thickBot="1" x14ac:dyDescent="0.35">
      <c r="A100" s="131">
        <v>37</v>
      </c>
      <c r="B100" s="156" t="s">
        <v>200</v>
      </c>
      <c r="C100" s="157"/>
      <c r="D100" s="157"/>
      <c r="E100" s="157"/>
      <c r="F100" s="158"/>
      <c r="G100" s="113" t="s">
        <v>16</v>
      </c>
      <c r="H100" s="113">
        <v>1</v>
      </c>
      <c r="I100" s="83"/>
      <c r="J100" s="104">
        <v>330217.86</v>
      </c>
      <c r="K100" s="13"/>
      <c r="L100" s="106">
        <v>362500</v>
      </c>
      <c r="M100" s="13"/>
      <c r="N100" s="25">
        <f t="shared" si="85"/>
        <v>346358.93</v>
      </c>
      <c r="O100" s="27">
        <f t="shared" si="86"/>
        <v>65808.1967</v>
      </c>
      <c r="P100" s="27">
        <f t="shared" si="108"/>
        <v>412167.12670000002</v>
      </c>
      <c r="Q100" s="29">
        <f t="shared" si="109"/>
        <v>412167.12670000002</v>
      </c>
      <c r="S100" s="25">
        <f t="shared" si="88"/>
        <v>361598.72291999997</v>
      </c>
      <c r="T100" s="27">
        <f t="shared" si="89"/>
        <v>68703.757354799993</v>
      </c>
      <c r="U100" s="27">
        <f t="shared" si="110"/>
        <v>430302.48027479998</v>
      </c>
      <c r="V100" s="29">
        <f t="shared" si="111"/>
        <v>430302.48027479998</v>
      </c>
      <c r="X100" s="25">
        <f t="shared" si="92"/>
        <v>372446.68460759998</v>
      </c>
      <c r="Y100" s="27">
        <f t="shared" si="93"/>
        <v>70764.870075443992</v>
      </c>
      <c r="Z100" s="27">
        <f t="shared" si="112"/>
        <v>443211.55468304397</v>
      </c>
      <c r="AA100" s="29">
        <f t="shared" si="113"/>
        <v>443211.55468304397</v>
      </c>
      <c r="AC100" s="29">
        <f t="shared" si="101"/>
        <v>1285681.161657844</v>
      </c>
    </row>
    <row r="101" spans="1:29" s="6" customFormat="1" ht="44.25" customHeight="1" thickBot="1" x14ac:dyDescent="0.35">
      <c r="A101" s="131">
        <v>38</v>
      </c>
      <c r="B101" s="156" t="s">
        <v>201</v>
      </c>
      <c r="C101" s="157"/>
      <c r="D101" s="157"/>
      <c r="E101" s="157"/>
      <c r="F101" s="158"/>
      <c r="G101" s="113" t="s">
        <v>16</v>
      </c>
      <c r="H101" s="113">
        <v>1</v>
      </c>
      <c r="I101" s="83"/>
      <c r="J101" s="104">
        <v>499846.41</v>
      </c>
      <c r="K101" s="13"/>
      <c r="L101" s="106">
        <v>525000</v>
      </c>
      <c r="M101" s="13"/>
      <c r="N101" s="25">
        <f t="shared" si="85"/>
        <v>512423.20499999996</v>
      </c>
      <c r="O101" s="27">
        <f t="shared" si="86"/>
        <v>97360.408949999997</v>
      </c>
      <c r="P101" s="27">
        <f t="shared" si="108"/>
        <v>609783.61394999991</v>
      </c>
      <c r="Q101" s="29">
        <f t="shared" si="109"/>
        <v>609783.61394999991</v>
      </c>
      <c r="S101" s="25">
        <f t="shared" si="88"/>
        <v>534969.82601999992</v>
      </c>
      <c r="T101" s="27">
        <f t="shared" si="89"/>
        <v>101644.26694379999</v>
      </c>
      <c r="U101" s="27">
        <f t="shared" si="110"/>
        <v>636614.09296379995</v>
      </c>
      <c r="V101" s="29">
        <f t="shared" si="111"/>
        <v>636614.09296379995</v>
      </c>
      <c r="X101" s="25">
        <f t="shared" si="92"/>
        <v>551018.92080059997</v>
      </c>
      <c r="Y101" s="27">
        <f t="shared" si="93"/>
        <v>104693.594952114</v>
      </c>
      <c r="Z101" s="27">
        <f t="shared" si="112"/>
        <v>655712.51575271401</v>
      </c>
      <c r="AA101" s="29">
        <f t="shared" si="113"/>
        <v>655712.51575271401</v>
      </c>
      <c r="AC101" s="29">
        <f t="shared" si="101"/>
        <v>1902110.2226665139</v>
      </c>
    </row>
    <row r="102" spans="1:29" s="6" customFormat="1" ht="44.25" customHeight="1" thickBot="1" x14ac:dyDescent="0.35">
      <c r="A102" s="131">
        <v>39</v>
      </c>
      <c r="B102" s="156" t="s">
        <v>202</v>
      </c>
      <c r="C102" s="157"/>
      <c r="D102" s="157"/>
      <c r="E102" s="157"/>
      <c r="F102" s="158"/>
      <c r="G102" s="113" t="s">
        <v>16</v>
      </c>
      <c r="H102" s="113">
        <v>1</v>
      </c>
      <c r="I102" s="83"/>
      <c r="J102" s="104">
        <v>2340000</v>
      </c>
      <c r="K102" s="13"/>
      <c r="L102" s="106">
        <v>2395000</v>
      </c>
      <c r="M102" s="13"/>
      <c r="N102" s="25">
        <f t="shared" ref="N102:N105" si="115">AVERAGE(J102,L102)</f>
        <v>2367500</v>
      </c>
      <c r="O102" s="27">
        <f t="shared" ref="O102:O105" si="116">(N102*19%)</f>
        <v>449825</v>
      </c>
      <c r="P102" s="27">
        <f t="shared" si="108"/>
        <v>2817325</v>
      </c>
      <c r="Q102" s="29">
        <f t="shared" si="109"/>
        <v>2817325</v>
      </c>
      <c r="S102" s="25">
        <f t="shared" ref="S102:S105" si="117">N102+(N102*4.4%)</f>
        <v>2471670</v>
      </c>
      <c r="T102" s="27">
        <f t="shared" ref="T102:T105" si="118">S102*19%</f>
        <v>469617.3</v>
      </c>
      <c r="U102" s="27">
        <f t="shared" si="110"/>
        <v>2941287.3</v>
      </c>
      <c r="V102" s="29">
        <f t="shared" si="111"/>
        <v>2941287.3</v>
      </c>
      <c r="X102" s="25">
        <f t="shared" ref="X102:X105" si="119">S102+(S102*3%)</f>
        <v>2545820.1</v>
      </c>
      <c r="Y102" s="27">
        <f t="shared" ref="Y102:Y105" si="120">X102*19%</f>
        <v>483705.81900000002</v>
      </c>
      <c r="Z102" s="27">
        <f t="shared" si="112"/>
        <v>3029525.9190000002</v>
      </c>
      <c r="AA102" s="29">
        <f t="shared" si="113"/>
        <v>3029525.9190000002</v>
      </c>
      <c r="AC102" s="29">
        <f t="shared" ref="AC102:AC105" si="121">+AA102+V102+Q102</f>
        <v>8788138.2190000005</v>
      </c>
    </row>
    <row r="103" spans="1:29" s="6" customFormat="1" ht="44.25" customHeight="1" thickBot="1" x14ac:dyDescent="0.35">
      <c r="A103" s="131">
        <v>40</v>
      </c>
      <c r="B103" s="156" t="s">
        <v>206</v>
      </c>
      <c r="C103" s="157"/>
      <c r="D103" s="157"/>
      <c r="E103" s="157"/>
      <c r="F103" s="158"/>
      <c r="G103" s="113" t="s">
        <v>16</v>
      </c>
      <c r="H103" s="113">
        <v>1</v>
      </c>
      <c r="I103" s="83"/>
      <c r="J103" s="104">
        <v>2325000</v>
      </c>
      <c r="K103" s="13"/>
      <c r="L103" s="106">
        <v>2325000</v>
      </c>
      <c r="M103" s="13"/>
      <c r="N103" s="25">
        <f t="shared" si="115"/>
        <v>2325000</v>
      </c>
      <c r="O103" s="27">
        <f t="shared" si="116"/>
        <v>441750</v>
      </c>
      <c r="P103" s="27">
        <f t="shared" si="108"/>
        <v>2766750</v>
      </c>
      <c r="Q103" s="29">
        <f t="shared" si="109"/>
        <v>2766750</v>
      </c>
      <c r="S103" s="25">
        <f t="shared" si="117"/>
        <v>2427300</v>
      </c>
      <c r="T103" s="27">
        <f t="shared" si="118"/>
        <v>461187</v>
      </c>
      <c r="U103" s="27">
        <f t="shared" si="110"/>
        <v>2888487</v>
      </c>
      <c r="V103" s="29">
        <f t="shared" si="111"/>
        <v>2888487</v>
      </c>
      <c r="X103" s="25">
        <f t="shared" si="119"/>
        <v>2500119</v>
      </c>
      <c r="Y103" s="27">
        <f t="shared" si="120"/>
        <v>475022.61</v>
      </c>
      <c r="Z103" s="27">
        <f t="shared" si="112"/>
        <v>2975141.61</v>
      </c>
      <c r="AA103" s="29">
        <f t="shared" si="113"/>
        <v>2975141.61</v>
      </c>
      <c r="AC103" s="29">
        <f t="shared" si="121"/>
        <v>8630378.6099999994</v>
      </c>
    </row>
    <row r="104" spans="1:29" s="6" customFormat="1" ht="44.25" customHeight="1" thickBot="1" x14ac:dyDescent="0.35">
      <c r="A104" s="131">
        <v>41</v>
      </c>
      <c r="B104" s="156" t="s">
        <v>207</v>
      </c>
      <c r="C104" s="157"/>
      <c r="D104" s="157"/>
      <c r="E104" s="157"/>
      <c r="F104" s="158"/>
      <c r="G104" s="113" t="s">
        <v>16</v>
      </c>
      <c r="H104" s="113">
        <v>1</v>
      </c>
      <c r="I104" s="83"/>
      <c r="J104" s="104">
        <v>2968000</v>
      </c>
      <c r="K104" s="13"/>
      <c r="L104" s="106">
        <v>2968000</v>
      </c>
      <c r="M104" s="13"/>
      <c r="N104" s="25">
        <f t="shared" si="115"/>
        <v>2968000</v>
      </c>
      <c r="O104" s="27">
        <f t="shared" si="116"/>
        <v>563920</v>
      </c>
      <c r="P104" s="27">
        <f t="shared" si="108"/>
        <v>3531920</v>
      </c>
      <c r="Q104" s="29">
        <f t="shared" si="109"/>
        <v>3531920</v>
      </c>
      <c r="S104" s="25">
        <f t="shared" si="117"/>
        <v>3098592</v>
      </c>
      <c r="T104" s="27">
        <f t="shared" si="118"/>
        <v>588732.48</v>
      </c>
      <c r="U104" s="27">
        <f t="shared" si="110"/>
        <v>3687324.48</v>
      </c>
      <c r="V104" s="29">
        <f t="shared" si="111"/>
        <v>3687324.48</v>
      </c>
      <c r="X104" s="25">
        <f t="shared" si="119"/>
        <v>3191549.76</v>
      </c>
      <c r="Y104" s="27">
        <f t="shared" si="120"/>
        <v>606394.45439999993</v>
      </c>
      <c r="Z104" s="27">
        <f t="shared" si="112"/>
        <v>3797944.2143999999</v>
      </c>
      <c r="AA104" s="29">
        <f t="shared" si="113"/>
        <v>3797944.2143999999</v>
      </c>
      <c r="AC104" s="29">
        <f t="shared" si="121"/>
        <v>11017188.694399999</v>
      </c>
    </row>
    <row r="105" spans="1:29" s="6" customFormat="1" ht="44.25" customHeight="1" thickBot="1" x14ac:dyDescent="0.35">
      <c r="A105" s="131">
        <v>42</v>
      </c>
      <c r="B105" s="163" t="s">
        <v>208</v>
      </c>
      <c r="C105" s="164"/>
      <c r="D105" s="164"/>
      <c r="E105" s="164"/>
      <c r="F105" s="165"/>
      <c r="G105" s="113" t="s">
        <v>16</v>
      </c>
      <c r="H105" s="113">
        <v>1</v>
      </c>
      <c r="I105" s="83"/>
      <c r="J105" s="104">
        <v>2968000</v>
      </c>
      <c r="K105" s="13"/>
      <c r="L105" s="106">
        <v>2968000</v>
      </c>
      <c r="M105" s="13"/>
      <c r="N105" s="25">
        <f t="shared" si="115"/>
        <v>2968000</v>
      </c>
      <c r="O105" s="27">
        <f t="shared" si="116"/>
        <v>563920</v>
      </c>
      <c r="P105" s="27">
        <f t="shared" si="108"/>
        <v>3531920</v>
      </c>
      <c r="Q105" s="29">
        <f t="shared" si="109"/>
        <v>3531920</v>
      </c>
      <c r="S105" s="25">
        <f t="shared" si="117"/>
        <v>3098592</v>
      </c>
      <c r="T105" s="27">
        <f t="shared" si="118"/>
        <v>588732.48</v>
      </c>
      <c r="U105" s="27">
        <f t="shared" si="110"/>
        <v>3687324.48</v>
      </c>
      <c r="V105" s="29">
        <f t="shared" si="111"/>
        <v>3687324.48</v>
      </c>
      <c r="X105" s="25">
        <f t="shared" si="119"/>
        <v>3191549.76</v>
      </c>
      <c r="Y105" s="27">
        <f t="shared" si="120"/>
        <v>606394.45439999993</v>
      </c>
      <c r="Z105" s="27">
        <f t="shared" si="112"/>
        <v>3797944.2143999999</v>
      </c>
      <c r="AA105" s="29">
        <f t="shared" si="113"/>
        <v>3797944.2143999999</v>
      </c>
      <c r="AC105" s="29">
        <f t="shared" si="121"/>
        <v>11017188.694399999</v>
      </c>
    </row>
    <row r="106" spans="1:29" s="6" customFormat="1" ht="45.75" customHeight="1" x14ac:dyDescent="0.3">
      <c r="A106" s="147" t="s">
        <v>17</v>
      </c>
      <c r="B106" s="147"/>
      <c r="C106" s="147"/>
      <c r="D106" s="147"/>
      <c r="E106" s="147"/>
      <c r="F106" s="147"/>
      <c r="G106" s="147"/>
      <c r="H106" s="147"/>
      <c r="I106" s="81"/>
      <c r="J106" s="119"/>
      <c r="K106" s="14"/>
      <c r="L106" s="118"/>
      <c r="M106" s="14"/>
      <c r="N106" s="15"/>
      <c r="O106" s="15"/>
      <c r="Q106" s="32">
        <f>SUM(Q64:Q105)</f>
        <v>83345761.919043869</v>
      </c>
      <c r="S106" s="15"/>
      <c r="T106" s="15"/>
      <c r="V106" s="32">
        <f>SUM(V64:V105)</f>
        <v>87012975.443481758</v>
      </c>
      <c r="X106" s="15"/>
      <c r="Y106" s="15"/>
      <c r="AA106" s="32">
        <f>SUM(AA64:AA105)</f>
        <v>89623364.706786245</v>
      </c>
      <c r="AC106" s="32">
        <f>SUM(AC64:AC105)</f>
        <v>259982102.06931192</v>
      </c>
    </row>
    <row r="107" spans="1:29" s="6" customFormat="1" ht="43.5" customHeight="1" x14ac:dyDescent="0.3">
      <c r="A107" s="172" t="s">
        <v>177</v>
      </c>
      <c r="B107" s="172"/>
      <c r="C107" s="172"/>
      <c r="D107" s="172"/>
      <c r="E107" s="172"/>
      <c r="F107" s="172"/>
      <c r="G107" s="172"/>
      <c r="H107" s="172"/>
      <c r="I107" s="84"/>
      <c r="J107" s="84"/>
      <c r="K107" s="14"/>
      <c r="L107" s="14"/>
      <c r="M107" s="14"/>
      <c r="O107" s="9"/>
      <c r="Q107" s="62">
        <f>+Q61</f>
        <v>32069499.028914127</v>
      </c>
      <c r="S107" s="9"/>
      <c r="T107" s="9"/>
      <c r="V107" s="62">
        <f>+V61</f>
        <v>439360527.66659468</v>
      </c>
      <c r="X107" s="9"/>
      <c r="Y107" s="9"/>
      <c r="AA107" s="62">
        <f>+AA61</f>
        <v>418056369.80082065</v>
      </c>
      <c r="AC107" s="62">
        <f>+AC61</f>
        <v>889486396.49632907</v>
      </c>
    </row>
    <row r="108" spans="1:29" s="6" customFormat="1" ht="16.5" x14ac:dyDescent="0.3">
      <c r="D108" s="7"/>
      <c r="E108" s="7"/>
      <c r="F108" s="7"/>
      <c r="G108" s="7"/>
      <c r="H108" s="8"/>
      <c r="I108" s="8"/>
      <c r="J108" s="8"/>
      <c r="K108" s="8"/>
      <c r="L108" s="8"/>
      <c r="M108" s="8"/>
      <c r="N108" s="9"/>
      <c r="O108" s="9"/>
      <c r="P108" s="9"/>
      <c r="Q108" s="30"/>
    </row>
    <row r="110" spans="1:29" ht="16.5" x14ac:dyDescent="0.3">
      <c r="B110" s="40" t="s">
        <v>20</v>
      </c>
      <c r="C110" s="40"/>
      <c r="D110" s="41"/>
      <c r="E110" s="41"/>
      <c r="F110" s="41"/>
      <c r="G110" s="41"/>
      <c r="H110" s="41"/>
      <c r="I110" s="41"/>
      <c r="J110" s="41"/>
      <c r="K110" s="41"/>
      <c r="L110" s="41"/>
      <c r="M110" s="41"/>
      <c r="N110" s="9"/>
    </row>
    <row r="111" spans="1:29" ht="26.25" customHeight="1" x14ac:dyDescent="0.2">
      <c r="B111" s="161" t="s">
        <v>174</v>
      </c>
      <c r="C111" s="161"/>
      <c r="D111" s="161"/>
      <c r="E111" s="161"/>
      <c r="F111" s="161"/>
      <c r="G111" s="161"/>
      <c r="H111" s="161"/>
      <c r="I111" s="161"/>
      <c r="J111" s="161"/>
      <c r="K111" s="161"/>
      <c r="L111" s="161"/>
      <c r="M111" s="161"/>
      <c r="N111" s="161"/>
      <c r="O111" s="66"/>
      <c r="P111" s="66"/>
      <c r="Q111" s="66"/>
      <c r="R111" s="66"/>
      <c r="S111" s="66"/>
      <c r="T111" s="66"/>
    </row>
    <row r="112" spans="1:29" ht="26.25" customHeight="1" x14ac:dyDescent="0.2">
      <c r="B112" s="161" t="s">
        <v>33</v>
      </c>
      <c r="C112" s="161"/>
      <c r="D112" s="161"/>
      <c r="E112" s="161"/>
      <c r="F112" s="161"/>
      <c r="G112" s="161"/>
      <c r="H112" s="161"/>
      <c r="I112" s="161"/>
      <c r="J112" s="161"/>
      <c r="K112" s="161"/>
      <c r="L112" s="161"/>
      <c r="M112" s="161"/>
      <c r="N112" s="161"/>
      <c r="O112" s="66"/>
      <c r="P112" s="66"/>
      <c r="Q112" s="66"/>
      <c r="R112" s="66"/>
      <c r="S112" s="66"/>
      <c r="T112" s="66"/>
    </row>
    <row r="113" spans="2:24" ht="39.75" customHeight="1" x14ac:dyDescent="0.2">
      <c r="B113" s="173" t="s">
        <v>204</v>
      </c>
      <c r="C113" s="173"/>
      <c r="D113" s="173"/>
      <c r="E113" s="173"/>
      <c r="F113" s="173"/>
      <c r="G113" s="173"/>
      <c r="H113" s="173"/>
      <c r="I113" s="173"/>
      <c r="J113" s="173"/>
      <c r="K113" s="173"/>
      <c r="L113" s="173"/>
      <c r="M113" s="173"/>
      <c r="N113" s="173"/>
    </row>
    <row r="114" spans="2:24" ht="45.75" customHeight="1" x14ac:dyDescent="0.2">
      <c r="B114" s="173" t="s">
        <v>24</v>
      </c>
      <c r="C114" s="173"/>
      <c r="D114" s="173"/>
      <c r="E114" s="173"/>
      <c r="F114" s="173"/>
      <c r="G114" s="173"/>
      <c r="H114" s="173"/>
      <c r="I114" s="173"/>
      <c r="J114" s="173"/>
      <c r="K114" s="173"/>
      <c r="L114" s="173"/>
      <c r="M114" s="173"/>
      <c r="N114" s="173"/>
    </row>
    <row r="116" spans="2:24" s="67" customFormat="1" ht="16.5" x14ac:dyDescent="0.3">
      <c r="B116" s="162" t="s">
        <v>211</v>
      </c>
      <c r="C116" s="162"/>
      <c r="D116" s="162"/>
      <c r="E116" s="162"/>
      <c r="F116" s="34"/>
      <c r="G116" s="34"/>
      <c r="H116" s="34"/>
      <c r="I116" s="34"/>
      <c r="J116" s="34"/>
      <c r="K116" s="34"/>
      <c r="L116" s="34"/>
      <c r="M116" s="34"/>
      <c r="N116" s="34"/>
      <c r="O116" s="34"/>
      <c r="P116" s="34"/>
      <c r="Q116" s="34"/>
      <c r="R116" s="34"/>
      <c r="S116" s="34"/>
      <c r="T116" s="34"/>
      <c r="U116" s="68"/>
      <c r="V116" s="68"/>
      <c r="W116" s="69"/>
      <c r="X116" s="69"/>
    </row>
    <row r="117" spans="2:24" s="61" customFormat="1" ht="16.5" x14ac:dyDescent="0.3">
      <c r="B117" s="159" t="s">
        <v>210</v>
      </c>
      <c r="C117" s="159"/>
      <c r="D117" s="36"/>
      <c r="E117" s="36"/>
      <c r="F117" s="34"/>
      <c r="G117" s="34"/>
      <c r="H117" s="34"/>
      <c r="I117" s="34"/>
      <c r="J117" s="34"/>
      <c r="K117" s="34"/>
      <c r="L117" s="34"/>
      <c r="M117" s="34"/>
      <c r="N117" s="34"/>
      <c r="O117" s="34"/>
      <c r="P117" s="34"/>
      <c r="Q117" s="34"/>
      <c r="R117" s="34"/>
      <c r="S117" s="34"/>
      <c r="T117" s="34"/>
      <c r="U117" s="68"/>
      <c r="V117" s="68"/>
      <c r="W117" s="35"/>
      <c r="X117" s="35"/>
    </row>
    <row r="118" spans="2:24" s="61" customFormat="1" ht="16.5" x14ac:dyDescent="0.3">
      <c r="B118" s="37"/>
      <c r="C118" s="37"/>
      <c r="D118" s="37"/>
      <c r="E118" s="37"/>
      <c r="F118" s="38"/>
      <c r="G118" s="38"/>
      <c r="H118" s="38"/>
      <c r="I118" s="38"/>
      <c r="J118" s="38"/>
      <c r="K118" s="38"/>
      <c r="L118" s="38"/>
      <c r="M118" s="38"/>
      <c r="N118" s="38"/>
      <c r="O118" s="38"/>
      <c r="P118" s="38"/>
      <c r="Q118" s="38"/>
      <c r="R118" s="38"/>
      <c r="S118" s="38"/>
      <c r="T118" s="38"/>
      <c r="U118" s="68"/>
      <c r="V118" s="68"/>
      <c r="W118" s="35"/>
      <c r="X118" s="35"/>
    </row>
    <row r="119" spans="2:24" s="61" customFormat="1" ht="16.5" x14ac:dyDescent="0.3">
      <c r="B119" s="37"/>
      <c r="C119" s="37"/>
      <c r="D119" s="37"/>
      <c r="E119" s="37"/>
      <c r="F119" s="38"/>
      <c r="G119" s="38"/>
      <c r="H119" s="38"/>
      <c r="I119" s="38"/>
      <c r="J119" s="38"/>
      <c r="K119" s="38"/>
      <c r="L119" s="38"/>
      <c r="M119" s="38"/>
      <c r="N119" s="38"/>
      <c r="O119" s="38"/>
      <c r="P119" s="38"/>
      <c r="Q119" s="38"/>
      <c r="R119" s="38"/>
      <c r="S119" s="38"/>
      <c r="T119" s="38"/>
      <c r="U119" s="68"/>
      <c r="V119" s="68"/>
      <c r="W119" s="35"/>
      <c r="X119" s="35"/>
    </row>
    <row r="120" spans="2:24" s="61" customFormat="1" ht="16.5" x14ac:dyDescent="0.3">
      <c r="B120" s="37"/>
      <c r="C120" s="37"/>
      <c r="D120" s="37"/>
      <c r="E120" s="37"/>
      <c r="F120" s="38"/>
      <c r="G120" s="38"/>
      <c r="H120" s="38"/>
      <c r="I120" s="38"/>
      <c r="J120" s="38"/>
      <c r="K120" s="38"/>
      <c r="L120" s="38"/>
      <c r="M120" s="38"/>
      <c r="N120" s="38"/>
      <c r="O120" s="38"/>
      <c r="P120" s="38"/>
      <c r="Q120" s="38"/>
      <c r="R120" s="38"/>
      <c r="S120" s="38"/>
      <c r="T120" s="38"/>
      <c r="U120" s="68"/>
      <c r="V120" s="68"/>
      <c r="W120" s="35"/>
      <c r="X120" s="35"/>
    </row>
    <row r="121" spans="2:24" s="61" customFormat="1" ht="16.5" x14ac:dyDescent="0.3">
      <c r="B121" s="37"/>
      <c r="C121" s="37"/>
      <c r="D121" s="37"/>
      <c r="E121" s="37"/>
      <c r="F121" s="38"/>
      <c r="G121" s="38"/>
      <c r="H121" s="38"/>
      <c r="I121" s="38"/>
      <c r="J121" s="38"/>
      <c r="K121" s="38"/>
      <c r="L121" s="38"/>
      <c r="M121" s="38"/>
      <c r="N121" s="38"/>
      <c r="O121" s="38"/>
      <c r="P121" s="38"/>
      <c r="Q121" s="38"/>
      <c r="R121" s="38"/>
      <c r="S121" s="38"/>
      <c r="T121" s="38"/>
      <c r="U121" s="68"/>
      <c r="V121" s="68"/>
      <c r="W121" s="35"/>
      <c r="X121" s="35"/>
    </row>
    <row r="122" spans="2:24" s="61" customFormat="1" ht="16.5" x14ac:dyDescent="0.3">
      <c r="B122" s="37"/>
      <c r="C122" s="37"/>
      <c r="D122" s="37"/>
      <c r="E122" s="37"/>
      <c r="F122" s="38"/>
      <c r="G122" s="38"/>
      <c r="H122" s="38"/>
      <c r="I122" s="38"/>
      <c r="J122" s="38"/>
      <c r="K122" s="38"/>
      <c r="L122" s="38"/>
      <c r="M122" s="38"/>
      <c r="N122" s="38"/>
      <c r="O122" s="38"/>
      <c r="P122" s="38"/>
      <c r="Q122" s="38"/>
      <c r="R122" s="38"/>
      <c r="S122" s="38"/>
      <c r="T122" s="38"/>
      <c r="U122" s="68"/>
      <c r="V122" s="68"/>
      <c r="W122" s="35"/>
      <c r="X122" s="35"/>
    </row>
    <row r="123" spans="2:24" s="61" customFormat="1" ht="16.5" x14ac:dyDescent="0.3">
      <c r="B123" s="39"/>
      <c r="C123" s="39"/>
      <c r="D123" s="37"/>
      <c r="E123" s="37"/>
      <c r="F123" s="38"/>
      <c r="G123" s="38"/>
      <c r="H123" s="38"/>
      <c r="I123" s="38"/>
      <c r="J123" s="38"/>
      <c r="K123" s="38"/>
      <c r="L123" s="38"/>
      <c r="M123" s="38"/>
      <c r="N123" s="38"/>
      <c r="O123" s="38"/>
      <c r="P123" s="38"/>
      <c r="Q123" s="38"/>
      <c r="R123" s="38"/>
      <c r="S123" s="38"/>
      <c r="T123" s="38"/>
      <c r="U123" s="68"/>
      <c r="V123" s="68"/>
      <c r="W123" s="35"/>
      <c r="X123" s="35"/>
    </row>
    <row r="124" spans="2:24" s="61" customFormat="1" ht="16.5" x14ac:dyDescent="0.3">
      <c r="B124" s="39"/>
      <c r="C124" s="39"/>
      <c r="D124" s="37"/>
      <c r="E124" s="37"/>
      <c r="F124" s="38"/>
      <c r="G124" s="38"/>
      <c r="H124" s="38"/>
      <c r="I124" s="38"/>
      <c r="J124" s="38"/>
      <c r="K124" s="38"/>
      <c r="L124" s="38"/>
      <c r="M124" s="38"/>
      <c r="N124" s="38"/>
      <c r="O124" s="38"/>
      <c r="P124" s="38"/>
      <c r="Q124" s="38"/>
      <c r="R124" s="38"/>
      <c r="S124" s="38"/>
      <c r="T124" s="38"/>
      <c r="U124" s="68"/>
      <c r="V124" s="68"/>
      <c r="W124" s="35"/>
      <c r="X124" s="35"/>
    </row>
  </sheetData>
  <mergeCells count="65">
    <mergeCell ref="B103:F103"/>
    <mergeCell ref="B104:F104"/>
    <mergeCell ref="B94:F94"/>
    <mergeCell ref="B95:F95"/>
    <mergeCell ref="B105:F105"/>
    <mergeCell ref="B97:F97"/>
    <mergeCell ref="B98:F98"/>
    <mergeCell ref="B99:F99"/>
    <mergeCell ref="B100:F100"/>
    <mergeCell ref="B101:F101"/>
    <mergeCell ref="B102:F102"/>
    <mergeCell ref="B86:F86"/>
    <mergeCell ref="B91:F91"/>
    <mergeCell ref="B92:F92"/>
    <mergeCell ref="B93:F93"/>
    <mergeCell ref="B96:F96"/>
    <mergeCell ref="B87:F87"/>
    <mergeCell ref="B88:F88"/>
    <mergeCell ref="B89:F89"/>
    <mergeCell ref="B90:F90"/>
    <mergeCell ref="B81:F81"/>
    <mergeCell ref="B82:F82"/>
    <mergeCell ref="B83:F83"/>
    <mergeCell ref="B84:F84"/>
    <mergeCell ref="B85:F85"/>
    <mergeCell ref="A61:H61"/>
    <mergeCell ref="B64:F64"/>
    <mergeCell ref="B65:F65"/>
    <mergeCell ref="B66:F66"/>
    <mergeCell ref="B67:F67"/>
    <mergeCell ref="A62:H62"/>
    <mergeCell ref="B63:F63"/>
    <mergeCell ref="B116:C116"/>
    <mergeCell ref="D116:E116"/>
    <mergeCell ref="B117:C117"/>
    <mergeCell ref="B111:N111"/>
    <mergeCell ref="B112:N112"/>
    <mergeCell ref="B114:N114"/>
    <mergeCell ref="A106:H106"/>
    <mergeCell ref="A107:H107"/>
    <mergeCell ref="B113:N113"/>
    <mergeCell ref="B68:F68"/>
    <mergeCell ref="B69:F69"/>
    <mergeCell ref="B70:F70"/>
    <mergeCell ref="B71:F71"/>
    <mergeCell ref="B72:F72"/>
    <mergeCell ref="B73:F73"/>
    <mergeCell ref="B74:F74"/>
    <mergeCell ref="B75:F75"/>
    <mergeCell ref="B76:F76"/>
    <mergeCell ref="B77:F77"/>
    <mergeCell ref="B78:F78"/>
    <mergeCell ref="B79:F79"/>
    <mergeCell ref="B80:F80"/>
    <mergeCell ref="A1:AC1"/>
    <mergeCell ref="A2:B2"/>
    <mergeCell ref="C2:AC2"/>
    <mergeCell ref="A5:H5"/>
    <mergeCell ref="N5:Q5"/>
    <mergeCell ref="S5:V5"/>
    <mergeCell ref="X5:AA5"/>
    <mergeCell ref="A4:H4"/>
    <mergeCell ref="L4:L5"/>
    <mergeCell ref="N4:AC4"/>
    <mergeCell ref="J4:J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123"/>
  <sheetViews>
    <sheetView zoomScale="77" zoomScaleNormal="77" workbookViewId="0">
      <selection sqref="A1:R1"/>
    </sheetView>
  </sheetViews>
  <sheetFormatPr baseColWidth="10" defaultColWidth="9.140625" defaultRowHeight="12.75" x14ac:dyDescent="0.2"/>
  <cols>
    <col min="1" max="1" width="10.7109375" style="16" customWidth="1"/>
    <col min="2" max="2" width="60.140625" style="16" customWidth="1"/>
    <col min="3" max="3" width="21.7109375" style="16" customWidth="1"/>
    <col min="4" max="7" width="16.140625" style="17" customWidth="1"/>
    <col min="8" max="8" width="19.140625" style="18" customWidth="1"/>
    <col min="9" max="9" width="3.42578125" style="18" customWidth="1"/>
    <col min="10" max="10" width="20.85546875" style="18" customWidth="1"/>
    <col min="11" max="11" width="3.7109375" style="18" customWidth="1"/>
    <col min="12" max="13" width="10.7109375" style="18" customWidth="1"/>
    <col min="14" max="14" width="3.7109375" style="18" customWidth="1"/>
    <col min="15" max="17" width="18" style="19" customWidth="1"/>
    <col min="18" max="18" width="19.42578125" style="31" customWidth="1"/>
    <col min="19" max="252" width="9.140625" style="16"/>
    <col min="253" max="253" width="10.7109375" style="16" customWidth="1"/>
    <col min="254" max="254" width="60.140625" style="16" customWidth="1"/>
    <col min="255" max="255" width="27.5703125" style="16" customWidth="1"/>
    <col min="256" max="256" width="16.140625" style="16" customWidth="1"/>
    <col min="257" max="257" width="22.85546875" style="16" customWidth="1"/>
    <col min="258" max="258" width="3.7109375" style="16" customWidth="1"/>
    <col min="259" max="265" width="0" style="16" hidden="1" customWidth="1"/>
    <col min="266" max="266" width="3.140625" style="16" customWidth="1"/>
    <col min="267" max="268" width="19.42578125" style="16" customWidth="1"/>
    <col min="269" max="269" width="23.28515625" style="16" customWidth="1"/>
    <col min="270" max="270" width="19.5703125" style="16" customWidth="1"/>
    <col min="271" max="271" width="9.140625" style="16"/>
    <col min="272" max="272" width="18.7109375" style="16" customWidth="1"/>
    <col min="273" max="508" width="9.140625" style="16"/>
    <col min="509" max="509" width="10.7109375" style="16" customWidth="1"/>
    <col min="510" max="510" width="60.140625" style="16" customWidth="1"/>
    <col min="511" max="511" width="27.5703125" style="16" customWidth="1"/>
    <col min="512" max="512" width="16.140625" style="16" customWidth="1"/>
    <col min="513" max="513" width="22.85546875" style="16" customWidth="1"/>
    <col min="514" max="514" width="3.7109375" style="16" customWidth="1"/>
    <col min="515" max="521" width="0" style="16" hidden="1" customWidth="1"/>
    <col min="522" max="522" width="3.140625" style="16" customWidth="1"/>
    <col min="523" max="524" width="19.42578125" style="16" customWidth="1"/>
    <col min="525" max="525" width="23.28515625" style="16" customWidth="1"/>
    <col min="526" max="526" width="19.5703125" style="16" customWidth="1"/>
    <col min="527" max="527" width="9.140625" style="16"/>
    <col min="528" max="528" width="18.7109375" style="16" customWidth="1"/>
    <col min="529" max="764" width="9.140625" style="16"/>
    <col min="765" max="765" width="10.7109375" style="16" customWidth="1"/>
    <col min="766" max="766" width="60.140625" style="16" customWidth="1"/>
    <col min="767" max="767" width="27.5703125" style="16" customWidth="1"/>
    <col min="768" max="768" width="16.140625" style="16" customWidth="1"/>
    <col min="769" max="769" width="22.85546875" style="16" customWidth="1"/>
    <col min="770" max="770" width="3.7109375" style="16" customWidth="1"/>
    <col min="771" max="777" width="0" style="16" hidden="1" customWidth="1"/>
    <col min="778" max="778" width="3.140625" style="16" customWidth="1"/>
    <col min="779" max="780" width="19.42578125" style="16" customWidth="1"/>
    <col min="781" max="781" width="23.28515625" style="16" customWidth="1"/>
    <col min="782" max="782" width="19.5703125" style="16" customWidth="1"/>
    <col min="783" max="783" width="9.140625" style="16"/>
    <col min="784" max="784" width="18.7109375" style="16" customWidth="1"/>
    <col min="785" max="1020" width="9.140625" style="16"/>
    <col min="1021" max="1021" width="10.7109375" style="16" customWidth="1"/>
    <col min="1022" max="1022" width="60.140625" style="16" customWidth="1"/>
    <col min="1023" max="1023" width="27.5703125" style="16" customWidth="1"/>
    <col min="1024" max="1024" width="16.140625" style="16" customWidth="1"/>
    <col min="1025" max="1025" width="22.85546875" style="16" customWidth="1"/>
    <col min="1026" max="1026" width="3.7109375" style="16" customWidth="1"/>
    <col min="1027" max="1033" width="0" style="16" hidden="1" customWidth="1"/>
    <col min="1034" max="1034" width="3.140625" style="16" customWidth="1"/>
    <col min="1035" max="1036" width="19.42578125" style="16" customWidth="1"/>
    <col min="1037" max="1037" width="23.28515625" style="16" customWidth="1"/>
    <col min="1038" max="1038" width="19.5703125" style="16" customWidth="1"/>
    <col min="1039" max="1039" width="9.140625" style="16"/>
    <col min="1040" max="1040" width="18.7109375" style="16" customWidth="1"/>
    <col min="1041" max="1276" width="9.140625" style="16"/>
    <col min="1277" max="1277" width="10.7109375" style="16" customWidth="1"/>
    <col min="1278" max="1278" width="60.140625" style="16" customWidth="1"/>
    <col min="1279" max="1279" width="27.5703125" style="16" customWidth="1"/>
    <col min="1280" max="1280" width="16.140625" style="16" customWidth="1"/>
    <col min="1281" max="1281" width="22.85546875" style="16" customWidth="1"/>
    <col min="1282" max="1282" width="3.7109375" style="16" customWidth="1"/>
    <col min="1283" max="1289" width="0" style="16" hidden="1" customWidth="1"/>
    <col min="1290" max="1290" width="3.140625" style="16" customWidth="1"/>
    <col min="1291" max="1292" width="19.42578125" style="16" customWidth="1"/>
    <col min="1293" max="1293" width="23.28515625" style="16" customWidth="1"/>
    <col min="1294" max="1294" width="19.5703125" style="16" customWidth="1"/>
    <col min="1295" max="1295" width="9.140625" style="16"/>
    <col min="1296" max="1296" width="18.7109375" style="16" customWidth="1"/>
    <col min="1297" max="1532" width="9.140625" style="16"/>
    <col min="1533" max="1533" width="10.7109375" style="16" customWidth="1"/>
    <col min="1534" max="1534" width="60.140625" style="16" customWidth="1"/>
    <col min="1535" max="1535" width="27.5703125" style="16" customWidth="1"/>
    <col min="1536" max="1536" width="16.140625" style="16" customWidth="1"/>
    <col min="1537" max="1537" width="22.85546875" style="16" customWidth="1"/>
    <col min="1538" max="1538" width="3.7109375" style="16" customWidth="1"/>
    <col min="1539" max="1545" width="0" style="16" hidden="1" customWidth="1"/>
    <col min="1546" max="1546" width="3.140625" style="16" customWidth="1"/>
    <col min="1547" max="1548" width="19.42578125" style="16" customWidth="1"/>
    <col min="1549" max="1549" width="23.28515625" style="16" customWidth="1"/>
    <col min="1550" max="1550" width="19.5703125" style="16" customWidth="1"/>
    <col min="1551" max="1551" width="9.140625" style="16"/>
    <col min="1552" max="1552" width="18.7109375" style="16" customWidth="1"/>
    <col min="1553" max="1788" width="9.140625" style="16"/>
    <col min="1789" max="1789" width="10.7109375" style="16" customWidth="1"/>
    <col min="1790" max="1790" width="60.140625" style="16" customWidth="1"/>
    <col min="1791" max="1791" width="27.5703125" style="16" customWidth="1"/>
    <col min="1792" max="1792" width="16.140625" style="16" customWidth="1"/>
    <col min="1793" max="1793" width="22.85546875" style="16" customWidth="1"/>
    <col min="1794" max="1794" width="3.7109375" style="16" customWidth="1"/>
    <col min="1795" max="1801" width="0" style="16" hidden="1" customWidth="1"/>
    <col min="1802" max="1802" width="3.140625" style="16" customWidth="1"/>
    <col min="1803" max="1804" width="19.42578125" style="16" customWidth="1"/>
    <col min="1805" max="1805" width="23.28515625" style="16" customWidth="1"/>
    <col min="1806" max="1806" width="19.5703125" style="16" customWidth="1"/>
    <col min="1807" max="1807" width="9.140625" style="16"/>
    <col min="1808" max="1808" width="18.7109375" style="16" customWidth="1"/>
    <col min="1809" max="2044" width="9.140625" style="16"/>
    <col min="2045" max="2045" width="10.7109375" style="16" customWidth="1"/>
    <col min="2046" max="2046" width="60.140625" style="16" customWidth="1"/>
    <col min="2047" max="2047" width="27.5703125" style="16" customWidth="1"/>
    <col min="2048" max="2048" width="16.140625" style="16" customWidth="1"/>
    <col min="2049" max="2049" width="22.85546875" style="16" customWidth="1"/>
    <col min="2050" max="2050" width="3.7109375" style="16" customWidth="1"/>
    <col min="2051" max="2057" width="0" style="16" hidden="1" customWidth="1"/>
    <col min="2058" max="2058" width="3.140625" style="16" customWidth="1"/>
    <col min="2059" max="2060" width="19.42578125" style="16" customWidth="1"/>
    <col min="2061" max="2061" width="23.28515625" style="16" customWidth="1"/>
    <col min="2062" max="2062" width="19.5703125" style="16" customWidth="1"/>
    <col min="2063" max="2063" width="9.140625" style="16"/>
    <col min="2064" max="2064" width="18.7109375" style="16" customWidth="1"/>
    <col min="2065" max="2300" width="9.140625" style="16"/>
    <col min="2301" max="2301" width="10.7109375" style="16" customWidth="1"/>
    <col min="2302" max="2302" width="60.140625" style="16" customWidth="1"/>
    <col min="2303" max="2303" width="27.5703125" style="16" customWidth="1"/>
    <col min="2304" max="2304" width="16.140625" style="16" customWidth="1"/>
    <col min="2305" max="2305" width="22.85546875" style="16" customWidth="1"/>
    <col min="2306" max="2306" width="3.7109375" style="16" customWidth="1"/>
    <col min="2307" max="2313" width="0" style="16" hidden="1" customWidth="1"/>
    <col min="2314" max="2314" width="3.140625" style="16" customWidth="1"/>
    <col min="2315" max="2316" width="19.42578125" style="16" customWidth="1"/>
    <col min="2317" max="2317" width="23.28515625" style="16" customWidth="1"/>
    <col min="2318" max="2318" width="19.5703125" style="16" customWidth="1"/>
    <col min="2319" max="2319" width="9.140625" style="16"/>
    <col min="2320" max="2320" width="18.7109375" style="16" customWidth="1"/>
    <col min="2321" max="2556" width="9.140625" style="16"/>
    <col min="2557" max="2557" width="10.7109375" style="16" customWidth="1"/>
    <col min="2558" max="2558" width="60.140625" style="16" customWidth="1"/>
    <col min="2559" max="2559" width="27.5703125" style="16" customWidth="1"/>
    <col min="2560" max="2560" width="16.140625" style="16" customWidth="1"/>
    <col min="2561" max="2561" width="22.85546875" style="16" customWidth="1"/>
    <col min="2562" max="2562" width="3.7109375" style="16" customWidth="1"/>
    <col min="2563" max="2569" width="0" style="16" hidden="1" customWidth="1"/>
    <col min="2570" max="2570" width="3.140625" style="16" customWidth="1"/>
    <col min="2571" max="2572" width="19.42578125" style="16" customWidth="1"/>
    <col min="2573" max="2573" width="23.28515625" style="16" customWidth="1"/>
    <col min="2574" max="2574" width="19.5703125" style="16" customWidth="1"/>
    <col min="2575" max="2575" width="9.140625" style="16"/>
    <col min="2576" max="2576" width="18.7109375" style="16" customWidth="1"/>
    <col min="2577" max="2812" width="9.140625" style="16"/>
    <col min="2813" max="2813" width="10.7109375" style="16" customWidth="1"/>
    <col min="2814" max="2814" width="60.140625" style="16" customWidth="1"/>
    <col min="2815" max="2815" width="27.5703125" style="16" customWidth="1"/>
    <col min="2816" max="2816" width="16.140625" style="16" customWidth="1"/>
    <col min="2817" max="2817" width="22.85546875" style="16" customWidth="1"/>
    <col min="2818" max="2818" width="3.7109375" style="16" customWidth="1"/>
    <col min="2819" max="2825" width="0" style="16" hidden="1" customWidth="1"/>
    <col min="2826" max="2826" width="3.140625" style="16" customWidth="1"/>
    <col min="2827" max="2828" width="19.42578125" style="16" customWidth="1"/>
    <col min="2829" max="2829" width="23.28515625" style="16" customWidth="1"/>
    <col min="2830" max="2830" width="19.5703125" style="16" customWidth="1"/>
    <col min="2831" max="2831" width="9.140625" style="16"/>
    <col min="2832" max="2832" width="18.7109375" style="16" customWidth="1"/>
    <col min="2833" max="3068" width="9.140625" style="16"/>
    <col min="3069" max="3069" width="10.7109375" style="16" customWidth="1"/>
    <col min="3070" max="3070" width="60.140625" style="16" customWidth="1"/>
    <col min="3071" max="3071" width="27.5703125" style="16" customWidth="1"/>
    <col min="3072" max="3072" width="16.140625" style="16" customWidth="1"/>
    <col min="3073" max="3073" width="22.85546875" style="16" customWidth="1"/>
    <col min="3074" max="3074" width="3.7109375" style="16" customWidth="1"/>
    <col min="3075" max="3081" width="0" style="16" hidden="1" customWidth="1"/>
    <col min="3082" max="3082" width="3.140625" style="16" customWidth="1"/>
    <col min="3083" max="3084" width="19.42578125" style="16" customWidth="1"/>
    <col min="3085" max="3085" width="23.28515625" style="16" customWidth="1"/>
    <col min="3086" max="3086" width="19.5703125" style="16" customWidth="1"/>
    <col min="3087" max="3087" width="9.140625" style="16"/>
    <col min="3088" max="3088" width="18.7109375" style="16" customWidth="1"/>
    <col min="3089" max="3324" width="9.140625" style="16"/>
    <col min="3325" max="3325" width="10.7109375" style="16" customWidth="1"/>
    <col min="3326" max="3326" width="60.140625" style="16" customWidth="1"/>
    <col min="3327" max="3327" width="27.5703125" style="16" customWidth="1"/>
    <col min="3328" max="3328" width="16.140625" style="16" customWidth="1"/>
    <col min="3329" max="3329" width="22.85546875" style="16" customWidth="1"/>
    <col min="3330" max="3330" width="3.7109375" style="16" customWidth="1"/>
    <col min="3331" max="3337" width="0" style="16" hidden="1" customWidth="1"/>
    <col min="3338" max="3338" width="3.140625" style="16" customWidth="1"/>
    <col min="3339" max="3340" width="19.42578125" style="16" customWidth="1"/>
    <col min="3341" max="3341" width="23.28515625" style="16" customWidth="1"/>
    <col min="3342" max="3342" width="19.5703125" style="16" customWidth="1"/>
    <col min="3343" max="3343" width="9.140625" style="16"/>
    <col min="3344" max="3344" width="18.7109375" style="16" customWidth="1"/>
    <col min="3345" max="3580" width="9.140625" style="16"/>
    <col min="3581" max="3581" width="10.7109375" style="16" customWidth="1"/>
    <col min="3582" max="3582" width="60.140625" style="16" customWidth="1"/>
    <col min="3583" max="3583" width="27.5703125" style="16" customWidth="1"/>
    <col min="3584" max="3584" width="16.140625" style="16" customWidth="1"/>
    <col min="3585" max="3585" width="22.85546875" style="16" customWidth="1"/>
    <col min="3586" max="3586" width="3.7109375" style="16" customWidth="1"/>
    <col min="3587" max="3593" width="0" style="16" hidden="1" customWidth="1"/>
    <col min="3594" max="3594" width="3.140625" style="16" customWidth="1"/>
    <col min="3595" max="3596" width="19.42578125" style="16" customWidth="1"/>
    <col min="3597" max="3597" width="23.28515625" style="16" customWidth="1"/>
    <col min="3598" max="3598" width="19.5703125" style="16" customWidth="1"/>
    <col min="3599" max="3599" width="9.140625" style="16"/>
    <col min="3600" max="3600" width="18.7109375" style="16" customWidth="1"/>
    <col min="3601" max="3836" width="9.140625" style="16"/>
    <col min="3837" max="3837" width="10.7109375" style="16" customWidth="1"/>
    <col min="3838" max="3838" width="60.140625" style="16" customWidth="1"/>
    <col min="3839" max="3839" width="27.5703125" style="16" customWidth="1"/>
    <col min="3840" max="3840" width="16.140625" style="16" customWidth="1"/>
    <col min="3841" max="3841" width="22.85546875" style="16" customWidth="1"/>
    <col min="3842" max="3842" width="3.7109375" style="16" customWidth="1"/>
    <col min="3843" max="3849" width="0" style="16" hidden="1" customWidth="1"/>
    <col min="3850" max="3850" width="3.140625" style="16" customWidth="1"/>
    <col min="3851" max="3852" width="19.42578125" style="16" customWidth="1"/>
    <col min="3853" max="3853" width="23.28515625" style="16" customWidth="1"/>
    <col min="3854" max="3854" width="19.5703125" style="16" customWidth="1"/>
    <col min="3855" max="3855" width="9.140625" style="16"/>
    <col min="3856" max="3856" width="18.7109375" style="16" customWidth="1"/>
    <col min="3857" max="4092" width="9.140625" style="16"/>
    <col min="4093" max="4093" width="10.7109375" style="16" customWidth="1"/>
    <col min="4094" max="4094" width="60.140625" style="16" customWidth="1"/>
    <col min="4095" max="4095" width="27.5703125" style="16" customWidth="1"/>
    <col min="4096" max="4096" width="16.140625" style="16" customWidth="1"/>
    <col min="4097" max="4097" width="22.85546875" style="16" customWidth="1"/>
    <col min="4098" max="4098" width="3.7109375" style="16" customWidth="1"/>
    <col min="4099" max="4105" width="0" style="16" hidden="1" customWidth="1"/>
    <col min="4106" max="4106" width="3.140625" style="16" customWidth="1"/>
    <col min="4107" max="4108" width="19.42578125" style="16" customWidth="1"/>
    <col min="4109" max="4109" width="23.28515625" style="16" customWidth="1"/>
    <col min="4110" max="4110" width="19.5703125" style="16" customWidth="1"/>
    <col min="4111" max="4111" width="9.140625" style="16"/>
    <col min="4112" max="4112" width="18.7109375" style="16" customWidth="1"/>
    <col min="4113" max="4348" width="9.140625" style="16"/>
    <col min="4349" max="4349" width="10.7109375" style="16" customWidth="1"/>
    <col min="4350" max="4350" width="60.140625" style="16" customWidth="1"/>
    <col min="4351" max="4351" width="27.5703125" style="16" customWidth="1"/>
    <col min="4352" max="4352" width="16.140625" style="16" customWidth="1"/>
    <col min="4353" max="4353" width="22.85546875" style="16" customWidth="1"/>
    <col min="4354" max="4354" width="3.7109375" style="16" customWidth="1"/>
    <col min="4355" max="4361" width="0" style="16" hidden="1" customWidth="1"/>
    <col min="4362" max="4362" width="3.140625" style="16" customWidth="1"/>
    <col min="4363" max="4364" width="19.42578125" style="16" customWidth="1"/>
    <col min="4365" max="4365" width="23.28515625" style="16" customWidth="1"/>
    <col min="4366" max="4366" width="19.5703125" style="16" customWidth="1"/>
    <col min="4367" max="4367" width="9.140625" style="16"/>
    <col min="4368" max="4368" width="18.7109375" style="16" customWidth="1"/>
    <col min="4369" max="4604" width="9.140625" style="16"/>
    <col min="4605" max="4605" width="10.7109375" style="16" customWidth="1"/>
    <col min="4606" max="4606" width="60.140625" style="16" customWidth="1"/>
    <col min="4607" max="4607" width="27.5703125" style="16" customWidth="1"/>
    <col min="4608" max="4608" width="16.140625" style="16" customWidth="1"/>
    <col min="4609" max="4609" width="22.85546875" style="16" customWidth="1"/>
    <col min="4610" max="4610" width="3.7109375" style="16" customWidth="1"/>
    <col min="4611" max="4617" width="0" style="16" hidden="1" customWidth="1"/>
    <col min="4618" max="4618" width="3.140625" style="16" customWidth="1"/>
    <col min="4619" max="4620" width="19.42578125" style="16" customWidth="1"/>
    <col min="4621" max="4621" width="23.28515625" style="16" customWidth="1"/>
    <col min="4622" max="4622" width="19.5703125" style="16" customWidth="1"/>
    <col min="4623" max="4623" width="9.140625" style="16"/>
    <col min="4624" max="4624" width="18.7109375" style="16" customWidth="1"/>
    <col min="4625" max="4860" width="9.140625" style="16"/>
    <col min="4861" max="4861" width="10.7109375" style="16" customWidth="1"/>
    <col min="4862" max="4862" width="60.140625" style="16" customWidth="1"/>
    <col min="4863" max="4863" width="27.5703125" style="16" customWidth="1"/>
    <col min="4864" max="4864" width="16.140625" style="16" customWidth="1"/>
    <col min="4865" max="4865" width="22.85546875" style="16" customWidth="1"/>
    <col min="4866" max="4866" width="3.7109375" style="16" customWidth="1"/>
    <col min="4867" max="4873" width="0" style="16" hidden="1" customWidth="1"/>
    <col min="4874" max="4874" width="3.140625" style="16" customWidth="1"/>
    <col min="4875" max="4876" width="19.42578125" style="16" customWidth="1"/>
    <col min="4877" max="4877" width="23.28515625" style="16" customWidth="1"/>
    <col min="4878" max="4878" width="19.5703125" style="16" customWidth="1"/>
    <col min="4879" max="4879" width="9.140625" style="16"/>
    <col min="4880" max="4880" width="18.7109375" style="16" customWidth="1"/>
    <col min="4881" max="5116" width="9.140625" style="16"/>
    <col min="5117" max="5117" width="10.7109375" style="16" customWidth="1"/>
    <col min="5118" max="5118" width="60.140625" style="16" customWidth="1"/>
    <col min="5119" max="5119" width="27.5703125" style="16" customWidth="1"/>
    <col min="5120" max="5120" width="16.140625" style="16" customWidth="1"/>
    <col min="5121" max="5121" width="22.85546875" style="16" customWidth="1"/>
    <col min="5122" max="5122" width="3.7109375" style="16" customWidth="1"/>
    <col min="5123" max="5129" width="0" style="16" hidden="1" customWidth="1"/>
    <col min="5130" max="5130" width="3.140625" style="16" customWidth="1"/>
    <col min="5131" max="5132" width="19.42578125" style="16" customWidth="1"/>
    <col min="5133" max="5133" width="23.28515625" style="16" customWidth="1"/>
    <col min="5134" max="5134" width="19.5703125" style="16" customWidth="1"/>
    <col min="5135" max="5135" width="9.140625" style="16"/>
    <col min="5136" max="5136" width="18.7109375" style="16" customWidth="1"/>
    <col min="5137" max="5372" width="9.140625" style="16"/>
    <col min="5373" max="5373" width="10.7109375" style="16" customWidth="1"/>
    <col min="5374" max="5374" width="60.140625" style="16" customWidth="1"/>
    <col min="5375" max="5375" width="27.5703125" style="16" customWidth="1"/>
    <col min="5376" max="5376" width="16.140625" style="16" customWidth="1"/>
    <col min="5377" max="5377" width="22.85546875" style="16" customWidth="1"/>
    <col min="5378" max="5378" width="3.7109375" style="16" customWidth="1"/>
    <col min="5379" max="5385" width="0" style="16" hidden="1" customWidth="1"/>
    <col min="5386" max="5386" width="3.140625" style="16" customWidth="1"/>
    <col min="5387" max="5388" width="19.42578125" style="16" customWidth="1"/>
    <col min="5389" max="5389" width="23.28515625" style="16" customWidth="1"/>
    <col min="5390" max="5390" width="19.5703125" style="16" customWidth="1"/>
    <col min="5391" max="5391" width="9.140625" style="16"/>
    <col min="5392" max="5392" width="18.7109375" style="16" customWidth="1"/>
    <col min="5393" max="5628" width="9.140625" style="16"/>
    <col min="5629" max="5629" width="10.7109375" style="16" customWidth="1"/>
    <col min="5630" max="5630" width="60.140625" style="16" customWidth="1"/>
    <col min="5631" max="5631" width="27.5703125" style="16" customWidth="1"/>
    <col min="5632" max="5632" width="16.140625" style="16" customWidth="1"/>
    <col min="5633" max="5633" width="22.85546875" style="16" customWidth="1"/>
    <col min="5634" max="5634" width="3.7109375" style="16" customWidth="1"/>
    <col min="5635" max="5641" width="0" style="16" hidden="1" customWidth="1"/>
    <col min="5642" max="5642" width="3.140625" style="16" customWidth="1"/>
    <col min="5643" max="5644" width="19.42578125" style="16" customWidth="1"/>
    <col min="5645" max="5645" width="23.28515625" style="16" customWidth="1"/>
    <col min="5646" max="5646" width="19.5703125" style="16" customWidth="1"/>
    <col min="5647" max="5647" width="9.140625" style="16"/>
    <col min="5648" max="5648" width="18.7109375" style="16" customWidth="1"/>
    <col min="5649" max="5884" width="9.140625" style="16"/>
    <col min="5885" max="5885" width="10.7109375" style="16" customWidth="1"/>
    <col min="5886" max="5886" width="60.140625" style="16" customWidth="1"/>
    <col min="5887" max="5887" width="27.5703125" style="16" customWidth="1"/>
    <col min="5888" max="5888" width="16.140625" style="16" customWidth="1"/>
    <col min="5889" max="5889" width="22.85546875" style="16" customWidth="1"/>
    <col min="5890" max="5890" width="3.7109375" style="16" customWidth="1"/>
    <col min="5891" max="5897" width="0" style="16" hidden="1" customWidth="1"/>
    <col min="5898" max="5898" width="3.140625" style="16" customWidth="1"/>
    <col min="5899" max="5900" width="19.42578125" style="16" customWidth="1"/>
    <col min="5901" max="5901" width="23.28515625" style="16" customWidth="1"/>
    <col min="5902" max="5902" width="19.5703125" style="16" customWidth="1"/>
    <col min="5903" max="5903" width="9.140625" style="16"/>
    <col min="5904" max="5904" width="18.7109375" style="16" customWidth="1"/>
    <col min="5905" max="6140" width="9.140625" style="16"/>
    <col min="6141" max="6141" width="10.7109375" style="16" customWidth="1"/>
    <col min="6142" max="6142" width="60.140625" style="16" customWidth="1"/>
    <col min="6143" max="6143" width="27.5703125" style="16" customWidth="1"/>
    <col min="6144" max="6144" width="16.140625" style="16" customWidth="1"/>
    <col min="6145" max="6145" width="22.85546875" style="16" customWidth="1"/>
    <col min="6146" max="6146" width="3.7109375" style="16" customWidth="1"/>
    <col min="6147" max="6153" width="0" style="16" hidden="1" customWidth="1"/>
    <col min="6154" max="6154" width="3.140625" style="16" customWidth="1"/>
    <col min="6155" max="6156" width="19.42578125" style="16" customWidth="1"/>
    <col min="6157" max="6157" width="23.28515625" style="16" customWidth="1"/>
    <col min="6158" max="6158" width="19.5703125" style="16" customWidth="1"/>
    <col min="6159" max="6159" width="9.140625" style="16"/>
    <col min="6160" max="6160" width="18.7109375" style="16" customWidth="1"/>
    <col min="6161" max="6396" width="9.140625" style="16"/>
    <col min="6397" max="6397" width="10.7109375" style="16" customWidth="1"/>
    <col min="6398" max="6398" width="60.140625" style="16" customWidth="1"/>
    <col min="6399" max="6399" width="27.5703125" style="16" customWidth="1"/>
    <col min="6400" max="6400" width="16.140625" style="16" customWidth="1"/>
    <col min="6401" max="6401" width="22.85546875" style="16" customWidth="1"/>
    <col min="6402" max="6402" width="3.7109375" style="16" customWidth="1"/>
    <col min="6403" max="6409" width="0" style="16" hidden="1" customWidth="1"/>
    <col min="6410" max="6410" width="3.140625" style="16" customWidth="1"/>
    <col min="6411" max="6412" width="19.42578125" style="16" customWidth="1"/>
    <col min="6413" max="6413" width="23.28515625" style="16" customWidth="1"/>
    <col min="6414" max="6414" width="19.5703125" style="16" customWidth="1"/>
    <col min="6415" max="6415" width="9.140625" style="16"/>
    <col min="6416" max="6416" width="18.7109375" style="16" customWidth="1"/>
    <col min="6417" max="6652" width="9.140625" style="16"/>
    <col min="6653" max="6653" width="10.7109375" style="16" customWidth="1"/>
    <col min="6654" max="6654" width="60.140625" style="16" customWidth="1"/>
    <col min="6655" max="6655" width="27.5703125" style="16" customWidth="1"/>
    <col min="6656" max="6656" width="16.140625" style="16" customWidth="1"/>
    <col min="6657" max="6657" width="22.85546875" style="16" customWidth="1"/>
    <col min="6658" max="6658" width="3.7109375" style="16" customWidth="1"/>
    <col min="6659" max="6665" width="0" style="16" hidden="1" customWidth="1"/>
    <col min="6666" max="6666" width="3.140625" style="16" customWidth="1"/>
    <col min="6667" max="6668" width="19.42578125" style="16" customWidth="1"/>
    <col min="6669" max="6669" width="23.28515625" style="16" customWidth="1"/>
    <col min="6670" max="6670" width="19.5703125" style="16" customWidth="1"/>
    <col min="6671" max="6671" width="9.140625" style="16"/>
    <col min="6672" max="6672" width="18.7109375" style="16" customWidth="1"/>
    <col min="6673" max="6908" width="9.140625" style="16"/>
    <col min="6909" max="6909" width="10.7109375" style="16" customWidth="1"/>
    <col min="6910" max="6910" width="60.140625" style="16" customWidth="1"/>
    <col min="6911" max="6911" width="27.5703125" style="16" customWidth="1"/>
    <col min="6912" max="6912" width="16.140625" style="16" customWidth="1"/>
    <col min="6913" max="6913" width="22.85546875" style="16" customWidth="1"/>
    <col min="6914" max="6914" width="3.7109375" style="16" customWidth="1"/>
    <col min="6915" max="6921" width="0" style="16" hidden="1" customWidth="1"/>
    <col min="6922" max="6922" width="3.140625" style="16" customWidth="1"/>
    <col min="6923" max="6924" width="19.42578125" style="16" customWidth="1"/>
    <col min="6925" max="6925" width="23.28515625" style="16" customWidth="1"/>
    <col min="6926" max="6926" width="19.5703125" style="16" customWidth="1"/>
    <col min="6927" max="6927" width="9.140625" style="16"/>
    <col min="6928" max="6928" width="18.7109375" style="16" customWidth="1"/>
    <col min="6929" max="7164" width="9.140625" style="16"/>
    <col min="7165" max="7165" width="10.7109375" style="16" customWidth="1"/>
    <col min="7166" max="7166" width="60.140625" style="16" customWidth="1"/>
    <col min="7167" max="7167" width="27.5703125" style="16" customWidth="1"/>
    <col min="7168" max="7168" width="16.140625" style="16" customWidth="1"/>
    <col min="7169" max="7169" width="22.85546875" style="16" customWidth="1"/>
    <col min="7170" max="7170" width="3.7109375" style="16" customWidth="1"/>
    <col min="7171" max="7177" width="0" style="16" hidden="1" customWidth="1"/>
    <col min="7178" max="7178" width="3.140625" style="16" customWidth="1"/>
    <col min="7179" max="7180" width="19.42578125" style="16" customWidth="1"/>
    <col min="7181" max="7181" width="23.28515625" style="16" customWidth="1"/>
    <col min="7182" max="7182" width="19.5703125" style="16" customWidth="1"/>
    <col min="7183" max="7183" width="9.140625" style="16"/>
    <col min="7184" max="7184" width="18.7109375" style="16" customWidth="1"/>
    <col min="7185" max="7420" width="9.140625" style="16"/>
    <col min="7421" max="7421" width="10.7109375" style="16" customWidth="1"/>
    <col min="7422" max="7422" width="60.140625" style="16" customWidth="1"/>
    <col min="7423" max="7423" width="27.5703125" style="16" customWidth="1"/>
    <col min="7424" max="7424" width="16.140625" style="16" customWidth="1"/>
    <col min="7425" max="7425" width="22.85546875" style="16" customWidth="1"/>
    <col min="7426" max="7426" width="3.7109375" style="16" customWidth="1"/>
    <col min="7427" max="7433" width="0" style="16" hidden="1" customWidth="1"/>
    <col min="7434" max="7434" width="3.140625" style="16" customWidth="1"/>
    <col min="7435" max="7436" width="19.42578125" style="16" customWidth="1"/>
    <col min="7437" max="7437" width="23.28515625" style="16" customWidth="1"/>
    <col min="7438" max="7438" width="19.5703125" style="16" customWidth="1"/>
    <col min="7439" max="7439" width="9.140625" style="16"/>
    <col min="7440" max="7440" width="18.7109375" style="16" customWidth="1"/>
    <col min="7441" max="7676" width="9.140625" style="16"/>
    <col min="7677" max="7677" width="10.7109375" style="16" customWidth="1"/>
    <col min="7678" max="7678" width="60.140625" style="16" customWidth="1"/>
    <col min="7679" max="7679" width="27.5703125" style="16" customWidth="1"/>
    <col min="7680" max="7680" width="16.140625" style="16" customWidth="1"/>
    <col min="7681" max="7681" width="22.85546875" style="16" customWidth="1"/>
    <col min="7682" max="7682" width="3.7109375" style="16" customWidth="1"/>
    <col min="7683" max="7689" width="0" style="16" hidden="1" customWidth="1"/>
    <col min="7690" max="7690" width="3.140625" style="16" customWidth="1"/>
    <col min="7691" max="7692" width="19.42578125" style="16" customWidth="1"/>
    <col min="7693" max="7693" width="23.28515625" style="16" customWidth="1"/>
    <col min="7694" max="7694" width="19.5703125" style="16" customWidth="1"/>
    <col min="7695" max="7695" width="9.140625" style="16"/>
    <col min="7696" max="7696" width="18.7109375" style="16" customWidth="1"/>
    <col min="7697" max="7932" width="9.140625" style="16"/>
    <col min="7933" max="7933" width="10.7109375" style="16" customWidth="1"/>
    <col min="7934" max="7934" width="60.140625" style="16" customWidth="1"/>
    <col min="7935" max="7935" width="27.5703125" style="16" customWidth="1"/>
    <col min="7936" max="7936" width="16.140625" style="16" customWidth="1"/>
    <col min="7937" max="7937" width="22.85546875" style="16" customWidth="1"/>
    <col min="7938" max="7938" width="3.7109375" style="16" customWidth="1"/>
    <col min="7939" max="7945" width="0" style="16" hidden="1" customWidth="1"/>
    <col min="7946" max="7946" width="3.140625" style="16" customWidth="1"/>
    <col min="7947" max="7948" width="19.42578125" style="16" customWidth="1"/>
    <col min="7949" max="7949" width="23.28515625" style="16" customWidth="1"/>
    <col min="7950" max="7950" width="19.5703125" style="16" customWidth="1"/>
    <col min="7951" max="7951" width="9.140625" style="16"/>
    <col min="7952" max="7952" width="18.7109375" style="16" customWidth="1"/>
    <col min="7953" max="8188" width="9.140625" style="16"/>
    <col min="8189" max="8189" width="10.7109375" style="16" customWidth="1"/>
    <col min="8190" max="8190" width="60.140625" style="16" customWidth="1"/>
    <col min="8191" max="8191" width="27.5703125" style="16" customWidth="1"/>
    <col min="8192" max="8192" width="16.140625" style="16" customWidth="1"/>
    <col min="8193" max="8193" width="22.85546875" style="16" customWidth="1"/>
    <col min="8194" max="8194" width="3.7109375" style="16" customWidth="1"/>
    <col min="8195" max="8201" width="0" style="16" hidden="1" customWidth="1"/>
    <col min="8202" max="8202" width="3.140625" style="16" customWidth="1"/>
    <col min="8203" max="8204" width="19.42578125" style="16" customWidth="1"/>
    <col min="8205" max="8205" width="23.28515625" style="16" customWidth="1"/>
    <col min="8206" max="8206" width="19.5703125" style="16" customWidth="1"/>
    <col min="8207" max="8207" width="9.140625" style="16"/>
    <col min="8208" max="8208" width="18.7109375" style="16" customWidth="1"/>
    <col min="8209" max="8444" width="9.140625" style="16"/>
    <col min="8445" max="8445" width="10.7109375" style="16" customWidth="1"/>
    <col min="8446" max="8446" width="60.140625" style="16" customWidth="1"/>
    <col min="8447" max="8447" width="27.5703125" style="16" customWidth="1"/>
    <col min="8448" max="8448" width="16.140625" style="16" customWidth="1"/>
    <col min="8449" max="8449" width="22.85546875" style="16" customWidth="1"/>
    <col min="8450" max="8450" width="3.7109375" style="16" customWidth="1"/>
    <col min="8451" max="8457" width="0" style="16" hidden="1" customWidth="1"/>
    <col min="8458" max="8458" width="3.140625" style="16" customWidth="1"/>
    <col min="8459" max="8460" width="19.42578125" style="16" customWidth="1"/>
    <col min="8461" max="8461" width="23.28515625" style="16" customWidth="1"/>
    <col min="8462" max="8462" width="19.5703125" style="16" customWidth="1"/>
    <col min="8463" max="8463" width="9.140625" style="16"/>
    <col min="8464" max="8464" width="18.7109375" style="16" customWidth="1"/>
    <col min="8465" max="8700" width="9.140625" style="16"/>
    <col min="8701" max="8701" width="10.7109375" style="16" customWidth="1"/>
    <col min="8702" max="8702" width="60.140625" style="16" customWidth="1"/>
    <col min="8703" max="8703" width="27.5703125" style="16" customWidth="1"/>
    <col min="8704" max="8704" width="16.140625" style="16" customWidth="1"/>
    <col min="8705" max="8705" width="22.85546875" style="16" customWidth="1"/>
    <col min="8706" max="8706" width="3.7109375" style="16" customWidth="1"/>
    <col min="8707" max="8713" width="0" style="16" hidden="1" customWidth="1"/>
    <col min="8714" max="8714" width="3.140625" style="16" customWidth="1"/>
    <col min="8715" max="8716" width="19.42578125" style="16" customWidth="1"/>
    <col min="8717" max="8717" width="23.28515625" style="16" customWidth="1"/>
    <col min="8718" max="8718" width="19.5703125" style="16" customWidth="1"/>
    <col min="8719" max="8719" width="9.140625" style="16"/>
    <col min="8720" max="8720" width="18.7109375" style="16" customWidth="1"/>
    <col min="8721" max="8956" width="9.140625" style="16"/>
    <col min="8957" max="8957" width="10.7109375" style="16" customWidth="1"/>
    <col min="8958" max="8958" width="60.140625" style="16" customWidth="1"/>
    <col min="8959" max="8959" width="27.5703125" style="16" customWidth="1"/>
    <col min="8960" max="8960" width="16.140625" style="16" customWidth="1"/>
    <col min="8961" max="8961" width="22.85546875" style="16" customWidth="1"/>
    <col min="8962" max="8962" width="3.7109375" style="16" customWidth="1"/>
    <col min="8963" max="8969" width="0" style="16" hidden="1" customWidth="1"/>
    <col min="8970" max="8970" width="3.140625" style="16" customWidth="1"/>
    <col min="8971" max="8972" width="19.42578125" style="16" customWidth="1"/>
    <col min="8973" max="8973" width="23.28515625" style="16" customWidth="1"/>
    <col min="8974" max="8974" width="19.5703125" style="16" customWidth="1"/>
    <col min="8975" max="8975" width="9.140625" style="16"/>
    <col min="8976" max="8976" width="18.7109375" style="16" customWidth="1"/>
    <col min="8977" max="9212" width="9.140625" style="16"/>
    <col min="9213" max="9213" width="10.7109375" style="16" customWidth="1"/>
    <col min="9214" max="9214" width="60.140625" style="16" customWidth="1"/>
    <col min="9215" max="9215" width="27.5703125" style="16" customWidth="1"/>
    <col min="9216" max="9216" width="16.140625" style="16" customWidth="1"/>
    <col min="9217" max="9217" width="22.85546875" style="16" customWidth="1"/>
    <col min="9218" max="9218" width="3.7109375" style="16" customWidth="1"/>
    <col min="9219" max="9225" width="0" style="16" hidden="1" customWidth="1"/>
    <col min="9226" max="9226" width="3.140625" style="16" customWidth="1"/>
    <col min="9227" max="9228" width="19.42578125" style="16" customWidth="1"/>
    <col min="9229" max="9229" width="23.28515625" style="16" customWidth="1"/>
    <col min="9230" max="9230" width="19.5703125" style="16" customWidth="1"/>
    <col min="9231" max="9231" width="9.140625" style="16"/>
    <col min="9232" max="9232" width="18.7109375" style="16" customWidth="1"/>
    <col min="9233" max="9468" width="9.140625" style="16"/>
    <col min="9469" max="9469" width="10.7109375" style="16" customWidth="1"/>
    <col min="9470" max="9470" width="60.140625" style="16" customWidth="1"/>
    <col min="9471" max="9471" width="27.5703125" style="16" customWidth="1"/>
    <col min="9472" max="9472" width="16.140625" style="16" customWidth="1"/>
    <col min="9473" max="9473" width="22.85546875" style="16" customWidth="1"/>
    <col min="9474" max="9474" width="3.7109375" style="16" customWidth="1"/>
    <col min="9475" max="9481" width="0" style="16" hidden="1" customWidth="1"/>
    <col min="9482" max="9482" width="3.140625" style="16" customWidth="1"/>
    <col min="9483" max="9484" width="19.42578125" style="16" customWidth="1"/>
    <col min="9485" max="9485" width="23.28515625" style="16" customWidth="1"/>
    <col min="9486" max="9486" width="19.5703125" style="16" customWidth="1"/>
    <col min="9487" max="9487" width="9.140625" style="16"/>
    <col min="9488" max="9488" width="18.7109375" style="16" customWidth="1"/>
    <col min="9489" max="9724" width="9.140625" style="16"/>
    <col min="9725" max="9725" width="10.7109375" style="16" customWidth="1"/>
    <col min="9726" max="9726" width="60.140625" style="16" customWidth="1"/>
    <col min="9727" max="9727" width="27.5703125" style="16" customWidth="1"/>
    <col min="9728" max="9728" width="16.140625" style="16" customWidth="1"/>
    <col min="9729" max="9729" width="22.85546875" style="16" customWidth="1"/>
    <col min="9730" max="9730" width="3.7109375" style="16" customWidth="1"/>
    <col min="9731" max="9737" width="0" style="16" hidden="1" customWidth="1"/>
    <col min="9738" max="9738" width="3.140625" style="16" customWidth="1"/>
    <col min="9739" max="9740" width="19.42578125" style="16" customWidth="1"/>
    <col min="9741" max="9741" width="23.28515625" style="16" customWidth="1"/>
    <col min="9742" max="9742" width="19.5703125" style="16" customWidth="1"/>
    <col min="9743" max="9743" width="9.140625" style="16"/>
    <col min="9744" max="9744" width="18.7109375" style="16" customWidth="1"/>
    <col min="9745" max="9980" width="9.140625" style="16"/>
    <col min="9981" max="9981" width="10.7109375" style="16" customWidth="1"/>
    <col min="9982" max="9982" width="60.140625" style="16" customWidth="1"/>
    <col min="9983" max="9983" width="27.5703125" style="16" customWidth="1"/>
    <col min="9984" max="9984" width="16.140625" style="16" customWidth="1"/>
    <col min="9985" max="9985" width="22.85546875" style="16" customWidth="1"/>
    <col min="9986" max="9986" width="3.7109375" style="16" customWidth="1"/>
    <col min="9987" max="9993" width="0" style="16" hidden="1" customWidth="1"/>
    <col min="9994" max="9994" width="3.140625" style="16" customWidth="1"/>
    <col min="9995" max="9996" width="19.42578125" style="16" customWidth="1"/>
    <col min="9997" max="9997" width="23.28515625" style="16" customWidth="1"/>
    <col min="9998" max="9998" width="19.5703125" style="16" customWidth="1"/>
    <col min="9999" max="9999" width="9.140625" style="16"/>
    <col min="10000" max="10000" width="18.7109375" style="16" customWidth="1"/>
    <col min="10001" max="10236" width="9.140625" style="16"/>
    <col min="10237" max="10237" width="10.7109375" style="16" customWidth="1"/>
    <col min="10238" max="10238" width="60.140625" style="16" customWidth="1"/>
    <col min="10239" max="10239" width="27.5703125" style="16" customWidth="1"/>
    <col min="10240" max="10240" width="16.140625" style="16" customWidth="1"/>
    <col min="10241" max="10241" width="22.85546875" style="16" customWidth="1"/>
    <col min="10242" max="10242" width="3.7109375" style="16" customWidth="1"/>
    <col min="10243" max="10249" width="0" style="16" hidden="1" customWidth="1"/>
    <col min="10250" max="10250" width="3.140625" style="16" customWidth="1"/>
    <col min="10251" max="10252" width="19.42578125" style="16" customWidth="1"/>
    <col min="10253" max="10253" width="23.28515625" style="16" customWidth="1"/>
    <col min="10254" max="10254" width="19.5703125" style="16" customWidth="1"/>
    <col min="10255" max="10255" width="9.140625" style="16"/>
    <col min="10256" max="10256" width="18.7109375" style="16" customWidth="1"/>
    <col min="10257" max="10492" width="9.140625" style="16"/>
    <col min="10493" max="10493" width="10.7109375" style="16" customWidth="1"/>
    <col min="10494" max="10494" width="60.140625" style="16" customWidth="1"/>
    <col min="10495" max="10495" width="27.5703125" style="16" customWidth="1"/>
    <col min="10496" max="10496" width="16.140625" style="16" customWidth="1"/>
    <col min="10497" max="10497" width="22.85546875" style="16" customWidth="1"/>
    <col min="10498" max="10498" width="3.7109375" style="16" customWidth="1"/>
    <col min="10499" max="10505" width="0" style="16" hidden="1" customWidth="1"/>
    <col min="10506" max="10506" width="3.140625" style="16" customWidth="1"/>
    <col min="10507" max="10508" width="19.42578125" style="16" customWidth="1"/>
    <col min="10509" max="10509" width="23.28515625" style="16" customWidth="1"/>
    <col min="10510" max="10510" width="19.5703125" style="16" customWidth="1"/>
    <col min="10511" max="10511" width="9.140625" style="16"/>
    <col min="10512" max="10512" width="18.7109375" style="16" customWidth="1"/>
    <col min="10513" max="10748" width="9.140625" style="16"/>
    <col min="10749" max="10749" width="10.7109375" style="16" customWidth="1"/>
    <col min="10750" max="10750" width="60.140625" style="16" customWidth="1"/>
    <col min="10751" max="10751" width="27.5703125" style="16" customWidth="1"/>
    <col min="10752" max="10752" width="16.140625" style="16" customWidth="1"/>
    <col min="10753" max="10753" width="22.85546875" style="16" customWidth="1"/>
    <col min="10754" max="10754" width="3.7109375" style="16" customWidth="1"/>
    <col min="10755" max="10761" width="0" style="16" hidden="1" customWidth="1"/>
    <col min="10762" max="10762" width="3.140625" style="16" customWidth="1"/>
    <col min="10763" max="10764" width="19.42578125" style="16" customWidth="1"/>
    <col min="10765" max="10765" width="23.28515625" style="16" customWidth="1"/>
    <col min="10766" max="10766" width="19.5703125" style="16" customWidth="1"/>
    <col min="10767" max="10767" width="9.140625" style="16"/>
    <col min="10768" max="10768" width="18.7109375" style="16" customWidth="1"/>
    <col min="10769" max="11004" width="9.140625" style="16"/>
    <col min="11005" max="11005" width="10.7109375" style="16" customWidth="1"/>
    <col min="11006" max="11006" width="60.140625" style="16" customWidth="1"/>
    <col min="11007" max="11007" width="27.5703125" style="16" customWidth="1"/>
    <col min="11008" max="11008" width="16.140625" style="16" customWidth="1"/>
    <col min="11009" max="11009" width="22.85546875" style="16" customWidth="1"/>
    <col min="11010" max="11010" width="3.7109375" style="16" customWidth="1"/>
    <col min="11011" max="11017" width="0" style="16" hidden="1" customWidth="1"/>
    <col min="11018" max="11018" width="3.140625" style="16" customWidth="1"/>
    <col min="11019" max="11020" width="19.42578125" style="16" customWidth="1"/>
    <col min="11021" max="11021" width="23.28515625" style="16" customWidth="1"/>
    <col min="11022" max="11022" width="19.5703125" style="16" customWidth="1"/>
    <col min="11023" max="11023" width="9.140625" style="16"/>
    <col min="11024" max="11024" width="18.7109375" style="16" customWidth="1"/>
    <col min="11025" max="11260" width="9.140625" style="16"/>
    <col min="11261" max="11261" width="10.7109375" style="16" customWidth="1"/>
    <col min="11262" max="11262" width="60.140625" style="16" customWidth="1"/>
    <col min="11263" max="11263" width="27.5703125" style="16" customWidth="1"/>
    <col min="11264" max="11264" width="16.140625" style="16" customWidth="1"/>
    <col min="11265" max="11265" width="22.85546875" style="16" customWidth="1"/>
    <col min="11266" max="11266" width="3.7109375" style="16" customWidth="1"/>
    <col min="11267" max="11273" width="0" style="16" hidden="1" customWidth="1"/>
    <col min="11274" max="11274" width="3.140625" style="16" customWidth="1"/>
    <col min="11275" max="11276" width="19.42578125" style="16" customWidth="1"/>
    <col min="11277" max="11277" width="23.28515625" style="16" customWidth="1"/>
    <col min="11278" max="11278" width="19.5703125" style="16" customWidth="1"/>
    <col min="11279" max="11279" width="9.140625" style="16"/>
    <col min="11280" max="11280" width="18.7109375" style="16" customWidth="1"/>
    <col min="11281" max="11516" width="9.140625" style="16"/>
    <col min="11517" max="11517" width="10.7109375" style="16" customWidth="1"/>
    <col min="11518" max="11518" width="60.140625" style="16" customWidth="1"/>
    <col min="11519" max="11519" width="27.5703125" style="16" customWidth="1"/>
    <col min="11520" max="11520" width="16.140625" style="16" customWidth="1"/>
    <col min="11521" max="11521" width="22.85546875" style="16" customWidth="1"/>
    <col min="11522" max="11522" width="3.7109375" style="16" customWidth="1"/>
    <col min="11523" max="11529" width="0" style="16" hidden="1" customWidth="1"/>
    <col min="11530" max="11530" width="3.140625" style="16" customWidth="1"/>
    <col min="11531" max="11532" width="19.42578125" style="16" customWidth="1"/>
    <col min="11533" max="11533" width="23.28515625" style="16" customWidth="1"/>
    <col min="11534" max="11534" width="19.5703125" style="16" customWidth="1"/>
    <col min="11535" max="11535" width="9.140625" style="16"/>
    <col min="11536" max="11536" width="18.7109375" style="16" customWidth="1"/>
    <col min="11537" max="11772" width="9.140625" style="16"/>
    <col min="11773" max="11773" width="10.7109375" style="16" customWidth="1"/>
    <col min="11774" max="11774" width="60.140625" style="16" customWidth="1"/>
    <col min="11775" max="11775" width="27.5703125" style="16" customWidth="1"/>
    <col min="11776" max="11776" width="16.140625" style="16" customWidth="1"/>
    <col min="11777" max="11777" width="22.85546875" style="16" customWidth="1"/>
    <col min="11778" max="11778" width="3.7109375" style="16" customWidth="1"/>
    <col min="11779" max="11785" width="0" style="16" hidden="1" customWidth="1"/>
    <col min="11786" max="11786" width="3.140625" style="16" customWidth="1"/>
    <col min="11787" max="11788" width="19.42578125" style="16" customWidth="1"/>
    <col min="11789" max="11789" width="23.28515625" style="16" customWidth="1"/>
    <col min="11790" max="11790" width="19.5703125" style="16" customWidth="1"/>
    <col min="11791" max="11791" width="9.140625" style="16"/>
    <col min="11792" max="11792" width="18.7109375" style="16" customWidth="1"/>
    <col min="11793" max="12028" width="9.140625" style="16"/>
    <col min="12029" max="12029" width="10.7109375" style="16" customWidth="1"/>
    <col min="12030" max="12030" width="60.140625" style="16" customWidth="1"/>
    <col min="12031" max="12031" width="27.5703125" style="16" customWidth="1"/>
    <col min="12032" max="12032" width="16.140625" style="16" customWidth="1"/>
    <col min="12033" max="12033" width="22.85546875" style="16" customWidth="1"/>
    <col min="12034" max="12034" width="3.7109375" style="16" customWidth="1"/>
    <col min="12035" max="12041" width="0" style="16" hidden="1" customWidth="1"/>
    <col min="12042" max="12042" width="3.140625" style="16" customWidth="1"/>
    <col min="12043" max="12044" width="19.42578125" style="16" customWidth="1"/>
    <col min="12045" max="12045" width="23.28515625" style="16" customWidth="1"/>
    <col min="12046" max="12046" width="19.5703125" style="16" customWidth="1"/>
    <col min="12047" max="12047" width="9.140625" style="16"/>
    <col min="12048" max="12048" width="18.7109375" style="16" customWidth="1"/>
    <col min="12049" max="12284" width="9.140625" style="16"/>
    <col min="12285" max="12285" width="10.7109375" style="16" customWidth="1"/>
    <col min="12286" max="12286" width="60.140625" style="16" customWidth="1"/>
    <col min="12287" max="12287" width="27.5703125" style="16" customWidth="1"/>
    <col min="12288" max="12288" width="16.140625" style="16" customWidth="1"/>
    <col min="12289" max="12289" width="22.85546875" style="16" customWidth="1"/>
    <col min="12290" max="12290" width="3.7109375" style="16" customWidth="1"/>
    <col min="12291" max="12297" width="0" style="16" hidden="1" customWidth="1"/>
    <col min="12298" max="12298" width="3.140625" style="16" customWidth="1"/>
    <col min="12299" max="12300" width="19.42578125" style="16" customWidth="1"/>
    <col min="12301" max="12301" width="23.28515625" style="16" customWidth="1"/>
    <col min="12302" max="12302" width="19.5703125" style="16" customWidth="1"/>
    <col min="12303" max="12303" width="9.140625" style="16"/>
    <col min="12304" max="12304" width="18.7109375" style="16" customWidth="1"/>
    <col min="12305" max="12540" width="9.140625" style="16"/>
    <col min="12541" max="12541" width="10.7109375" style="16" customWidth="1"/>
    <col min="12542" max="12542" width="60.140625" style="16" customWidth="1"/>
    <col min="12543" max="12543" width="27.5703125" style="16" customWidth="1"/>
    <col min="12544" max="12544" width="16.140625" style="16" customWidth="1"/>
    <col min="12545" max="12545" width="22.85546875" style="16" customWidth="1"/>
    <col min="12546" max="12546" width="3.7109375" style="16" customWidth="1"/>
    <col min="12547" max="12553" width="0" style="16" hidden="1" customWidth="1"/>
    <col min="12554" max="12554" width="3.140625" style="16" customWidth="1"/>
    <col min="12555" max="12556" width="19.42578125" style="16" customWidth="1"/>
    <col min="12557" max="12557" width="23.28515625" style="16" customWidth="1"/>
    <col min="12558" max="12558" width="19.5703125" style="16" customWidth="1"/>
    <col min="12559" max="12559" width="9.140625" style="16"/>
    <col min="12560" max="12560" width="18.7109375" style="16" customWidth="1"/>
    <col min="12561" max="12796" width="9.140625" style="16"/>
    <col min="12797" max="12797" width="10.7109375" style="16" customWidth="1"/>
    <col min="12798" max="12798" width="60.140625" style="16" customWidth="1"/>
    <col min="12799" max="12799" width="27.5703125" style="16" customWidth="1"/>
    <col min="12800" max="12800" width="16.140625" style="16" customWidth="1"/>
    <col min="12801" max="12801" width="22.85546875" style="16" customWidth="1"/>
    <col min="12802" max="12802" width="3.7109375" style="16" customWidth="1"/>
    <col min="12803" max="12809" width="0" style="16" hidden="1" customWidth="1"/>
    <col min="12810" max="12810" width="3.140625" style="16" customWidth="1"/>
    <col min="12811" max="12812" width="19.42578125" style="16" customWidth="1"/>
    <col min="12813" max="12813" width="23.28515625" style="16" customWidth="1"/>
    <col min="12814" max="12814" width="19.5703125" style="16" customWidth="1"/>
    <col min="12815" max="12815" width="9.140625" style="16"/>
    <col min="12816" max="12816" width="18.7109375" style="16" customWidth="1"/>
    <col min="12817" max="13052" width="9.140625" style="16"/>
    <col min="13053" max="13053" width="10.7109375" style="16" customWidth="1"/>
    <col min="13054" max="13054" width="60.140625" style="16" customWidth="1"/>
    <col min="13055" max="13055" width="27.5703125" style="16" customWidth="1"/>
    <col min="13056" max="13056" width="16.140625" style="16" customWidth="1"/>
    <col min="13057" max="13057" width="22.85546875" style="16" customWidth="1"/>
    <col min="13058" max="13058" width="3.7109375" style="16" customWidth="1"/>
    <col min="13059" max="13065" width="0" style="16" hidden="1" customWidth="1"/>
    <col min="13066" max="13066" width="3.140625" style="16" customWidth="1"/>
    <col min="13067" max="13068" width="19.42578125" style="16" customWidth="1"/>
    <col min="13069" max="13069" width="23.28515625" style="16" customWidth="1"/>
    <col min="13070" max="13070" width="19.5703125" style="16" customWidth="1"/>
    <col min="13071" max="13071" width="9.140625" style="16"/>
    <col min="13072" max="13072" width="18.7109375" style="16" customWidth="1"/>
    <col min="13073" max="13308" width="9.140625" style="16"/>
    <col min="13309" max="13309" width="10.7109375" style="16" customWidth="1"/>
    <col min="13310" max="13310" width="60.140625" style="16" customWidth="1"/>
    <col min="13311" max="13311" width="27.5703125" style="16" customWidth="1"/>
    <col min="13312" max="13312" width="16.140625" style="16" customWidth="1"/>
    <col min="13313" max="13313" width="22.85546875" style="16" customWidth="1"/>
    <col min="13314" max="13314" width="3.7109375" style="16" customWidth="1"/>
    <col min="13315" max="13321" width="0" style="16" hidden="1" customWidth="1"/>
    <col min="13322" max="13322" width="3.140625" style="16" customWidth="1"/>
    <col min="13323" max="13324" width="19.42578125" style="16" customWidth="1"/>
    <col min="13325" max="13325" width="23.28515625" style="16" customWidth="1"/>
    <col min="13326" max="13326" width="19.5703125" style="16" customWidth="1"/>
    <col min="13327" max="13327" width="9.140625" style="16"/>
    <col min="13328" max="13328" width="18.7109375" style="16" customWidth="1"/>
    <col min="13329" max="13564" width="9.140625" style="16"/>
    <col min="13565" max="13565" width="10.7109375" style="16" customWidth="1"/>
    <col min="13566" max="13566" width="60.140625" style="16" customWidth="1"/>
    <col min="13567" max="13567" width="27.5703125" style="16" customWidth="1"/>
    <col min="13568" max="13568" width="16.140625" style="16" customWidth="1"/>
    <col min="13569" max="13569" width="22.85546875" style="16" customWidth="1"/>
    <col min="13570" max="13570" width="3.7109375" style="16" customWidth="1"/>
    <col min="13571" max="13577" width="0" style="16" hidden="1" customWidth="1"/>
    <col min="13578" max="13578" width="3.140625" style="16" customWidth="1"/>
    <col min="13579" max="13580" width="19.42578125" style="16" customWidth="1"/>
    <col min="13581" max="13581" width="23.28515625" style="16" customWidth="1"/>
    <col min="13582" max="13582" width="19.5703125" style="16" customWidth="1"/>
    <col min="13583" max="13583" width="9.140625" style="16"/>
    <col min="13584" max="13584" width="18.7109375" style="16" customWidth="1"/>
    <col min="13585" max="13820" width="9.140625" style="16"/>
    <col min="13821" max="13821" width="10.7109375" style="16" customWidth="1"/>
    <col min="13822" max="13822" width="60.140625" style="16" customWidth="1"/>
    <col min="13823" max="13823" width="27.5703125" style="16" customWidth="1"/>
    <col min="13824" max="13824" width="16.140625" style="16" customWidth="1"/>
    <col min="13825" max="13825" width="22.85546875" style="16" customWidth="1"/>
    <col min="13826" max="13826" width="3.7109375" style="16" customWidth="1"/>
    <col min="13827" max="13833" width="0" style="16" hidden="1" customWidth="1"/>
    <col min="13834" max="13834" width="3.140625" style="16" customWidth="1"/>
    <col min="13835" max="13836" width="19.42578125" style="16" customWidth="1"/>
    <col min="13837" max="13837" width="23.28515625" style="16" customWidth="1"/>
    <col min="13838" max="13838" width="19.5703125" style="16" customWidth="1"/>
    <col min="13839" max="13839" width="9.140625" style="16"/>
    <col min="13840" max="13840" width="18.7109375" style="16" customWidth="1"/>
    <col min="13841" max="14076" width="9.140625" style="16"/>
    <col min="14077" max="14077" width="10.7109375" style="16" customWidth="1"/>
    <col min="14078" max="14078" width="60.140625" style="16" customWidth="1"/>
    <col min="14079" max="14079" width="27.5703125" style="16" customWidth="1"/>
    <col min="14080" max="14080" width="16.140625" style="16" customWidth="1"/>
    <col min="14081" max="14081" width="22.85546875" style="16" customWidth="1"/>
    <col min="14082" max="14082" width="3.7109375" style="16" customWidth="1"/>
    <col min="14083" max="14089" width="0" style="16" hidden="1" customWidth="1"/>
    <col min="14090" max="14090" width="3.140625" style="16" customWidth="1"/>
    <col min="14091" max="14092" width="19.42578125" style="16" customWidth="1"/>
    <col min="14093" max="14093" width="23.28515625" style="16" customWidth="1"/>
    <col min="14094" max="14094" width="19.5703125" style="16" customWidth="1"/>
    <col min="14095" max="14095" width="9.140625" style="16"/>
    <col min="14096" max="14096" width="18.7109375" style="16" customWidth="1"/>
    <col min="14097" max="14332" width="9.140625" style="16"/>
    <col min="14333" max="14333" width="10.7109375" style="16" customWidth="1"/>
    <col min="14334" max="14334" width="60.140625" style="16" customWidth="1"/>
    <col min="14335" max="14335" width="27.5703125" style="16" customWidth="1"/>
    <col min="14336" max="14336" width="16.140625" style="16" customWidth="1"/>
    <col min="14337" max="14337" width="22.85546875" style="16" customWidth="1"/>
    <col min="14338" max="14338" width="3.7109375" style="16" customWidth="1"/>
    <col min="14339" max="14345" width="0" style="16" hidden="1" customWidth="1"/>
    <col min="14346" max="14346" width="3.140625" style="16" customWidth="1"/>
    <col min="14347" max="14348" width="19.42578125" style="16" customWidth="1"/>
    <col min="14349" max="14349" width="23.28515625" style="16" customWidth="1"/>
    <col min="14350" max="14350" width="19.5703125" style="16" customWidth="1"/>
    <col min="14351" max="14351" width="9.140625" style="16"/>
    <col min="14352" max="14352" width="18.7109375" style="16" customWidth="1"/>
    <col min="14353" max="14588" width="9.140625" style="16"/>
    <col min="14589" max="14589" width="10.7109375" style="16" customWidth="1"/>
    <col min="14590" max="14590" width="60.140625" style="16" customWidth="1"/>
    <col min="14591" max="14591" width="27.5703125" style="16" customWidth="1"/>
    <col min="14592" max="14592" width="16.140625" style="16" customWidth="1"/>
    <col min="14593" max="14593" width="22.85546875" style="16" customWidth="1"/>
    <col min="14594" max="14594" width="3.7109375" style="16" customWidth="1"/>
    <col min="14595" max="14601" width="0" style="16" hidden="1" customWidth="1"/>
    <col min="14602" max="14602" width="3.140625" style="16" customWidth="1"/>
    <col min="14603" max="14604" width="19.42578125" style="16" customWidth="1"/>
    <col min="14605" max="14605" width="23.28515625" style="16" customWidth="1"/>
    <col min="14606" max="14606" width="19.5703125" style="16" customWidth="1"/>
    <col min="14607" max="14607" width="9.140625" style="16"/>
    <col min="14608" max="14608" width="18.7109375" style="16" customWidth="1"/>
    <col min="14609" max="14844" width="9.140625" style="16"/>
    <col min="14845" max="14845" width="10.7109375" style="16" customWidth="1"/>
    <col min="14846" max="14846" width="60.140625" style="16" customWidth="1"/>
    <col min="14847" max="14847" width="27.5703125" style="16" customWidth="1"/>
    <col min="14848" max="14848" width="16.140625" style="16" customWidth="1"/>
    <col min="14849" max="14849" width="22.85546875" style="16" customWidth="1"/>
    <col min="14850" max="14850" width="3.7109375" style="16" customWidth="1"/>
    <col min="14851" max="14857" width="0" style="16" hidden="1" customWidth="1"/>
    <col min="14858" max="14858" width="3.140625" style="16" customWidth="1"/>
    <col min="14859" max="14860" width="19.42578125" style="16" customWidth="1"/>
    <col min="14861" max="14861" width="23.28515625" style="16" customWidth="1"/>
    <col min="14862" max="14862" width="19.5703125" style="16" customWidth="1"/>
    <col min="14863" max="14863" width="9.140625" style="16"/>
    <col min="14864" max="14864" width="18.7109375" style="16" customWidth="1"/>
    <col min="14865" max="15100" width="9.140625" style="16"/>
    <col min="15101" max="15101" width="10.7109375" style="16" customWidth="1"/>
    <col min="15102" max="15102" width="60.140625" style="16" customWidth="1"/>
    <col min="15103" max="15103" width="27.5703125" style="16" customWidth="1"/>
    <col min="15104" max="15104" width="16.140625" style="16" customWidth="1"/>
    <col min="15105" max="15105" width="22.85546875" style="16" customWidth="1"/>
    <col min="15106" max="15106" width="3.7109375" style="16" customWidth="1"/>
    <col min="15107" max="15113" width="0" style="16" hidden="1" customWidth="1"/>
    <col min="15114" max="15114" width="3.140625" style="16" customWidth="1"/>
    <col min="15115" max="15116" width="19.42578125" style="16" customWidth="1"/>
    <col min="15117" max="15117" width="23.28515625" style="16" customWidth="1"/>
    <col min="15118" max="15118" width="19.5703125" style="16" customWidth="1"/>
    <col min="15119" max="15119" width="9.140625" style="16"/>
    <col min="15120" max="15120" width="18.7109375" style="16" customWidth="1"/>
    <col min="15121" max="15356" width="9.140625" style="16"/>
    <col min="15357" max="15357" width="10.7109375" style="16" customWidth="1"/>
    <col min="15358" max="15358" width="60.140625" style="16" customWidth="1"/>
    <col min="15359" max="15359" width="27.5703125" style="16" customWidth="1"/>
    <col min="15360" max="15360" width="16.140625" style="16" customWidth="1"/>
    <col min="15361" max="15361" width="22.85546875" style="16" customWidth="1"/>
    <col min="15362" max="15362" width="3.7109375" style="16" customWidth="1"/>
    <col min="15363" max="15369" width="0" style="16" hidden="1" customWidth="1"/>
    <col min="15370" max="15370" width="3.140625" style="16" customWidth="1"/>
    <col min="15371" max="15372" width="19.42578125" style="16" customWidth="1"/>
    <col min="15373" max="15373" width="23.28515625" style="16" customWidth="1"/>
    <col min="15374" max="15374" width="19.5703125" style="16" customWidth="1"/>
    <col min="15375" max="15375" width="9.140625" style="16"/>
    <col min="15376" max="15376" width="18.7109375" style="16" customWidth="1"/>
    <col min="15377" max="15612" width="9.140625" style="16"/>
    <col min="15613" max="15613" width="10.7109375" style="16" customWidth="1"/>
    <col min="15614" max="15614" width="60.140625" style="16" customWidth="1"/>
    <col min="15615" max="15615" width="27.5703125" style="16" customWidth="1"/>
    <col min="15616" max="15616" width="16.140625" style="16" customWidth="1"/>
    <col min="15617" max="15617" width="22.85546875" style="16" customWidth="1"/>
    <col min="15618" max="15618" width="3.7109375" style="16" customWidth="1"/>
    <col min="15619" max="15625" width="0" style="16" hidden="1" customWidth="1"/>
    <col min="15626" max="15626" width="3.140625" style="16" customWidth="1"/>
    <col min="15627" max="15628" width="19.42578125" style="16" customWidth="1"/>
    <col min="15629" max="15629" width="23.28515625" style="16" customWidth="1"/>
    <col min="15630" max="15630" width="19.5703125" style="16" customWidth="1"/>
    <col min="15631" max="15631" width="9.140625" style="16"/>
    <col min="15632" max="15632" width="18.7109375" style="16" customWidth="1"/>
    <col min="15633" max="15868" width="9.140625" style="16"/>
    <col min="15869" max="15869" width="10.7109375" style="16" customWidth="1"/>
    <col min="15870" max="15870" width="60.140625" style="16" customWidth="1"/>
    <col min="15871" max="15871" width="27.5703125" style="16" customWidth="1"/>
    <col min="15872" max="15872" width="16.140625" style="16" customWidth="1"/>
    <col min="15873" max="15873" width="22.85546875" style="16" customWidth="1"/>
    <col min="15874" max="15874" width="3.7109375" style="16" customWidth="1"/>
    <col min="15875" max="15881" width="0" style="16" hidden="1" customWidth="1"/>
    <col min="15882" max="15882" width="3.140625" style="16" customWidth="1"/>
    <col min="15883" max="15884" width="19.42578125" style="16" customWidth="1"/>
    <col min="15885" max="15885" width="23.28515625" style="16" customWidth="1"/>
    <col min="15886" max="15886" width="19.5703125" style="16" customWidth="1"/>
    <col min="15887" max="15887" width="9.140625" style="16"/>
    <col min="15888" max="15888" width="18.7109375" style="16" customWidth="1"/>
    <col min="15889" max="16124" width="9.140625" style="16"/>
    <col min="16125" max="16125" width="10.7109375" style="16" customWidth="1"/>
    <col min="16126" max="16126" width="60.140625" style="16" customWidth="1"/>
    <col min="16127" max="16127" width="27.5703125" style="16" customWidth="1"/>
    <col min="16128" max="16128" width="16.140625" style="16" customWidth="1"/>
    <col min="16129" max="16129" width="22.85546875" style="16" customWidth="1"/>
    <col min="16130" max="16130" width="3.7109375" style="16" customWidth="1"/>
    <col min="16131" max="16137" width="0" style="16" hidden="1" customWidth="1"/>
    <col min="16138" max="16138" width="3.140625" style="16" customWidth="1"/>
    <col min="16139" max="16140" width="19.42578125" style="16" customWidth="1"/>
    <col min="16141" max="16141" width="23.28515625" style="16" customWidth="1"/>
    <col min="16142" max="16142" width="19.5703125" style="16" customWidth="1"/>
    <col min="16143" max="16143" width="9.140625" style="16"/>
    <col min="16144" max="16144" width="18.7109375" style="16" customWidth="1"/>
    <col min="16145" max="16384" width="9.140625" style="16"/>
  </cols>
  <sheetData>
    <row r="1" spans="1:23" s="3" customFormat="1" ht="37.5" customHeight="1" x14ac:dyDescent="0.2">
      <c r="A1" s="138" t="s">
        <v>25</v>
      </c>
      <c r="B1" s="138"/>
      <c r="C1" s="138"/>
      <c r="D1" s="138"/>
      <c r="E1" s="138"/>
      <c r="F1" s="138"/>
      <c r="G1" s="138"/>
      <c r="H1" s="138"/>
      <c r="I1" s="138"/>
      <c r="J1" s="138"/>
      <c r="K1" s="138"/>
      <c r="L1" s="138"/>
      <c r="M1" s="138"/>
      <c r="N1" s="138"/>
      <c r="O1" s="138"/>
      <c r="P1" s="138"/>
      <c r="Q1" s="138"/>
      <c r="R1" s="138"/>
    </row>
    <row r="2" spans="1:23" s="3" customFormat="1" ht="67.5" customHeight="1" x14ac:dyDescent="0.3">
      <c r="A2" s="139"/>
      <c r="B2" s="139"/>
      <c r="C2" s="140" t="s">
        <v>180</v>
      </c>
      <c r="D2" s="140"/>
      <c r="E2" s="140"/>
      <c r="F2" s="140"/>
      <c r="G2" s="140"/>
      <c r="H2" s="140"/>
      <c r="I2" s="140"/>
      <c r="J2" s="140"/>
      <c r="K2" s="140"/>
      <c r="L2" s="140"/>
      <c r="M2" s="140"/>
      <c r="N2" s="140"/>
      <c r="O2" s="140"/>
      <c r="P2" s="140"/>
      <c r="Q2" s="140"/>
      <c r="R2" s="140"/>
    </row>
    <row r="3" spans="1:23" s="3" customFormat="1" ht="19.5" customHeight="1" x14ac:dyDescent="0.3">
      <c r="A3" s="59"/>
      <c r="B3" s="59"/>
      <c r="C3" s="4"/>
      <c r="D3" s="4"/>
      <c r="E3" s="4"/>
      <c r="F3" s="4"/>
      <c r="G3" s="4"/>
      <c r="H3" s="4"/>
      <c r="I3" s="4"/>
      <c r="J3" s="4"/>
      <c r="K3" s="4"/>
      <c r="L3" s="4"/>
      <c r="M3" s="4"/>
      <c r="N3" s="4"/>
      <c r="O3" s="5"/>
      <c r="P3" s="5"/>
      <c r="Q3" s="5"/>
      <c r="R3" s="28"/>
    </row>
    <row r="4" spans="1:23" s="3" customFormat="1" ht="26.25" customHeight="1" x14ac:dyDescent="0.2">
      <c r="A4" s="141" t="s">
        <v>29</v>
      </c>
      <c r="B4" s="141"/>
      <c r="C4" s="141"/>
      <c r="D4" s="141"/>
      <c r="E4" s="141"/>
      <c r="F4" s="141"/>
      <c r="G4" s="141"/>
      <c r="H4" s="141"/>
      <c r="I4" s="4"/>
      <c r="J4" s="196" t="s">
        <v>192</v>
      </c>
      <c r="K4" s="22"/>
      <c r="L4" s="23">
        <v>45636</v>
      </c>
      <c r="M4" s="23">
        <v>46203</v>
      </c>
      <c r="N4" s="4"/>
      <c r="O4" s="190" t="s">
        <v>189</v>
      </c>
      <c r="P4" s="191"/>
      <c r="Q4" s="191"/>
      <c r="R4" s="192"/>
    </row>
    <row r="5" spans="1:23" s="3" customFormat="1" ht="39.75" customHeight="1" x14ac:dyDescent="0.2">
      <c r="A5" s="148" t="s">
        <v>4</v>
      </c>
      <c r="B5" s="149"/>
      <c r="C5" s="149"/>
      <c r="D5" s="149"/>
      <c r="E5" s="149"/>
      <c r="F5" s="149"/>
      <c r="G5" s="149"/>
      <c r="H5" s="150"/>
      <c r="I5" s="4"/>
      <c r="J5" s="196"/>
      <c r="K5" s="22"/>
      <c r="L5" s="24">
        <v>1.4488000000000001</v>
      </c>
      <c r="M5" s="24">
        <v>1.5952999999999999</v>
      </c>
      <c r="N5" s="4"/>
      <c r="O5" s="193"/>
      <c r="P5" s="194"/>
      <c r="Q5" s="194"/>
      <c r="R5" s="195"/>
    </row>
    <row r="6" spans="1:23" ht="50.25" customHeight="1" x14ac:dyDescent="0.2">
      <c r="A6" s="43" t="s">
        <v>0</v>
      </c>
      <c r="B6" s="44" t="s">
        <v>1</v>
      </c>
      <c r="C6" s="44" t="s">
        <v>2</v>
      </c>
      <c r="D6" s="44" t="s">
        <v>3</v>
      </c>
      <c r="E6" s="44" t="s">
        <v>23</v>
      </c>
      <c r="F6" s="44" t="s">
        <v>181</v>
      </c>
      <c r="G6" s="44" t="s">
        <v>182</v>
      </c>
      <c r="H6" s="44" t="s">
        <v>183</v>
      </c>
      <c r="I6" s="63"/>
      <c r="J6" s="45" t="s">
        <v>19</v>
      </c>
      <c r="K6" s="46"/>
      <c r="L6" s="189" t="s">
        <v>19</v>
      </c>
      <c r="M6" s="189"/>
      <c r="N6" s="47"/>
      <c r="O6" s="48" t="s">
        <v>5</v>
      </c>
      <c r="P6" s="48" t="s">
        <v>6</v>
      </c>
      <c r="Q6" s="48" t="s">
        <v>7</v>
      </c>
      <c r="R6" s="49" t="s">
        <v>8</v>
      </c>
    </row>
    <row r="7" spans="1:23" s="6" customFormat="1" ht="36" customHeight="1" x14ac:dyDescent="0.3">
      <c r="A7" s="73">
        <v>1</v>
      </c>
      <c r="B7" s="74" t="s">
        <v>38</v>
      </c>
      <c r="C7" s="74"/>
      <c r="D7" s="74"/>
      <c r="E7" s="74"/>
      <c r="F7" s="74"/>
      <c r="G7" s="74"/>
      <c r="H7" s="74"/>
      <c r="I7" s="63"/>
      <c r="J7" s="89"/>
      <c r="K7" s="21"/>
      <c r="L7" s="187"/>
      <c r="M7" s="188"/>
      <c r="N7" s="21"/>
      <c r="O7" s="99"/>
      <c r="P7" s="99"/>
      <c r="Q7" s="99"/>
      <c r="R7" s="99"/>
      <c r="T7" s="11"/>
      <c r="U7" s="11"/>
      <c r="V7" s="11"/>
      <c r="W7" s="11"/>
    </row>
    <row r="8" spans="1:23" s="6" customFormat="1" ht="36" customHeight="1" x14ac:dyDescent="0.3">
      <c r="A8" s="73" t="s">
        <v>39</v>
      </c>
      <c r="B8" s="74" t="s">
        <v>40</v>
      </c>
      <c r="C8" s="74"/>
      <c r="D8" s="74"/>
      <c r="E8" s="74"/>
      <c r="F8" s="74"/>
      <c r="G8" s="74"/>
      <c r="H8" s="74"/>
      <c r="I8" s="63"/>
      <c r="J8" s="89"/>
      <c r="K8" s="21"/>
      <c r="L8" s="187"/>
      <c r="M8" s="188"/>
      <c r="N8" s="21"/>
      <c r="O8" s="99"/>
      <c r="P8" s="99"/>
      <c r="Q8" s="99"/>
      <c r="R8" s="99"/>
      <c r="T8" s="11"/>
      <c r="U8" s="11"/>
      <c r="V8" s="11"/>
      <c r="W8" s="11"/>
    </row>
    <row r="9" spans="1:23" s="6" customFormat="1" ht="36" customHeight="1" x14ac:dyDescent="0.3">
      <c r="A9" s="75" t="s">
        <v>41</v>
      </c>
      <c r="B9" s="76" t="s">
        <v>42</v>
      </c>
      <c r="C9" s="2" t="s">
        <v>144</v>
      </c>
      <c r="D9" s="79">
        <v>5</v>
      </c>
      <c r="E9" s="64">
        <v>0</v>
      </c>
      <c r="F9" s="64">
        <v>4</v>
      </c>
      <c r="G9" s="64">
        <f>3+(5/5)</f>
        <v>4</v>
      </c>
      <c r="H9" s="1">
        <f>E9+F9+G9</f>
        <v>8</v>
      </c>
      <c r="I9" s="63"/>
      <c r="J9" s="107">
        <v>218446.13</v>
      </c>
      <c r="K9" s="21"/>
      <c r="L9" s="182">
        <f>ROUND($M$5/$L$5*J9,2)</f>
        <v>240535</v>
      </c>
      <c r="M9" s="182"/>
      <c r="N9" s="21"/>
      <c r="O9" s="25">
        <f t="shared" ref="O9:O21" si="0">+L9</f>
        <v>240535</v>
      </c>
      <c r="P9" s="27">
        <f>O9*19%</f>
        <v>45701.65</v>
      </c>
      <c r="Q9" s="27">
        <f>+P9+O9</f>
        <v>286236.65000000002</v>
      </c>
      <c r="R9" s="29">
        <f>+Q9*E9*D9</f>
        <v>0</v>
      </c>
      <c r="T9" s="11"/>
      <c r="U9" s="11"/>
      <c r="V9" s="11"/>
      <c r="W9" s="11"/>
    </row>
    <row r="10" spans="1:23" s="6" customFormat="1" ht="36" customHeight="1" x14ac:dyDescent="0.3">
      <c r="A10" s="75" t="s">
        <v>43</v>
      </c>
      <c r="B10" s="76" t="s">
        <v>44</v>
      </c>
      <c r="C10" s="2" t="s">
        <v>144</v>
      </c>
      <c r="D10" s="79">
        <v>10</v>
      </c>
      <c r="E10" s="64">
        <f>3/10</f>
        <v>0.3</v>
      </c>
      <c r="F10" s="64">
        <v>4</v>
      </c>
      <c r="G10" s="64">
        <f>3+(7/10)</f>
        <v>3.7</v>
      </c>
      <c r="H10" s="1">
        <f t="shared" ref="H10:H12" si="1">E10+F10+G10</f>
        <v>8</v>
      </c>
      <c r="I10" s="63"/>
      <c r="J10" s="107">
        <v>218446.16</v>
      </c>
      <c r="K10" s="21"/>
      <c r="L10" s="182">
        <f t="shared" ref="L10:L21" si="2">ROUND($M$5/$L$5*J10,2)</f>
        <v>240535.04000000001</v>
      </c>
      <c r="M10" s="182"/>
      <c r="N10" s="21"/>
      <c r="O10" s="25">
        <f t="shared" si="0"/>
        <v>240535.04000000001</v>
      </c>
      <c r="P10" s="27">
        <f t="shared" ref="P10:P12" si="3">O10*19%</f>
        <v>45701.657599999999</v>
      </c>
      <c r="Q10" s="27">
        <f t="shared" ref="Q10:Q21" si="4">+P10+O10</f>
        <v>286236.69760000001</v>
      </c>
      <c r="R10" s="29">
        <f t="shared" ref="R10:R12" si="5">+Q10*E10*D10</f>
        <v>858710.09279999998</v>
      </c>
      <c r="T10" s="11"/>
      <c r="U10" s="11"/>
      <c r="V10" s="11"/>
      <c r="W10" s="11"/>
    </row>
    <row r="11" spans="1:23" s="6" customFormat="1" ht="36" customHeight="1" x14ac:dyDescent="0.3">
      <c r="A11" s="75" t="s">
        <v>45</v>
      </c>
      <c r="B11" s="76" t="s">
        <v>46</v>
      </c>
      <c r="C11" s="2" t="s">
        <v>144</v>
      </c>
      <c r="D11" s="79">
        <v>18</v>
      </c>
      <c r="E11" s="127">
        <f>7/18</f>
        <v>0.3888888888888889</v>
      </c>
      <c r="F11" s="64">
        <v>4</v>
      </c>
      <c r="G11" s="127">
        <f>3+(11/18)</f>
        <v>3.6111111111111112</v>
      </c>
      <c r="H11" s="1">
        <f t="shared" si="1"/>
        <v>8</v>
      </c>
      <c r="I11" s="63"/>
      <c r="J11" s="107">
        <v>229338.89</v>
      </c>
      <c r="K11" s="21"/>
      <c r="L11" s="182">
        <f t="shared" si="2"/>
        <v>252529.22</v>
      </c>
      <c r="M11" s="182"/>
      <c r="N11" s="21"/>
      <c r="O11" s="25">
        <f t="shared" si="0"/>
        <v>252529.22</v>
      </c>
      <c r="P11" s="27">
        <f t="shared" si="3"/>
        <v>47980.551800000001</v>
      </c>
      <c r="Q11" s="27">
        <f t="shared" si="4"/>
        <v>300509.77179999999</v>
      </c>
      <c r="R11" s="29">
        <f t="shared" si="5"/>
        <v>2103568.4025999997</v>
      </c>
      <c r="T11" s="11"/>
      <c r="U11" s="11"/>
      <c r="V11" s="11"/>
      <c r="W11" s="11"/>
    </row>
    <row r="12" spans="1:23" s="6" customFormat="1" ht="36" customHeight="1" x14ac:dyDescent="0.3">
      <c r="A12" s="75" t="s">
        <v>47</v>
      </c>
      <c r="B12" s="76" t="s">
        <v>48</v>
      </c>
      <c r="C12" s="2" t="s">
        <v>144</v>
      </c>
      <c r="D12" s="79">
        <v>5</v>
      </c>
      <c r="E12" s="64">
        <f>3/5</f>
        <v>0.6</v>
      </c>
      <c r="F12" s="64">
        <v>4</v>
      </c>
      <c r="G12" s="64">
        <f>3+(2/5)</f>
        <v>3.4</v>
      </c>
      <c r="H12" s="1">
        <f t="shared" si="1"/>
        <v>8</v>
      </c>
      <c r="I12" s="63"/>
      <c r="J12" s="107">
        <v>229338.89</v>
      </c>
      <c r="K12" s="21"/>
      <c r="L12" s="182">
        <f t="shared" si="2"/>
        <v>252529.22</v>
      </c>
      <c r="M12" s="182"/>
      <c r="N12" s="21"/>
      <c r="O12" s="25">
        <f t="shared" si="0"/>
        <v>252529.22</v>
      </c>
      <c r="P12" s="27">
        <f t="shared" si="3"/>
        <v>47980.551800000001</v>
      </c>
      <c r="Q12" s="27">
        <f t="shared" si="4"/>
        <v>300509.77179999999</v>
      </c>
      <c r="R12" s="29">
        <f t="shared" si="5"/>
        <v>901529.31539999996</v>
      </c>
      <c r="T12" s="11"/>
      <c r="U12" s="11"/>
      <c r="V12" s="11"/>
      <c r="W12" s="11"/>
    </row>
    <row r="13" spans="1:23" s="6" customFormat="1" ht="36" customHeight="1" x14ac:dyDescent="0.3">
      <c r="A13" s="77" t="s">
        <v>49</v>
      </c>
      <c r="B13" s="74" t="s">
        <v>50</v>
      </c>
      <c r="C13" s="74"/>
      <c r="D13" s="74"/>
      <c r="E13" s="74"/>
      <c r="F13" s="74"/>
      <c r="G13" s="74"/>
      <c r="H13" s="74"/>
      <c r="I13" s="63"/>
      <c r="J13" s="108"/>
      <c r="K13" s="21"/>
      <c r="L13" s="183"/>
      <c r="M13" s="183"/>
      <c r="N13" s="21"/>
      <c r="O13" s="99"/>
      <c r="P13" s="99"/>
      <c r="Q13" s="99"/>
      <c r="R13" s="99"/>
      <c r="T13" s="11"/>
      <c r="U13" s="11"/>
      <c r="V13" s="11"/>
      <c r="W13" s="11"/>
    </row>
    <row r="14" spans="1:23" s="6" customFormat="1" ht="36" customHeight="1" x14ac:dyDescent="0.3">
      <c r="A14" s="75" t="s">
        <v>51</v>
      </c>
      <c r="B14" s="76" t="s">
        <v>52</v>
      </c>
      <c r="C14" s="2" t="s">
        <v>144</v>
      </c>
      <c r="D14" s="79">
        <v>1</v>
      </c>
      <c r="E14" s="64">
        <f>1/1</f>
        <v>1</v>
      </c>
      <c r="F14" s="64">
        <v>4</v>
      </c>
      <c r="G14" s="64">
        <v>3</v>
      </c>
      <c r="H14" s="1">
        <f t="shared" ref="H14:H16" si="6">E14+F14+G14</f>
        <v>8</v>
      </c>
      <c r="I14" s="63"/>
      <c r="J14" s="107">
        <v>221713.5</v>
      </c>
      <c r="K14" s="21"/>
      <c r="L14" s="182">
        <f t="shared" si="2"/>
        <v>244132.76</v>
      </c>
      <c r="M14" s="182"/>
      <c r="N14" s="21"/>
      <c r="O14" s="25">
        <f t="shared" si="0"/>
        <v>244132.76</v>
      </c>
      <c r="P14" s="27">
        <f t="shared" ref="P14:P16" si="7">O14*19%</f>
        <v>46385.224399999999</v>
      </c>
      <c r="Q14" s="27">
        <f t="shared" si="4"/>
        <v>290517.98440000002</v>
      </c>
      <c r="R14" s="29">
        <f t="shared" ref="R14:R16" si="8">+Q14*E14*D14</f>
        <v>290517.98440000002</v>
      </c>
      <c r="T14" s="11"/>
      <c r="U14" s="11"/>
      <c r="V14" s="11"/>
      <c r="W14" s="11"/>
    </row>
    <row r="15" spans="1:23" s="6" customFormat="1" ht="36" customHeight="1" x14ac:dyDescent="0.3">
      <c r="A15" s="75" t="s">
        <v>53</v>
      </c>
      <c r="B15" s="76" t="s">
        <v>54</v>
      </c>
      <c r="C15" s="2" t="s">
        <v>144</v>
      </c>
      <c r="D15" s="79">
        <v>1</v>
      </c>
      <c r="E15" s="64">
        <f t="shared" ref="E15:E16" si="9">1/1</f>
        <v>1</v>
      </c>
      <c r="F15" s="64">
        <v>4</v>
      </c>
      <c r="G15" s="64">
        <v>3</v>
      </c>
      <c r="H15" s="1">
        <f t="shared" si="6"/>
        <v>8</v>
      </c>
      <c r="I15" s="63"/>
      <c r="J15" s="107">
        <v>221713.5</v>
      </c>
      <c r="K15" s="21"/>
      <c r="L15" s="182">
        <f t="shared" si="2"/>
        <v>244132.76</v>
      </c>
      <c r="M15" s="182"/>
      <c r="N15" s="21"/>
      <c r="O15" s="25">
        <f t="shared" si="0"/>
        <v>244132.76</v>
      </c>
      <c r="P15" s="27">
        <f t="shared" si="7"/>
        <v>46385.224399999999</v>
      </c>
      <c r="Q15" s="27">
        <f t="shared" si="4"/>
        <v>290517.98440000002</v>
      </c>
      <c r="R15" s="29">
        <f t="shared" si="8"/>
        <v>290517.98440000002</v>
      </c>
      <c r="T15" s="11"/>
      <c r="U15" s="11"/>
      <c r="V15" s="11"/>
      <c r="W15" s="11"/>
    </row>
    <row r="16" spans="1:23" s="6" customFormat="1" ht="36" customHeight="1" x14ac:dyDescent="0.3">
      <c r="A16" s="75" t="s">
        <v>55</v>
      </c>
      <c r="B16" s="76" t="s">
        <v>56</v>
      </c>
      <c r="C16" s="2" t="s">
        <v>144</v>
      </c>
      <c r="D16" s="79">
        <v>1</v>
      </c>
      <c r="E16" s="64">
        <f t="shared" si="9"/>
        <v>1</v>
      </c>
      <c r="F16" s="64">
        <v>4</v>
      </c>
      <c r="G16" s="64">
        <v>3</v>
      </c>
      <c r="H16" s="1">
        <f t="shared" si="6"/>
        <v>8</v>
      </c>
      <c r="I16" s="63"/>
      <c r="J16" s="107">
        <v>221713.5</v>
      </c>
      <c r="K16" s="21"/>
      <c r="L16" s="182">
        <f t="shared" si="2"/>
        <v>244132.76</v>
      </c>
      <c r="M16" s="182"/>
      <c r="N16" s="21"/>
      <c r="O16" s="25">
        <f t="shared" si="0"/>
        <v>244132.76</v>
      </c>
      <c r="P16" s="27">
        <f t="shared" si="7"/>
        <v>46385.224399999999</v>
      </c>
      <c r="Q16" s="27">
        <f t="shared" si="4"/>
        <v>290517.98440000002</v>
      </c>
      <c r="R16" s="29">
        <f t="shared" si="8"/>
        <v>290517.98440000002</v>
      </c>
      <c r="T16" s="11"/>
      <c r="U16" s="11"/>
      <c r="V16" s="11"/>
      <c r="W16" s="11"/>
    </row>
    <row r="17" spans="1:23" s="6" customFormat="1" ht="36" customHeight="1" x14ac:dyDescent="0.3">
      <c r="A17" s="77" t="s">
        <v>57</v>
      </c>
      <c r="B17" s="74" t="s">
        <v>58</v>
      </c>
      <c r="C17" s="74"/>
      <c r="D17" s="74"/>
      <c r="E17" s="74"/>
      <c r="F17" s="74"/>
      <c r="G17" s="74"/>
      <c r="H17" s="74"/>
      <c r="I17" s="63"/>
      <c r="J17" s="108"/>
      <c r="K17" s="21"/>
      <c r="L17" s="183"/>
      <c r="M17" s="183"/>
      <c r="N17" s="21"/>
      <c r="O17" s="99"/>
      <c r="P17" s="99"/>
      <c r="Q17" s="99"/>
      <c r="R17" s="99"/>
      <c r="T17" s="11"/>
      <c r="U17" s="11"/>
      <c r="V17" s="11"/>
      <c r="W17" s="11"/>
    </row>
    <row r="18" spans="1:23" s="6" customFormat="1" ht="36" customHeight="1" x14ac:dyDescent="0.3">
      <c r="A18" s="75" t="s">
        <v>59</v>
      </c>
      <c r="B18" s="76" t="s">
        <v>60</v>
      </c>
      <c r="C18" s="2" t="s">
        <v>144</v>
      </c>
      <c r="D18" s="79">
        <v>33</v>
      </c>
      <c r="E18" s="127">
        <f>13/33</f>
        <v>0.39393939393939392</v>
      </c>
      <c r="F18" s="64">
        <v>4</v>
      </c>
      <c r="G18" s="127">
        <f>3+(20/33)</f>
        <v>3.606060606060606</v>
      </c>
      <c r="H18" s="1">
        <f t="shared" ref="H18:H25" si="10">E18+F18+G18</f>
        <v>8</v>
      </c>
      <c r="I18" s="63"/>
      <c r="J18" s="107">
        <v>139964.01999999999</v>
      </c>
      <c r="K18" s="21"/>
      <c r="L18" s="182">
        <f t="shared" si="2"/>
        <v>154116.93</v>
      </c>
      <c r="M18" s="182"/>
      <c r="N18" s="21"/>
      <c r="O18" s="25">
        <f t="shared" si="0"/>
        <v>154116.93</v>
      </c>
      <c r="P18" s="27">
        <f t="shared" ref="P18:P25" si="11">O18*19%</f>
        <v>29282.216699999997</v>
      </c>
      <c r="Q18" s="27">
        <f t="shared" si="4"/>
        <v>183399.14669999998</v>
      </c>
      <c r="R18" s="29">
        <f t="shared" ref="R18:R25" si="12">+Q18*E18*D18</f>
        <v>2384188.9070999995</v>
      </c>
      <c r="T18" s="11"/>
      <c r="U18" s="11"/>
      <c r="V18" s="11"/>
      <c r="W18" s="11"/>
    </row>
    <row r="19" spans="1:23" s="6" customFormat="1" ht="36" customHeight="1" x14ac:dyDescent="0.3">
      <c r="A19" s="75" t="s">
        <v>61</v>
      </c>
      <c r="B19" s="76" t="s">
        <v>62</v>
      </c>
      <c r="C19" s="2" t="s">
        <v>144</v>
      </c>
      <c r="D19" s="79">
        <v>13</v>
      </c>
      <c r="E19" s="127">
        <f>4/13</f>
        <v>0.30769230769230771</v>
      </c>
      <c r="F19" s="64">
        <v>4</v>
      </c>
      <c r="G19" s="127">
        <f>3+(9/13)</f>
        <v>3.6923076923076925</v>
      </c>
      <c r="H19" s="1">
        <f t="shared" si="10"/>
        <v>8</v>
      </c>
      <c r="I19" s="63"/>
      <c r="J19" s="107">
        <v>139964.01999999999</v>
      </c>
      <c r="K19" s="21"/>
      <c r="L19" s="182">
        <f t="shared" si="2"/>
        <v>154116.93</v>
      </c>
      <c r="M19" s="182"/>
      <c r="N19" s="21"/>
      <c r="O19" s="25">
        <f t="shared" si="0"/>
        <v>154116.93</v>
      </c>
      <c r="P19" s="27">
        <f t="shared" si="11"/>
        <v>29282.216699999997</v>
      </c>
      <c r="Q19" s="27">
        <f t="shared" si="4"/>
        <v>183399.14669999998</v>
      </c>
      <c r="R19" s="29">
        <f t="shared" si="12"/>
        <v>733596.58679999993</v>
      </c>
      <c r="T19" s="11"/>
      <c r="U19" s="11"/>
      <c r="V19" s="11"/>
      <c r="W19" s="11"/>
    </row>
    <row r="20" spans="1:23" s="6" customFormat="1" ht="36" customHeight="1" x14ac:dyDescent="0.3">
      <c r="A20" s="75" t="s">
        <v>63</v>
      </c>
      <c r="B20" s="76" t="s">
        <v>64</v>
      </c>
      <c r="C20" s="2" t="s">
        <v>144</v>
      </c>
      <c r="D20" s="79">
        <v>25</v>
      </c>
      <c r="E20" s="64">
        <f>5/25</f>
        <v>0.2</v>
      </c>
      <c r="F20" s="64">
        <v>4</v>
      </c>
      <c r="G20" s="64">
        <f>3+(20/25)</f>
        <v>3.8</v>
      </c>
      <c r="H20" s="1">
        <f t="shared" si="10"/>
        <v>8</v>
      </c>
      <c r="I20" s="63"/>
      <c r="J20" s="107">
        <v>139964.01</v>
      </c>
      <c r="K20" s="21"/>
      <c r="L20" s="182">
        <f t="shared" si="2"/>
        <v>154116.91</v>
      </c>
      <c r="M20" s="182"/>
      <c r="N20" s="21"/>
      <c r="O20" s="25">
        <f t="shared" si="0"/>
        <v>154116.91</v>
      </c>
      <c r="P20" s="27">
        <f t="shared" si="11"/>
        <v>29282.212900000002</v>
      </c>
      <c r="Q20" s="27">
        <f t="shared" si="4"/>
        <v>183399.12290000002</v>
      </c>
      <c r="R20" s="29">
        <f t="shared" si="12"/>
        <v>916995.61450000014</v>
      </c>
      <c r="T20" s="11"/>
      <c r="U20" s="11"/>
      <c r="V20" s="11"/>
      <c r="W20" s="11"/>
    </row>
    <row r="21" spans="1:23" s="6" customFormat="1" ht="36" customHeight="1" x14ac:dyDescent="0.3">
      <c r="A21" s="75" t="s">
        <v>65</v>
      </c>
      <c r="B21" s="76" t="s">
        <v>66</v>
      </c>
      <c r="C21" s="2" t="s">
        <v>144</v>
      </c>
      <c r="D21" s="79">
        <v>37</v>
      </c>
      <c r="E21" s="127">
        <f>11/37</f>
        <v>0.29729729729729731</v>
      </c>
      <c r="F21" s="64">
        <v>4</v>
      </c>
      <c r="G21" s="127">
        <f>3+(26/37)</f>
        <v>3.7027027027027026</v>
      </c>
      <c r="H21" s="1">
        <f t="shared" si="10"/>
        <v>8</v>
      </c>
      <c r="I21" s="63"/>
      <c r="J21" s="107">
        <v>143667.1</v>
      </c>
      <c r="K21" s="21"/>
      <c r="L21" s="182">
        <f t="shared" si="2"/>
        <v>158194.45000000001</v>
      </c>
      <c r="M21" s="182"/>
      <c r="N21" s="21"/>
      <c r="O21" s="25">
        <f t="shared" si="0"/>
        <v>158194.45000000001</v>
      </c>
      <c r="P21" s="27">
        <f t="shared" si="11"/>
        <v>30056.945500000002</v>
      </c>
      <c r="Q21" s="27">
        <f t="shared" si="4"/>
        <v>188251.39550000001</v>
      </c>
      <c r="R21" s="29">
        <f t="shared" si="12"/>
        <v>2070765.3505000002</v>
      </c>
      <c r="T21" s="11"/>
      <c r="U21" s="11"/>
      <c r="V21" s="11"/>
      <c r="W21" s="11"/>
    </row>
    <row r="22" spans="1:23" s="6" customFormat="1" ht="36" customHeight="1" x14ac:dyDescent="0.3">
      <c r="A22" s="75" t="s">
        <v>67</v>
      </c>
      <c r="B22" s="76" t="s">
        <v>68</v>
      </c>
      <c r="C22" s="2" t="s">
        <v>144</v>
      </c>
      <c r="D22" s="79">
        <v>18</v>
      </c>
      <c r="E22" s="127">
        <f>5/18</f>
        <v>0.27777777777777779</v>
      </c>
      <c r="F22" s="64">
        <v>4</v>
      </c>
      <c r="G22" s="127">
        <f>3+(13/18)</f>
        <v>3.7222222222222223</v>
      </c>
      <c r="H22" s="1">
        <f t="shared" si="10"/>
        <v>8</v>
      </c>
      <c r="I22" s="63"/>
      <c r="J22" s="107">
        <v>143667.09</v>
      </c>
      <c r="K22" s="21"/>
      <c r="L22" s="177">
        <f t="shared" ref="L22:L25" si="13">ROUND($M$5/$L$5*J22,2)</f>
        <v>158194.44</v>
      </c>
      <c r="M22" s="178"/>
      <c r="N22" s="21"/>
      <c r="O22" s="25">
        <f t="shared" ref="O22:O25" si="14">+L22</f>
        <v>158194.44</v>
      </c>
      <c r="P22" s="27">
        <f t="shared" si="11"/>
        <v>30056.943600000002</v>
      </c>
      <c r="Q22" s="27">
        <f t="shared" ref="Q22:Q25" si="15">+P22+O22</f>
        <v>188251.3836</v>
      </c>
      <c r="R22" s="29">
        <f t="shared" si="12"/>
        <v>941256.91799999995</v>
      </c>
      <c r="T22" s="11"/>
      <c r="U22" s="11"/>
      <c r="V22" s="11"/>
      <c r="W22" s="11"/>
    </row>
    <row r="23" spans="1:23" s="6" customFormat="1" ht="36" customHeight="1" x14ac:dyDescent="0.3">
      <c r="A23" s="75" t="s">
        <v>69</v>
      </c>
      <c r="B23" s="76" t="s">
        <v>70</v>
      </c>
      <c r="C23" s="2" t="s">
        <v>144</v>
      </c>
      <c r="D23" s="79">
        <v>48</v>
      </c>
      <c r="E23" s="64">
        <f>30/48</f>
        <v>0.625</v>
      </c>
      <c r="F23" s="64">
        <v>4</v>
      </c>
      <c r="G23" s="64">
        <f>3+(18/48)</f>
        <v>3.375</v>
      </c>
      <c r="H23" s="1">
        <f t="shared" si="10"/>
        <v>8</v>
      </c>
      <c r="I23" s="63"/>
      <c r="J23" s="107">
        <v>143667.09</v>
      </c>
      <c r="K23" s="21"/>
      <c r="L23" s="177">
        <f t="shared" si="13"/>
        <v>158194.44</v>
      </c>
      <c r="M23" s="178"/>
      <c r="N23" s="21"/>
      <c r="O23" s="25">
        <f t="shared" si="14"/>
        <v>158194.44</v>
      </c>
      <c r="P23" s="27">
        <f t="shared" si="11"/>
        <v>30056.943600000002</v>
      </c>
      <c r="Q23" s="27">
        <f t="shared" si="15"/>
        <v>188251.3836</v>
      </c>
      <c r="R23" s="29">
        <f t="shared" si="12"/>
        <v>5647541.5080000004</v>
      </c>
      <c r="T23" s="11"/>
      <c r="U23" s="11"/>
      <c r="V23" s="11"/>
      <c r="W23" s="11"/>
    </row>
    <row r="24" spans="1:23" s="6" customFormat="1" ht="36" customHeight="1" x14ac:dyDescent="0.3">
      <c r="A24" s="75" t="s">
        <v>71</v>
      </c>
      <c r="B24" s="76" t="s">
        <v>72</v>
      </c>
      <c r="C24" s="2" t="s">
        <v>144</v>
      </c>
      <c r="D24" s="79">
        <v>14</v>
      </c>
      <c r="E24" s="64">
        <v>0</v>
      </c>
      <c r="F24" s="64">
        <v>4</v>
      </c>
      <c r="G24" s="64">
        <f>3+(14/14)</f>
        <v>4</v>
      </c>
      <c r="H24" s="1">
        <f t="shared" si="10"/>
        <v>8</v>
      </c>
      <c r="I24" s="63"/>
      <c r="J24" s="107">
        <v>145410.13</v>
      </c>
      <c r="K24" s="21"/>
      <c r="L24" s="177">
        <f t="shared" si="13"/>
        <v>160113.74</v>
      </c>
      <c r="M24" s="178"/>
      <c r="N24" s="21"/>
      <c r="O24" s="25">
        <f t="shared" si="14"/>
        <v>160113.74</v>
      </c>
      <c r="P24" s="27">
        <f t="shared" si="11"/>
        <v>30421.6106</v>
      </c>
      <c r="Q24" s="27">
        <f t="shared" si="15"/>
        <v>190535.35060000001</v>
      </c>
      <c r="R24" s="29">
        <f t="shared" si="12"/>
        <v>0</v>
      </c>
      <c r="T24" s="11"/>
      <c r="U24" s="11"/>
      <c r="V24" s="11"/>
      <c r="W24" s="11"/>
    </row>
    <row r="25" spans="1:23" s="6" customFormat="1" ht="36" customHeight="1" x14ac:dyDescent="0.3">
      <c r="A25" s="75" t="s">
        <v>73</v>
      </c>
      <c r="B25" s="76" t="s">
        <v>74</v>
      </c>
      <c r="C25" s="2" t="s">
        <v>144</v>
      </c>
      <c r="D25" s="79">
        <v>3</v>
      </c>
      <c r="E25" s="64">
        <v>0</v>
      </c>
      <c r="F25" s="64">
        <v>4</v>
      </c>
      <c r="G25" s="64">
        <f>3+(3/3)</f>
        <v>4</v>
      </c>
      <c r="H25" s="1">
        <f t="shared" si="10"/>
        <v>8</v>
      </c>
      <c r="I25" s="63"/>
      <c r="J25" s="107">
        <v>145410.15</v>
      </c>
      <c r="K25" s="21"/>
      <c r="L25" s="177">
        <f t="shared" si="13"/>
        <v>160113.76</v>
      </c>
      <c r="M25" s="178"/>
      <c r="N25" s="21"/>
      <c r="O25" s="25">
        <f t="shared" si="14"/>
        <v>160113.76</v>
      </c>
      <c r="P25" s="27">
        <f t="shared" si="11"/>
        <v>30421.614400000002</v>
      </c>
      <c r="Q25" s="27">
        <f t="shared" si="15"/>
        <v>190535.3744</v>
      </c>
      <c r="R25" s="29">
        <f t="shared" si="12"/>
        <v>0</v>
      </c>
      <c r="T25" s="11"/>
      <c r="U25" s="11"/>
      <c r="V25" s="11"/>
      <c r="W25" s="11"/>
    </row>
    <row r="26" spans="1:23" s="6" customFormat="1" ht="36" customHeight="1" x14ac:dyDescent="0.3">
      <c r="A26" s="77" t="s">
        <v>75</v>
      </c>
      <c r="B26" s="74" t="s">
        <v>76</v>
      </c>
      <c r="C26" s="74"/>
      <c r="D26" s="74"/>
      <c r="E26" s="74"/>
      <c r="F26" s="74"/>
      <c r="G26" s="74"/>
      <c r="H26" s="74"/>
      <c r="I26" s="63"/>
      <c r="J26" s="108"/>
      <c r="K26" s="21"/>
      <c r="L26" s="187"/>
      <c r="M26" s="188"/>
      <c r="N26" s="21"/>
      <c r="O26" s="99"/>
      <c r="P26" s="99"/>
      <c r="Q26" s="99"/>
      <c r="R26" s="99"/>
      <c r="T26" s="11"/>
      <c r="U26" s="11"/>
      <c r="V26" s="11"/>
      <c r="W26" s="11"/>
    </row>
    <row r="27" spans="1:23" s="6" customFormat="1" ht="36" customHeight="1" x14ac:dyDescent="0.3">
      <c r="A27" s="75" t="s">
        <v>77</v>
      </c>
      <c r="B27" s="76" t="s">
        <v>78</v>
      </c>
      <c r="C27" s="2" t="s">
        <v>144</v>
      </c>
      <c r="D27" s="79">
        <v>3</v>
      </c>
      <c r="E27" s="64">
        <v>0</v>
      </c>
      <c r="F27" s="64">
        <v>4</v>
      </c>
      <c r="G27" s="64">
        <f>3+(3/3)</f>
        <v>4</v>
      </c>
      <c r="H27" s="1">
        <f t="shared" ref="H27:H32" si="16">E27+F27+G27</f>
        <v>8</v>
      </c>
      <c r="I27" s="63"/>
      <c r="J27" s="107">
        <v>149767.39000000001</v>
      </c>
      <c r="K27" s="21"/>
      <c r="L27" s="177">
        <f t="shared" ref="L27:L32" si="17">ROUND($M$5/$L$5*J27,2)</f>
        <v>164911.59</v>
      </c>
      <c r="M27" s="178"/>
      <c r="N27" s="21"/>
      <c r="O27" s="25">
        <f t="shared" ref="O27:O32" si="18">+L27</f>
        <v>164911.59</v>
      </c>
      <c r="P27" s="27">
        <f t="shared" ref="P27:P32" si="19">O27*19%</f>
        <v>31333.202099999999</v>
      </c>
      <c r="Q27" s="27">
        <f t="shared" ref="Q27:Q32" si="20">+P27+O27</f>
        <v>196244.79209999999</v>
      </c>
      <c r="R27" s="29">
        <f t="shared" ref="R27:R32" si="21">+Q27*E27*D27</f>
        <v>0</v>
      </c>
      <c r="T27" s="11"/>
      <c r="U27" s="11"/>
      <c r="V27" s="11"/>
      <c r="W27" s="11"/>
    </row>
    <row r="28" spans="1:23" s="6" customFormat="1" ht="36" customHeight="1" x14ac:dyDescent="0.3">
      <c r="A28" s="75" t="s">
        <v>79</v>
      </c>
      <c r="B28" s="76" t="s">
        <v>80</v>
      </c>
      <c r="C28" s="2" t="s">
        <v>144</v>
      </c>
      <c r="D28" s="79">
        <v>14</v>
      </c>
      <c r="E28" s="127">
        <f>8/14</f>
        <v>0.5714285714285714</v>
      </c>
      <c r="F28" s="64">
        <v>4</v>
      </c>
      <c r="G28" s="127">
        <f>3+(6/14)</f>
        <v>3.4285714285714284</v>
      </c>
      <c r="H28" s="1">
        <f t="shared" si="16"/>
        <v>8</v>
      </c>
      <c r="I28" s="63"/>
      <c r="J28" s="107">
        <v>149767.32</v>
      </c>
      <c r="K28" s="21"/>
      <c r="L28" s="177">
        <f t="shared" si="17"/>
        <v>164911.51999999999</v>
      </c>
      <c r="M28" s="178"/>
      <c r="N28" s="21"/>
      <c r="O28" s="25">
        <f t="shared" si="18"/>
        <v>164911.51999999999</v>
      </c>
      <c r="P28" s="27">
        <f t="shared" si="19"/>
        <v>31333.1888</v>
      </c>
      <c r="Q28" s="27">
        <f t="shared" si="20"/>
        <v>196244.70879999999</v>
      </c>
      <c r="R28" s="29">
        <f t="shared" si="21"/>
        <v>1569957.6703999997</v>
      </c>
      <c r="T28" s="11"/>
      <c r="U28" s="11"/>
      <c r="V28" s="11"/>
      <c r="W28" s="11"/>
    </row>
    <row r="29" spans="1:23" s="6" customFormat="1" ht="36" customHeight="1" x14ac:dyDescent="0.3">
      <c r="A29" s="75" t="s">
        <v>81</v>
      </c>
      <c r="B29" s="76" t="s">
        <v>82</v>
      </c>
      <c r="C29" s="2" t="s">
        <v>144</v>
      </c>
      <c r="D29" s="79">
        <v>8</v>
      </c>
      <c r="E29" s="64">
        <f>2/D29</f>
        <v>0.25</v>
      </c>
      <c r="F29" s="64">
        <v>4</v>
      </c>
      <c r="G29" s="64">
        <f>3+(6/8)</f>
        <v>3.75</v>
      </c>
      <c r="H29" s="1">
        <f t="shared" si="16"/>
        <v>8</v>
      </c>
      <c r="I29" s="63"/>
      <c r="J29" s="107">
        <v>153470.37</v>
      </c>
      <c r="K29" s="21"/>
      <c r="L29" s="177">
        <f t="shared" si="17"/>
        <v>168989.01</v>
      </c>
      <c r="M29" s="178"/>
      <c r="N29" s="21"/>
      <c r="O29" s="25">
        <f t="shared" si="18"/>
        <v>168989.01</v>
      </c>
      <c r="P29" s="27">
        <f t="shared" si="19"/>
        <v>32107.911900000003</v>
      </c>
      <c r="Q29" s="27">
        <f t="shared" si="20"/>
        <v>201096.92190000002</v>
      </c>
      <c r="R29" s="29">
        <f t="shared" si="21"/>
        <v>402193.84380000003</v>
      </c>
      <c r="T29" s="11"/>
      <c r="U29" s="11"/>
      <c r="V29" s="11"/>
      <c r="W29" s="11"/>
    </row>
    <row r="30" spans="1:23" s="6" customFormat="1" ht="36" customHeight="1" x14ac:dyDescent="0.3">
      <c r="A30" s="75" t="s">
        <v>83</v>
      </c>
      <c r="B30" s="76" t="s">
        <v>84</v>
      </c>
      <c r="C30" s="2" t="s">
        <v>144</v>
      </c>
      <c r="D30" s="79">
        <v>3</v>
      </c>
      <c r="E30" s="64">
        <f>3/D30</f>
        <v>1</v>
      </c>
      <c r="F30" s="64">
        <v>4</v>
      </c>
      <c r="G30" s="64">
        <v>3</v>
      </c>
      <c r="H30" s="1">
        <f t="shared" si="16"/>
        <v>8</v>
      </c>
      <c r="I30" s="63"/>
      <c r="J30" s="107">
        <v>153470.51</v>
      </c>
      <c r="K30" s="21"/>
      <c r="L30" s="177">
        <f t="shared" si="17"/>
        <v>168989.17</v>
      </c>
      <c r="M30" s="178"/>
      <c r="N30" s="21"/>
      <c r="O30" s="25">
        <f t="shared" si="18"/>
        <v>168989.17</v>
      </c>
      <c r="P30" s="27">
        <f t="shared" si="19"/>
        <v>32107.942300000002</v>
      </c>
      <c r="Q30" s="27">
        <f t="shared" si="20"/>
        <v>201097.11230000001</v>
      </c>
      <c r="R30" s="29">
        <f t="shared" si="21"/>
        <v>603291.33689999999</v>
      </c>
      <c r="T30" s="11"/>
      <c r="U30" s="11"/>
      <c r="V30" s="11"/>
      <c r="W30" s="11"/>
    </row>
    <row r="31" spans="1:23" s="6" customFormat="1" ht="36" customHeight="1" x14ac:dyDescent="0.3">
      <c r="A31" s="75" t="s">
        <v>85</v>
      </c>
      <c r="B31" s="76" t="s">
        <v>86</v>
      </c>
      <c r="C31" s="2" t="s">
        <v>144</v>
      </c>
      <c r="D31" s="79">
        <v>4</v>
      </c>
      <c r="E31" s="64">
        <v>0</v>
      </c>
      <c r="F31" s="64">
        <v>4</v>
      </c>
      <c r="G31" s="64">
        <f>(3+(4/4))</f>
        <v>4</v>
      </c>
      <c r="H31" s="1">
        <f t="shared" si="16"/>
        <v>8</v>
      </c>
      <c r="I31" s="63"/>
      <c r="J31" s="107">
        <v>153470.47</v>
      </c>
      <c r="K31" s="21"/>
      <c r="L31" s="177">
        <f t="shared" si="17"/>
        <v>168989.12</v>
      </c>
      <c r="M31" s="178"/>
      <c r="N31" s="21"/>
      <c r="O31" s="25">
        <f t="shared" si="18"/>
        <v>168989.12</v>
      </c>
      <c r="P31" s="27">
        <f t="shared" si="19"/>
        <v>32107.932799999999</v>
      </c>
      <c r="Q31" s="27">
        <f t="shared" si="20"/>
        <v>201097.0528</v>
      </c>
      <c r="R31" s="29">
        <f t="shared" si="21"/>
        <v>0</v>
      </c>
      <c r="T31" s="11"/>
      <c r="U31" s="11"/>
      <c r="V31" s="11"/>
      <c r="W31" s="11"/>
    </row>
    <row r="32" spans="1:23" s="6" customFormat="1" ht="36" customHeight="1" x14ac:dyDescent="0.3">
      <c r="A32" s="75" t="s">
        <v>87</v>
      </c>
      <c r="B32" s="76" t="s">
        <v>88</v>
      </c>
      <c r="C32" s="2" t="s">
        <v>144</v>
      </c>
      <c r="D32" s="79">
        <v>4</v>
      </c>
      <c r="E32" s="64">
        <f>1/4</f>
        <v>0.25</v>
      </c>
      <c r="F32" s="64">
        <v>4</v>
      </c>
      <c r="G32" s="64">
        <f>3+(3/4)</f>
        <v>3.75</v>
      </c>
      <c r="H32" s="1">
        <f t="shared" si="16"/>
        <v>8</v>
      </c>
      <c r="I32" s="63"/>
      <c r="J32" s="107">
        <v>153470.47</v>
      </c>
      <c r="K32" s="21"/>
      <c r="L32" s="177">
        <f t="shared" si="17"/>
        <v>168989.12</v>
      </c>
      <c r="M32" s="178"/>
      <c r="N32" s="21"/>
      <c r="O32" s="25">
        <f t="shared" si="18"/>
        <v>168989.12</v>
      </c>
      <c r="P32" s="27">
        <f t="shared" si="19"/>
        <v>32107.932799999999</v>
      </c>
      <c r="Q32" s="27">
        <f t="shared" si="20"/>
        <v>201097.0528</v>
      </c>
      <c r="R32" s="29">
        <f t="shared" si="21"/>
        <v>201097.0528</v>
      </c>
      <c r="T32" s="11"/>
      <c r="U32" s="11"/>
      <c r="V32" s="11"/>
      <c r="W32" s="11"/>
    </row>
    <row r="33" spans="1:23" s="6" customFormat="1" ht="36" customHeight="1" x14ac:dyDescent="0.3">
      <c r="A33" s="77" t="s">
        <v>89</v>
      </c>
      <c r="B33" s="74" t="s">
        <v>90</v>
      </c>
      <c r="C33" s="74"/>
      <c r="D33" s="74"/>
      <c r="E33" s="74"/>
      <c r="F33" s="74"/>
      <c r="G33" s="74"/>
      <c r="H33" s="74"/>
      <c r="I33" s="63"/>
      <c r="J33" s="108"/>
      <c r="K33" s="21"/>
      <c r="L33" s="187"/>
      <c r="M33" s="188"/>
      <c r="N33" s="21"/>
      <c r="O33" s="99"/>
      <c r="P33" s="99"/>
      <c r="Q33" s="99"/>
      <c r="R33" s="99"/>
      <c r="T33" s="11"/>
      <c r="U33" s="11"/>
      <c r="V33" s="11"/>
      <c r="W33" s="11"/>
    </row>
    <row r="34" spans="1:23" s="6" customFormat="1" ht="36" customHeight="1" x14ac:dyDescent="0.3">
      <c r="A34" s="75" t="s">
        <v>91</v>
      </c>
      <c r="B34" s="76" t="s">
        <v>92</v>
      </c>
      <c r="C34" s="2" t="s">
        <v>144</v>
      </c>
      <c r="D34" s="79">
        <v>137</v>
      </c>
      <c r="E34" s="127">
        <f>29/137</f>
        <v>0.21167883211678831</v>
      </c>
      <c r="F34" s="64">
        <v>4</v>
      </c>
      <c r="G34" s="127">
        <f>3+(108/137)</f>
        <v>3.7883211678832116</v>
      </c>
      <c r="H34" s="1">
        <f t="shared" ref="H34:H37" si="22">E34+F34+G34</f>
        <v>8</v>
      </c>
      <c r="I34" s="63"/>
      <c r="J34" s="107">
        <v>99753.1</v>
      </c>
      <c r="K34" s="21"/>
      <c r="L34" s="177">
        <f t="shared" ref="L34:L37" si="23">ROUND($M$5/$L$5*J34,2)</f>
        <v>109839.95</v>
      </c>
      <c r="M34" s="178"/>
      <c r="N34" s="21"/>
      <c r="O34" s="25">
        <f t="shared" ref="O34:O37" si="24">+L34</f>
        <v>109839.95</v>
      </c>
      <c r="P34" s="27">
        <f t="shared" ref="P34:P37" si="25">O34*19%</f>
        <v>20869.590499999998</v>
      </c>
      <c r="Q34" s="27">
        <f t="shared" ref="Q34:Q37" si="26">+P34+O34</f>
        <v>130709.5405</v>
      </c>
      <c r="R34" s="29">
        <f t="shared" ref="R34:R37" si="27">+Q34*E34*D34</f>
        <v>3790576.6745000002</v>
      </c>
      <c r="T34" s="11"/>
      <c r="U34" s="11"/>
      <c r="V34" s="11"/>
      <c r="W34" s="11"/>
    </row>
    <row r="35" spans="1:23" s="6" customFormat="1" ht="36" customHeight="1" x14ac:dyDescent="0.3">
      <c r="A35" s="75" t="s">
        <v>93</v>
      </c>
      <c r="B35" s="76" t="s">
        <v>94</v>
      </c>
      <c r="C35" s="2" t="s">
        <v>144</v>
      </c>
      <c r="D35" s="79">
        <v>29</v>
      </c>
      <c r="E35" s="127">
        <f>15/D35</f>
        <v>0.51724137931034486</v>
      </c>
      <c r="F35" s="64">
        <v>4</v>
      </c>
      <c r="G35" s="127">
        <f>3+(14/29)</f>
        <v>3.4827586206896552</v>
      </c>
      <c r="H35" s="1">
        <f t="shared" si="22"/>
        <v>8</v>
      </c>
      <c r="I35" s="63"/>
      <c r="J35" s="107">
        <v>99753.11</v>
      </c>
      <c r="K35" s="21"/>
      <c r="L35" s="177">
        <f t="shared" si="23"/>
        <v>109839.96</v>
      </c>
      <c r="M35" s="178"/>
      <c r="N35" s="21"/>
      <c r="O35" s="25">
        <f t="shared" si="24"/>
        <v>109839.96</v>
      </c>
      <c r="P35" s="27">
        <f t="shared" si="25"/>
        <v>20869.592400000001</v>
      </c>
      <c r="Q35" s="27">
        <f t="shared" si="26"/>
        <v>130709.55240000002</v>
      </c>
      <c r="R35" s="29">
        <f t="shared" si="27"/>
        <v>1960643.2860000005</v>
      </c>
      <c r="T35" s="11"/>
      <c r="U35" s="11"/>
      <c r="V35" s="11"/>
      <c r="W35" s="11"/>
    </row>
    <row r="36" spans="1:23" s="6" customFormat="1" ht="36" customHeight="1" x14ac:dyDescent="0.3">
      <c r="A36" s="75" t="s">
        <v>95</v>
      </c>
      <c r="B36" s="76" t="s">
        <v>96</v>
      </c>
      <c r="C36" s="2" t="s">
        <v>144</v>
      </c>
      <c r="D36" s="79">
        <v>10</v>
      </c>
      <c r="E36" s="64">
        <f>10/10</f>
        <v>1</v>
      </c>
      <c r="F36" s="64">
        <v>4</v>
      </c>
      <c r="G36" s="64">
        <v>3</v>
      </c>
      <c r="H36" s="1">
        <f t="shared" si="22"/>
        <v>8</v>
      </c>
      <c r="I36" s="63"/>
      <c r="J36" s="107">
        <v>99753.12</v>
      </c>
      <c r="K36" s="21"/>
      <c r="L36" s="177">
        <f t="shared" si="23"/>
        <v>109839.97</v>
      </c>
      <c r="M36" s="178"/>
      <c r="N36" s="21"/>
      <c r="O36" s="25">
        <f t="shared" si="24"/>
        <v>109839.97</v>
      </c>
      <c r="P36" s="27">
        <f t="shared" si="25"/>
        <v>20869.594300000001</v>
      </c>
      <c r="Q36" s="27">
        <f t="shared" si="26"/>
        <v>130709.5643</v>
      </c>
      <c r="R36" s="29">
        <f t="shared" si="27"/>
        <v>1307095.6429999999</v>
      </c>
      <c r="T36" s="11"/>
      <c r="U36" s="11"/>
      <c r="V36" s="11"/>
      <c r="W36" s="11"/>
    </row>
    <row r="37" spans="1:23" s="6" customFormat="1" ht="36" customHeight="1" x14ac:dyDescent="0.3">
      <c r="A37" s="75" t="s">
        <v>97</v>
      </c>
      <c r="B37" s="76" t="s">
        <v>98</v>
      </c>
      <c r="C37" s="2" t="s">
        <v>144</v>
      </c>
      <c r="D37" s="79">
        <v>9</v>
      </c>
      <c r="E37" s="127">
        <f>(1/9)</f>
        <v>0.1111111111111111</v>
      </c>
      <c r="F37" s="64">
        <v>4</v>
      </c>
      <c r="G37" s="127">
        <f>3+(8/9)</f>
        <v>3.8888888888888888</v>
      </c>
      <c r="H37" s="1">
        <f t="shared" si="22"/>
        <v>8</v>
      </c>
      <c r="I37" s="63"/>
      <c r="J37" s="107">
        <v>99753.14</v>
      </c>
      <c r="K37" s="21"/>
      <c r="L37" s="177">
        <f t="shared" si="23"/>
        <v>109839.99</v>
      </c>
      <c r="M37" s="178"/>
      <c r="N37" s="21"/>
      <c r="O37" s="25">
        <f t="shared" si="24"/>
        <v>109839.99</v>
      </c>
      <c r="P37" s="27">
        <f t="shared" si="25"/>
        <v>20869.598100000003</v>
      </c>
      <c r="Q37" s="27">
        <f t="shared" si="26"/>
        <v>130709.58810000001</v>
      </c>
      <c r="R37" s="29">
        <f t="shared" si="27"/>
        <v>130709.58809999999</v>
      </c>
      <c r="T37" s="11"/>
      <c r="U37" s="11"/>
      <c r="V37" s="11"/>
      <c r="W37" s="11"/>
    </row>
    <row r="38" spans="1:23" s="6" customFormat="1" ht="36" customHeight="1" x14ac:dyDescent="0.3">
      <c r="A38" s="77" t="s">
        <v>99</v>
      </c>
      <c r="B38" s="74" t="s">
        <v>100</v>
      </c>
      <c r="C38" s="74"/>
      <c r="D38" s="74"/>
      <c r="E38" s="74"/>
      <c r="F38" s="74"/>
      <c r="G38" s="74"/>
      <c r="H38" s="74"/>
      <c r="I38" s="63"/>
      <c r="J38" s="108"/>
      <c r="K38" s="21"/>
      <c r="L38" s="187"/>
      <c r="M38" s="188"/>
      <c r="N38" s="21"/>
      <c r="O38" s="99"/>
      <c r="P38" s="99"/>
      <c r="Q38" s="99"/>
      <c r="R38" s="99"/>
      <c r="T38" s="11"/>
      <c r="U38" s="11"/>
      <c r="V38" s="11"/>
      <c r="W38" s="11"/>
    </row>
    <row r="39" spans="1:23" s="6" customFormat="1" ht="36" customHeight="1" x14ac:dyDescent="0.3">
      <c r="A39" s="75" t="s">
        <v>101</v>
      </c>
      <c r="B39" s="78" t="s">
        <v>102</v>
      </c>
      <c r="C39" s="2" t="s">
        <v>144</v>
      </c>
      <c r="D39" s="79">
        <v>7</v>
      </c>
      <c r="E39" s="64">
        <v>0</v>
      </c>
      <c r="F39" s="64">
        <v>4</v>
      </c>
      <c r="G39" s="64">
        <f>3+(7/7)</f>
        <v>4</v>
      </c>
      <c r="H39" s="1">
        <f t="shared" ref="H39:H45" si="28">E39+F39+G39</f>
        <v>8</v>
      </c>
      <c r="I39" s="63"/>
      <c r="J39" s="107">
        <v>137531.26999999999</v>
      </c>
      <c r="K39" s="21"/>
      <c r="L39" s="177">
        <f t="shared" ref="L39:L45" si="29">ROUND($M$5/$L$5*J39,2)</f>
        <v>151438.18</v>
      </c>
      <c r="M39" s="178"/>
      <c r="N39" s="21"/>
      <c r="O39" s="25">
        <f t="shared" ref="O39:O45" si="30">+L39</f>
        <v>151438.18</v>
      </c>
      <c r="P39" s="27">
        <f t="shared" ref="P39:P45" si="31">O39*19%</f>
        <v>28773.254199999999</v>
      </c>
      <c r="Q39" s="27">
        <f t="shared" ref="Q39:Q45" si="32">+P39+O39</f>
        <v>180211.43419999999</v>
      </c>
      <c r="R39" s="29">
        <f t="shared" ref="R39:R45" si="33">+Q39*E39*D39</f>
        <v>0</v>
      </c>
      <c r="T39" s="11"/>
      <c r="U39" s="11"/>
      <c r="V39" s="11"/>
      <c r="W39" s="11"/>
    </row>
    <row r="40" spans="1:23" s="6" customFormat="1" ht="36" customHeight="1" x14ac:dyDescent="0.3">
      <c r="A40" s="75" t="s">
        <v>103</v>
      </c>
      <c r="B40" s="78" t="s">
        <v>104</v>
      </c>
      <c r="C40" s="2" t="s">
        <v>144</v>
      </c>
      <c r="D40" s="79">
        <v>4</v>
      </c>
      <c r="E40" s="64">
        <v>0</v>
      </c>
      <c r="F40" s="64">
        <v>4</v>
      </c>
      <c r="G40" s="64">
        <f>3+(4/4)</f>
        <v>4</v>
      </c>
      <c r="H40" s="1">
        <f t="shared" si="28"/>
        <v>8</v>
      </c>
      <c r="I40" s="63"/>
      <c r="J40" s="107">
        <v>97804.31</v>
      </c>
      <c r="K40" s="21"/>
      <c r="L40" s="177">
        <f t="shared" si="29"/>
        <v>107694.1</v>
      </c>
      <c r="M40" s="178"/>
      <c r="N40" s="21"/>
      <c r="O40" s="25">
        <f t="shared" si="30"/>
        <v>107694.1</v>
      </c>
      <c r="P40" s="27">
        <f t="shared" si="31"/>
        <v>20461.879000000001</v>
      </c>
      <c r="Q40" s="27">
        <f t="shared" si="32"/>
        <v>128155.97900000001</v>
      </c>
      <c r="R40" s="29">
        <f t="shared" si="33"/>
        <v>0</v>
      </c>
      <c r="T40" s="11"/>
      <c r="U40" s="11"/>
      <c r="V40" s="11"/>
      <c r="W40" s="11"/>
    </row>
    <row r="41" spans="1:23" s="6" customFormat="1" ht="36" customHeight="1" x14ac:dyDescent="0.3">
      <c r="A41" s="75" t="s">
        <v>105</v>
      </c>
      <c r="B41" s="78" t="s">
        <v>106</v>
      </c>
      <c r="C41" s="2" t="s">
        <v>144</v>
      </c>
      <c r="D41" s="79">
        <v>4</v>
      </c>
      <c r="E41" s="64">
        <v>0</v>
      </c>
      <c r="F41" s="64">
        <v>4</v>
      </c>
      <c r="G41" s="64">
        <f>3+(4/4)</f>
        <v>4</v>
      </c>
      <c r="H41" s="1">
        <f t="shared" si="28"/>
        <v>8</v>
      </c>
      <c r="I41" s="63"/>
      <c r="J41" s="107">
        <v>90768.31</v>
      </c>
      <c r="K41" s="21"/>
      <c r="L41" s="177">
        <f t="shared" si="29"/>
        <v>99946.64</v>
      </c>
      <c r="M41" s="178"/>
      <c r="N41" s="21"/>
      <c r="O41" s="25">
        <f t="shared" si="30"/>
        <v>99946.64</v>
      </c>
      <c r="P41" s="27">
        <f t="shared" si="31"/>
        <v>18989.8616</v>
      </c>
      <c r="Q41" s="27">
        <f t="shared" si="32"/>
        <v>118936.5016</v>
      </c>
      <c r="R41" s="29">
        <f t="shared" si="33"/>
        <v>0</v>
      </c>
      <c r="T41" s="11"/>
      <c r="U41" s="11"/>
      <c r="V41" s="11"/>
      <c r="W41" s="11"/>
    </row>
    <row r="42" spans="1:23" s="6" customFormat="1" ht="36" customHeight="1" x14ac:dyDescent="0.3">
      <c r="A42" s="75" t="s">
        <v>107</v>
      </c>
      <c r="B42" s="78" t="s">
        <v>108</v>
      </c>
      <c r="C42" s="2" t="s">
        <v>144</v>
      </c>
      <c r="D42" s="79">
        <v>9</v>
      </c>
      <c r="E42" s="64">
        <v>0</v>
      </c>
      <c r="F42" s="64">
        <v>4</v>
      </c>
      <c r="G42" s="64">
        <f>3+(9/9)</f>
        <v>4</v>
      </c>
      <c r="H42" s="1">
        <f t="shared" si="28"/>
        <v>8</v>
      </c>
      <c r="I42" s="63"/>
      <c r="J42" s="107">
        <v>138642.43</v>
      </c>
      <c r="K42" s="21"/>
      <c r="L42" s="177">
        <f t="shared" si="29"/>
        <v>152661.70000000001</v>
      </c>
      <c r="M42" s="178"/>
      <c r="N42" s="21"/>
      <c r="O42" s="25">
        <f t="shared" si="30"/>
        <v>152661.70000000001</v>
      </c>
      <c r="P42" s="27">
        <f t="shared" si="31"/>
        <v>29005.723000000002</v>
      </c>
      <c r="Q42" s="27">
        <f t="shared" si="32"/>
        <v>181667.42300000001</v>
      </c>
      <c r="R42" s="29">
        <f t="shared" si="33"/>
        <v>0</v>
      </c>
      <c r="T42" s="11"/>
      <c r="U42" s="11"/>
      <c r="V42" s="11"/>
      <c r="W42" s="11"/>
    </row>
    <row r="43" spans="1:23" s="6" customFormat="1" ht="36" customHeight="1" x14ac:dyDescent="0.3">
      <c r="A43" s="75" t="s">
        <v>109</v>
      </c>
      <c r="B43" s="78" t="s">
        <v>110</v>
      </c>
      <c r="C43" s="2" t="s">
        <v>144</v>
      </c>
      <c r="D43" s="79">
        <v>3</v>
      </c>
      <c r="E43" s="64">
        <v>0</v>
      </c>
      <c r="F43" s="64">
        <v>4</v>
      </c>
      <c r="G43" s="64">
        <f>3+(3/3)</f>
        <v>4</v>
      </c>
      <c r="H43" s="1">
        <f t="shared" si="28"/>
        <v>8</v>
      </c>
      <c r="I43" s="63"/>
      <c r="J43" s="107">
        <v>137531.4</v>
      </c>
      <c r="K43" s="21"/>
      <c r="L43" s="177">
        <f t="shared" si="29"/>
        <v>151438.32</v>
      </c>
      <c r="M43" s="178"/>
      <c r="N43" s="21"/>
      <c r="O43" s="25">
        <f t="shared" si="30"/>
        <v>151438.32</v>
      </c>
      <c r="P43" s="27">
        <f t="shared" si="31"/>
        <v>28773.2808</v>
      </c>
      <c r="Q43" s="27">
        <f t="shared" si="32"/>
        <v>180211.60080000001</v>
      </c>
      <c r="R43" s="29">
        <f t="shared" si="33"/>
        <v>0</v>
      </c>
      <c r="T43" s="11"/>
      <c r="U43" s="11"/>
      <c r="V43" s="11"/>
      <c r="W43" s="11"/>
    </row>
    <row r="44" spans="1:23" s="6" customFormat="1" ht="36" customHeight="1" x14ac:dyDescent="0.3">
      <c r="A44" s="75" t="s">
        <v>111</v>
      </c>
      <c r="B44" s="78" t="s">
        <v>112</v>
      </c>
      <c r="C44" s="2" t="s">
        <v>144</v>
      </c>
      <c r="D44" s="79">
        <v>6</v>
      </c>
      <c r="E44" s="64">
        <v>0</v>
      </c>
      <c r="F44" s="64">
        <v>4</v>
      </c>
      <c r="G44" s="64">
        <f>3+(6/6)</f>
        <v>4</v>
      </c>
      <c r="H44" s="1">
        <f t="shared" si="28"/>
        <v>8</v>
      </c>
      <c r="I44" s="63"/>
      <c r="J44" s="107">
        <v>102362.86</v>
      </c>
      <c r="K44" s="21"/>
      <c r="L44" s="177">
        <f t="shared" si="29"/>
        <v>112713.60000000001</v>
      </c>
      <c r="M44" s="178"/>
      <c r="N44" s="21"/>
      <c r="O44" s="25">
        <f t="shared" si="30"/>
        <v>112713.60000000001</v>
      </c>
      <c r="P44" s="27">
        <f t="shared" si="31"/>
        <v>21415.584000000003</v>
      </c>
      <c r="Q44" s="27">
        <f t="shared" si="32"/>
        <v>134129.18400000001</v>
      </c>
      <c r="R44" s="29">
        <f t="shared" si="33"/>
        <v>0</v>
      </c>
      <c r="T44" s="11"/>
      <c r="U44" s="11"/>
      <c r="V44" s="11"/>
      <c r="W44" s="11"/>
    </row>
    <row r="45" spans="1:23" s="6" customFormat="1" ht="36" customHeight="1" x14ac:dyDescent="0.3">
      <c r="A45" s="75" t="s">
        <v>113</v>
      </c>
      <c r="B45" s="78" t="s">
        <v>114</v>
      </c>
      <c r="C45" s="2" t="s">
        <v>144</v>
      </c>
      <c r="D45" s="79">
        <v>5</v>
      </c>
      <c r="E45" s="64">
        <v>0</v>
      </c>
      <c r="F45" s="64">
        <v>4</v>
      </c>
      <c r="G45" s="64">
        <f>3+(5/5)</f>
        <v>4</v>
      </c>
      <c r="H45" s="1">
        <f t="shared" si="28"/>
        <v>8</v>
      </c>
      <c r="I45" s="63"/>
      <c r="J45" s="107">
        <v>125552.61</v>
      </c>
      <c r="K45" s="21"/>
      <c r="L45" s="177">
        <f t="shared" si="29"/>
        <v>138248.26</v>
      </c>
      <c r="M45" s="178"/>
      <c r="N45" s="21"/>
      <c r="O45" s="25">
        <f t="shared" si="30"/>
        <v>138248.26</v>
      </c>
      <c r="P45" s="27">
        <f t="shared" si="31"/>
        <v>26267.169400000002</v>
      </c>
      <c r="Q45" s="27">
        <f t="shared" si="32"/>
        <v>164515.42940000002</v>
      </c>
      <c r="R45" s="29">
        <f t="shared" si="33"/>
        <v>0</v>
      </c>
      <c r="T45" s="11"/>
      <c r="U45" s="11"/>
      <c r="V45" s="11"/>
      <c r="W45" s="11"/>
    </row>
    <row r="46" spans="1:23" s="6" customFormat="1" ht="36" customHeight="1" x14ac:dyDescent="0.3">
      <c r="A46" s="77" t="s">
        <v>115</v>
      </c>
      <c r="B46" s="74" t="s">
        <v>116</v>
      </c>
      <c r="C46" s="74"/>
      <c r="D46" s="74"/>
      <c r="E46" s="74"/>
      <c r="F46" s="74"/>
      <c r="G46" s="74"/>
      <c r="H46" s="74"/>
      <c r="I46" s="63"/>
      <c r="J46" s="108"/>
      <c r="K46" s="21"/>
      <c r="L46" s="187"/>
      <c r="M46" s="188"/>
      <c r="N46" s="21"/>
      <c r="O46" s="99"/>
      <c r="P46" s="99"/>
      <c r="Q46" s="99"/>
      <c r="R46" s="99"/>
      <c r="T46" s="11"/>
      <c r="U46" s="11"/>
      <c r="V46" s="11"/>
      <c r="W46" s="11"/>
    </row>
    <row r="47" spans="1:23" s="6" customFormat="1" ht="36" customHeight="1" x14ac:dyDescent="0.3">
      <c r="A47" s="75" t="s">
        <v>117</v>
      </c>
      <c r="B47" s="76" t="s">
        <v>118</v>
      </c>
      <c r="C47" s="2" t="s">
        <v>179</v>
      </c>
      <c r="D47" s="79">
        <v>1</v>
      </c>
      <c r="E47" s="64">
        <v>0</v>
      </c>
      <c r="F47" s="64">
        <v>4</v>
      </c>
      <c r="G47" s="64">
        <v>4</v>
      </c>
      <c r="H47" s="1">
        <f t="shared" ref="H47:H48" si="34">E47+F47+G47</f>
        <v>8</v>
      </c>
      <c r="I47" s="63"/>
      <c r="J47" s="109">
        <v>462627.17</v>
      </c>
      <c r="K47" s="21"/>
      <c r="L47" s="177">
        <f t="shared" ref="L47:L48" si="35">ROUND($M$5/$L$5*J47,2)</f>
        <v>509407.18</v>
      </c>
      <c r="M47" s="178"/>
      <c r="N47" s="21"/>
      <c r="O47" s="25">
        <f t="shared" ref="O47:O48" si="36">+L47</f>
        <v>509407.18</v>
      </c>
      <c r="P47" s="27">
        <f t="shared" ref="P47:P48" si="37">O47*19%</f>
        <v>96787.364199999996</v>
      </c>
      <c r="Q47" s="27">
        <f t="shared" ref="Q47:Q48" si="38">+P47+O47</f>
        <v>606194.5442</v>
      </c>
      <c r="R47" s="29">
        <f t="shared" ref="R47:R48" si="39">+Q47*E47*D47</f>
        <v>0</v>
      </c>
      <c r="T47" s="11"/>
      <c r="U47" s="11"/>
      <c r="V47" s="11"/>
      <c r="W47" s="11"/>
    </row>
    <row r="48" spans="1:23" s="6" customFormat="1" ht="36" customHeight="1" x14ac:dyDescent="0.3">
      <c r="A48" s="75" t="s">
        <v>119</v>
      </c>
      <c r="B48" s="76" t="s">
        <v>120</v>
      </c>
      <c r="C48" s="2" t="s">
        <v>179</v>
      </c>
      <c r="D48" s="79">
        <v>1</v>
      </c>
      <c r="E48" s="64">
        <v>0</v>
      </c>
      <c r="F48" s="64">
        <v>4</v>
      </c>
      <c r="G48" s="64">
        <v>4</v>
      </c>
      <c r="H48" s="1">
        <f t="shared" si="34"/>
        <v>8</v>
      </c>
      <c r="I48" s="63"/>
      <c r="J48" s="109">
        <v>701658.79</v>
      </c>
      <c r="K48" s="21"/>
      <c r="L48" s="177">
        <f t="shared" si="35"/>
        <v>772609.24</v>
      </c>
      <c r="M48" s="178"/>
      <c r="N48" s="21"/>
      <c r="O48" s="25">
        <f t="shared" si="36"/>
        <v>772609.24</v>
      </c>
      <c r="P48" s="27">
        <f t="shared" si="37"/>
        <v>146795.7556</v>
      </c>
      <c r="Q48" s="27">
        <f t="shared" si="38"/>
        <v>919404.99560000002</v>
      </c>
      <c r="R48" s="29">
        <f t="shared" si="39"/>
        <v>0</v>
      </c>
      <c r="T48" s="11"/>
      <c r="U48" s="11"/>
      <c r="V48" s="11"/>
      <c r="W48" s="11"/>
    </row>
    <row r="49" spans="1:23" s="6" customFormat="1" ht="36" customHeight="1" x14ac:dyDescent="0.3">
      <c r="A49" s="73">
        <v>2</v>
      </c>
      <c r="B49" s="74" t="s">
        <v>121</v>
      </c>
      <c r="C49" s="74"/>
      <c r="D49" s="74"/>
      <c r="E49" s="74"/>
      <c r="F49" s="74"/>
      <c r="G49" s="74"/>
      <c r="H49" s="74"/>
      <c r="I49" s="63"/>
      <c r="J49" s="89"/>
      <c r="K49" s="21"/>
      <c r="L49" s="187"/>
      <c r="M49" s="188"/>
      <c r="N49" s="21"/>
      <c r="O49" s="99"/>
      <c r="P49" s="99"/>
      <c r="Q49" s="99"/>
      <c r="R49" s="114">
        <f>SUM(R9:R48)</f>
        <v>27395271.744400002</v>
      </c>
      <c r="T49" s="11"/>
      <c r="U49" s="11"/>
      <c r="V49" s="11"/>
      <c r="W49" s="11"/>
    </row>
    <row r="50" spans="1:23" s="6" customFormat="1" ht="36" customHeight="1" x14ac:dyDescent="0.3">
      <c r="A50" s="73" t="s">
        <v>122</v>
      </c>
      <c r="B50" s="74" t="s">
        <v>123</v>
      </c>
      <c r="C50" s="74"/>
      <c r="D50" s="74"/>
      <c r="E50" s="74"/>
      <c r="F50" s="74"/>
      <c r="G50" s="74"/>
      <c r="H50" s="74"/>
      <c r="I50" s="63"/>
      <c r="J50" s="110"/>
      <c r="K50" s="21"/>
      <c r="L50" s="187"/>
      <c r="M50" s="188"/>
      <c r="N50" s="21"/>
      <c r="O50" s="99"/>
      <c r="P50" s="99"/>
      <c r="Q50" s="99"/>
      <c r="R50" s="99"/>
      <c r="T50" s="11"/>
      <c r="U50" s="11"/>
      <c r="V50" s="11"/>
      <c r="W50" s="11"/>
    </row>
    <row r="51" spans="1:23" s="6" customFormat="1" ht="36" customHeight="1" x14ac:dyDescent="0.3">
      <c r="A51" s="75" t="s">
        <v>124</v>
      </c>
      <c r="B51" s="76" t="s">
        <v>125</v>
      </c>
      <c r="C51" s="2" t="s">
        <v>144</v>
      </c>
      <c r="D51" s="79">
        <v>1</v>
      </c>
      <c r="E51" s="64">
        <v>0</v>
      </c>
      <c r="F51" s="64">
        <v>4</v>
      </c>
      <c r="G51" s="64">
        <f>3+(1/1)</f>
        <v>4</v>
      </c>
      <c r="H51" s="1">
        <f t="shared" ref="H51:H52" si="40">E51+F51+G51</f>
        <v>8</v>
      </c>
      <c r="I51" s="63"/>
      <c r="J51" s="96">
        <v>252386.5</v>
      </c>
      <c r="K51" s="21"/>
      <c r="L51" s="177">
        <f t="shared" ref="L51:L52" si="41">ROUND($M$5/$L$5*J51,2)</f>
        <v>277907.36</v>
      </c>
      <c r="M51" s="178"/>
      <c r="N51" s="21"/>
      <c r="O51" s="25">
        <f t="shared" ref="O51:O52" si="42">+L51</f>
        <v>277907.36</v>
      </c>
      <c r="P51" s="27">
        <f t="shared" ref="P51:P52" si="43">O51*19%</f>
        <v>52802.398399999998</v>
      </c>
      <c r="Q51" s="27">
        <f t="shared" ref="Q51:Q52" si="44">+P51+O51</f>
        <v>330709.75839999999</v>
      </c>
      <c r="R51" s="29">
        <f t="shared" ref="R51:R52" si="45">+Q51*E51*D51</f>
        <v>0</v>
      </c>
      <c r="T51" s="11"/>
      <c r="U51" s="11"/>
      <c r="V51" s="11"/>
      <c r="W51" s="11"/>
    </row>
    <row r="52" spans="1:23" s="6" customFormat="1" ht="36" customHeight="1" x14ac:dyDescent="0.3">
      <c r="A52" s="75" t="s">
        <v>126</v>
      </c>
      <c r="B52" s="76" t="s">
        <v>127</v>
      </c>
      <c r="C52" s="2" t="s">
        <v>144</v>
      </c>
      <c r="D52" s="79">
        <v>1</v>
      </c>
      <c r="E52" s="64">
        <v>0</v>
      </c>
      <c r="F52" s="64">
        <v>4</v>
      </c>
      <c r="G52" s="64">
        <f>3+(1/1)</f>
        <v>4</v>
      </c>
      <c r="H52" s="1">
        <f t="shared" si="40"/>
        <v>8</v>
      </c>
      <c r="I52" s="63"/>
      <c r="J52" s="96">
        <v>252386.5</v>
      </c>
      <c r="K52" s="21"/>
      <c r="L52" s="177">
        <f t="shared" si="41"/>
        <v>277907.36</v>
      </c>
      <c r="M52" s="178"/>
      <c r="N52" s="21"/>
      <c r="O52" s="25">
        <f t="shared" si="42"/>
        <v>277907.36</v>
      </c>
      <c r="P52" s="27">
        <f t="shared" si="43"/>
        <v>52802.398399999998</v>
      </c>
      <c r="Q52" s="27">
        <f t="shared" si="44"/>
        <v>330709.75839999999</v>
      </c>
      <c r="R52" s="29">
        <f t="shared" si="45"/>
        <v>0</v>
      </c>
      <c r="T52" s="11"/>
      <c r="U52" s="11"/>
      <c r="V52" s="11"/>
      <c r="W52" s="11"/>
    </row>
    <row r="53" spans="1:23" s="6" customFormat="1" ht="36" customHeight="1" x14ac:dyDescent="0.3">
      <c r="A53" s="77" t="s">
        <v>128</v>
      </c>
      <c r="B53" s="74" t="s">
        <v>129</v>
      </c>
      <c r="C53" s="74"/>
      <c r="D53" s="74"/>
      <c r="E53" s="74"/>
      <c r="F53" s="74"/>
      <c r="G53" s="74"/>
      <c r="H53" s="74"/>
      <c r="I53" s="63"/>
      <c r="J53" s="110"/>
      <c r="K53" s="21"/>
      <c r="L53" s="187"/>
      <c r="M53" s="188"/>
      <c r="N53" s="21"/>
      <c r="O53" s="99"/>
      <c r="P53" s="99"/>
      <c r="Q53" s="99"/>
      <c r="R53" s="99"/>
      <c r="T53" s="11"/>
      <c r="U53" s="11"/>
      <c r="V53" s="11"/>
      <c r="W53" s="11"/>
    </row>
    <row r="54" spans="1:23" s="6" customFormat="1" ht="36" customHeight="1" x14ac:dyDescent="0.3">
      <c r="A54" s="75" t="s">
        <v>130</v>
      </c>
      <c r="B54" s="76" t="s">
        <v>131</v>
      </c>
      <c r="C54" s="2" t="s">
        <v>144</v>
      </c>
      <c r="D54" s="79">
        <v>4</v>
      </c>
      <c r="E54" s="64">
        <v>0</v>
      </c>
      <c r="F54" s="64">
        <v>4</v>
      </c>
      <c r="G54" s="64">
        <f>3+(4/4)</f>
        <v>4</v>
      </c>
      <c r="H54" s="1">
        <f>E54+F54+G54</f>
        <v>8</v>
      </c>
      <c r="I54" s="63"/>
      <c r="J54" s="96">
        <v>206909.5</v>
      </c>
      <c r="K54" s="21"/>
      <c r="L54" s="177">
        <f t="shared" ref="L54" si="46">ROUND($M$5/$L$5*J54,2)</f>
        <v>227831.81</v>
      </c>
      <c r="M54" s="178"/>
      <c r="N54" s="21"/>
      <c r="O54" s="25">
        <f t="shared" ref="O54" si="47">+L54</f>
        <v>227831.81</v>
      </c>
      <c r="P54" s="27">
        <f>O54*19%</f>
        <v>43288.043899999997</v>
      </c>
      <c r="Q54" s="27">
        <f t="shared" ref="Q54" si="48">+P54+O54</f>
        <v>271119.85389999999</v>
      </c>
      <c r="R54" s="29">
        <f>+Q54*E54*D54</f>
        <v>0</v>
      </c>
      <c r="T54" s="11"/>
      <c r="U54" s="11"/>
      <c r="V54" s="11"/>
      <c r="W54" s="11"/>
    </row>
    <row r="55" spans="1:23" s="6" customFormat="1" ht="36" customHeight="1" x14ac:dyDescent="0.3">
      <c r="A55" s="77" t="s">
        <v>132</v>
      </c>
      <c r="B55" s="74" t="s">
        <v>133</v>
      </c>
      <c r="C55" s="74"/>
      <c r="D55" s="74"/>
      <c r="E55" s="74"/>
      <c r="F55" s="74"/>
      <c r="G55" s="74"/>
      <c r="H55" s="74"/>
      <c r="I55" s="63"/>
      <c r="J55" s="110"/>
      <c r="K55" s="21"/>
      <c r="L55" s="187"/>
      <c r="M55" s="188"/>
      <c r="N55" s="21"/>
      <c r="O55" s="99"/>
      <c r="P55" s="99"/>
      <c r="Q55" s="99"/>
      <c r="R55" s="99"/>
      <c r="T55" s="11"/>
      <c r="U55" s="11"/>
      <c r="V55" s="11"/>
      <c r="W55" s="11"/>
    </row>
    <row r="56" spans="1:23" s="6" customFormat="1" ht="36" customHeight="1" x14ac:dyDescent="0.3">
      <c r="A56" s="75" t="s">
        <v>134</v>
      </c>
      <c r="B56" s="76" t="s">
        <v>135</v>
      </c>
      <c r="C56" s="2" t="s">
        <v>144</v>
      </c>
      <c r="D56" s="79">
        <v>18</v>
      </c>
      <c r="E56" s="64">
        <v>0</v>
      </c>
      <c r="F56" s="64">
        <v>4</v>
      </c>
      <c r="G56" s="64">
        <f>3+(18/18)</f>
        <v>4</v>
      </c>
      <c r="H56" s="1">
        <f t="shared" ref="H56:H58" si="49">E56+F56+G56</f>
        <v>8</v>
      </c>
      <c r="I56" s="63"/>
      <c r="J56" s="96">
        <v>156909.5</v>
      </c>
      <c r="K56" s="21"/>
      <c r="L56" s="177">
        <f t="shared" ref="L56:L58" si="50">ROUND($M$5/$L$5*J56,2)</f>
        <v>172775.9</v>
      </c>
      <c r="M56" s="178"/>
      <c r="N56" s="21"/>
      <c r="O56" s="25">
        <f t="shared" ref="O56:O58" si="51">+L56</f>
        <v>172775.9</v>
      </c>
      <c r="P56" s="27">
        <f t="shared" ref="P56:P58" si="52">O56*19%</f>
        <v>32827.421000000002</v>
      </c>
      <c r="Q56" s="27">
        <f t="shared" ref="Q56:Q58" si="53">+P56+O56</f>
        <v>205603.321</v>
      </c>
      <c r="R56" s="29">
        <f t="shared" ref="R56:R58" si="54">+Q56*E56*D56</f>
        <v>0</v>
      </c>
      <c r="T56" s="11"/>
      <c r="U56" s="11"/>
      <c r="V56" s="11"/>
      <c r="W56" s="11"/>
    </row>
    <row r="57" spans="1:23" s="6" customFormat="1" ht="36" customHeight="1" x14ac:dyDescent="0.3">
      <c r="A57" s="75" t="s">
        <v>136</v>
      </c>
      <c r="B57" s="76" t="s">
        <v>137</v>
      </c>
      <c r="C57" s="2" t="s">
        <v>144</v>
      </c>
      <c r="D57" s="79">
        <v>1</v>
      </c>
      <c r="E57" s="64">
        <v>0</v>
      </c>
      <c r="F57" s="64">
        <v>4</v>
      </c>
      <c r="G57" s="64">
        <f>3+(1/1)</f>
        <v>4</v>
      </c>
      <c r="H57" s="1">
        <f t="shared" si="49"/>
        <v>8</v>
      </c>
      <c r="I57" s="63"/>
      <c r="J57" s="96">
        <v>156909.5</v>
      </c>
      <c r="K57" s="21"/>
      <c r="L57" s="177">
        <f t="shared" si="50"/>
        <v>172775.9</v>
      </c>
      <c r="M57" s="178"/>
      <c r="N57" s="21"/>
      <c r="O57" s="25">
        <f t="shared" si="51"/>
        <v>172775.9</v>
      </c>
      <c r="P57" s="27">
        <f t="shared" si="52"/>
        <v>32827.421000000002</v>
      </c>
      <c r="Q57" s="27">
        <f t="shared" si="53"/>
        <v>205603.321</v>
      </c>
      <c r="R57" s="29">
        <f t="shared" si="54"/>
        <v>0</v>
      </c>
      <c r="T57" s="11"/>
      <c r="U57" s="11"/>
      <c r="V57" s="11"/>
      <c r="W57" s="11"/>
    </row>
    <row r="58" spans="1:23" s="6" customFormat="1" ht="36" customHeight="1" x14ac:dyDescent="0.3">
      <c r="A58" s="75" t="s">
        <v>138</v>
      </c>
      <c r="B58" s="76" t="s">
        <v>139</v>
      </c>
      <c r="C58" s="2" t="s">
        <v>144</v>
      </c>
      <c r="D58" s="79">
        <v>1</v>
      </c>
      <c r="E58" s="64">
        <v>0</v>
      </c>
      <c r="F58" s="64">
        <v>4</v>
      </c>
      <c r="G58" s="64">
        <f>3+(1/1)</f>
        <v>4</v>
      </c>
      <c r="H58" s="1">
        <f t="shared" si="49"/>
        <v>8</v>
      </c>
      <c r="I58" s="63"/>
      <c r="J58" s="96">
        <v>156909.5</v>
      </c>
      <c r="K58" s="21"/>
      <c r="L58" s="177">
        <f t="shared" si="50"/>
        <v>172775.9</v>
      </c>
      <c r="M58" s="178"/>
      <c r="N58" s="21"/>
      <c r="O58" s="25">
        <f t="shared" si="51"/>
        <v>172775.9</v>
      </c>
      <c r="P58" s="27">
        <f t="shared" si="52"/>
        <v>32827.421000000002</v>
      </c>
      <c r="Q58" s="27">
        <f t="shared" si="53"/>
        <v>205603.321</v>
      </c>
      <c r="R58" s="29">
        <f t="shared" si="54"/>
        <v>0</v>
      </c>
      <c r="T58" s="11"/>
      <c r="U58" s="11"/>
      <c r="V58" s="11"/>
      <c r="W58" s="11"/>
    </row>
    <row r="59" spans="1:23" s="6" customFormat="1" ht="36" customHeight="1" x14ac:dyDescent="0.3">
      <c r="A59" s="77" t="s">
        <v>140</v>
      </c>
      <c r="B59" s="74" t="s">
        <v>141</v>
      </c>
      <c r="C59" s="74"/>
      <c r="D59" s="74"/>
      <c r="E59" s="74"/>
      <c r="F59" s="74"/>
      <c r="G59" s="74"/>
      <c r="H59" s="74"/>
      <c r="I59" s="63"/>
      <c r="J59" s="110"/>
      <c r="K59" s="21"/>
      <c r="L59" s="187"/>
      <c r="M59" s="188"/>
      <c r="N59" s="21"/>
      <c r="O59" s="99"/>
      <c r="P59" s="99"/>
      <c r="Q59" s="99"/>
      <c r="R59" s="99"/>
      <c r="T59" s="11"/>
      <c r="U59" s="11"/>
      <c r="V59" s="11"/>
      <c r="W59" s="11"/>
    </row>
    <row r="60" spans="1:23" s="6" customFormat="1" ht="36" customHeight="1" x14ac:dyDescent="0.3">
      <c r="A60" s="75" t="s">
        <v>142</v>
      </c>
      <c r="B60" s="76" t="s">
        <v>143</v>
      </c>
      <c r="C60" s="2" t="s">
        <v>144</v>
      </c>
      <c r="D60" s="79">
        <v>1</v>
      </c>
      <c r="E60" s="64">
        <v>0</v>
      </c>
      <c r="F60" s="64">
        <v>4</v>
      </c>
      <c r="G60" s="64">
        <f>3+(1/1)</f>
        <v>4</v>
      </c>
      <c r="H60" s="1">
        <f>E60+F60+G60</f>
        <v>8</v>
      </c>
      <c r="I60" s="63"/>
      <c r="J60" s="96">
        <v>151432</v>
      </c>
      <c r="K60" s="21"/>
      <c r="L60" s="177">
        <f t="shared" ref="L60" si="55">ROUND($M$5/$L$5*J60,2)</f>
        <v>166744.53</v>
      </c>
      <c r="M60" s="178"/>
      <c r="N60" s="21"/>
      <c r="O60" s="25">
        <f t="shared" ref="O60" si="56">+L60</f>
        <v>166744.53</v>
      </c>
      <c r="P60" s="27">
        <f>O60*19%</f>
        <v>31681.4607</v>
      </c>
      <c r="Q60" s="27">
        <f t="shared" ref="Q60" si="57">+P60+O60</f>
        <v>198425.99069999999</v>
      </c>
      <c r="R60" s="29">
        <f>+Q60*E60*D60</f>
        <v>0</v>
      </c>
      <c r="T60" s="11"/>
      <c r="U60" s="11"/>
      <c r="V60" s="11"/>
      <c r="W60" s="11"/>
    </row>
    <row r="61" spans="1:23" s="6" customFormat="1" ht="46.5" customHeight="1" x14ac:dyDescent="0.3">
      <c r="A61" s="147" t="s">
        <v>9</v>
      </c>
      <c r="B61" s="147"/>
      <c r="C61" s="147"/>
      <c r="D61" s="147"/>
      <c r="E61" s="147"/>
      <c r="F61" s="147"/>
      <c r="G61" s="147"/>
      <c r="H61" s="147"/>
      <c r="I61" s="12"/>
      <c r="J61" s="26"/>
      <c r="K61" s="12"/>
      <c r="L61" s="12"/>
      <c r="M61" s="12"/>
      <c r="N61" s="12"/>
      <c r="O61" s="10"/>
      <c r="P61" s="10"/>
      <c r="Q61" s="10"/>
      <c r="R61" s="33">
        <f>SUM(R7:R60)</f>
        <v>54790543.488800004</v>
      </c>
      <c r="T61" s="11"/>
      <c r="U61" s="11"/>
      <c r="V61" s="11"/>
      <c r="W61" s="11"/>
    </row>
    <row r="62" spans="1:23" ht="30" customHeight="1" x14ac:dyDescent="0.2">
      <c r="A62" s="151" t="s">
        <v>10</v>
      </c>
      <c r="B62" s="151"/>
      <c r="C62" s="151"/>
      <c r="D62" s="151"/>
      <c r="E62" s="151"/>
      <c r="F62" s="151"/>
      <c r="G62" s="151"/>
      <c r="H62" s="151"/>
      <c r="I62" s="53"/>
      <c r="J62" s="54"/>
      <c r="K62" s="53"/>
      <c r="L62" s="55"/>
      <c r="M62" s="56"/>
      <c r="N62" s="53"/>
      <c r="O62" s="57"/>
      <c r="P62" s="58"/>
      <c r="Q62" s="58"/>
      <c r="R62" s="56"/>
      <c r="T62" s="52"/>
      <c r="U62" s="52"/>
      <c r="V62" s="52"/>
      <c r="W62" s="52"/>
    </row>
    <row r="63" spans="1:23" ht="49.5" customHeight="1" x14ac:dyDescent="0.2">
      <c r="A63" s="43" t="s">
        <v>11</v>
      </c>
      <c r="B63" s="152" t="s">
        <v>12</v>
      </c>
      <c r="C63" s="152"/>
      <c r="D63" s="152"/>
      <c r="E63" s="152"/>
      <c r="F63" s="152"/>
      <c r="G63" s="44" t="s">
        <v>14</v>
      </c>
      <c r="H63" s="44" t="s">
        <v>13</v>
      </c>
      <c r="I63" s="50"/>
      <c r="J63" s="51"/>
      <c r="K63" s="50"/>
      <c r="L63" s="55"/>
      <c r="M63" s="56"/>
      <c r="N63" s="50"/>
      <c r="O63" s="44" t="s">
        <v>5</v>
      </c>
      <c r="P63" s="44" t="s">
        <v>6</v>
      </c>
      <c r="Q63" s="44" t="s">
        <v>15</v>
      </c>
      <c r="R63" s="44" t="s">
        <v>8</v>
      </c>
      <c r="T63" s="52"/>
      <c r="U63" s="52"/>
      <c r="V63" s="52"/>
      <c r="W63" s="52"/>
    </row>
    <row r="64" spans="1:23" s="6" customFormat="1" ht="44.25" customHeight="1" x14ac:dyDescent="0.3">
      <c r="A64" s="120">
        <v>1</v>
      </c>
      <c r="B64" s="156" t="s">
        <v>145</v>
      </c>
      <c r="C64" s="157"/>
      <c r="D64" s="157"/>
      <c r="E64" s="157"/>
      <c r="F64" s="158"/>
      <c r="G64" s="20" t="s">
        <v>16</v>
      </c>
      <c r="H64" s="20">
        <v>1</v>
      </c>
      <c r="I64" s="13"/>
      <c r="J64" s="60">
        <v>1064626</v>
      </c>
      <c r="K64" s="13"/>
      <c r="L64" s="182">
        <f>ROUND($M$5/$L$5*J64,2)</f>
        <v>1172279.03</v>
      </c>
      <c r="M64" s="182"/>
      <c r="N64" s="13"/>
      <c r="O64" s="25">
        <f>+L64</f>
        <v>1172279.03</v>
      </c>
      <c r="P64" s="27">
        <f t="shared" ref="P64:P105" si="58">O64*19%</f>
        <v>222733.01570000002</v>
      </c>
      <c r="Q64" s="27">
        <f>+P64+O64</f>
        <v>1395012.0457000001</v>
      </c>
      <c r="R64" s="29">
        <f t="shared" ref="R64:R105" si="59">+Q64*H64</f>
        <v>1395012.0457000001</v>
      </c>
      <c r="T64" s="11"/>
      <c r="U64" s="11"/>
      <c r="V64" s="11"/>
      <c r="W64" s="11"/>
    </row>
    <row r="65" spans="1:23" s="6" customFormat="1" ht="44.25" customHeight="1" x14ac:dyDescent="0.3">
      <c r="A65" s="120">
        <v>2</v>
      </c>
      <c r="B65" s="156" t="s">
        <v>146</v>
      </c>
      <c r="C65" s="157"/>
      <c r="D65" s="157"/>
      <c r="E65" s="157"/>
      <c r="F65" s="158"/>
      <c r="G65" s="20" t="s">
        <v>16</v>
      </c>
      <c r="H65" s="20">
        <v>1</v>
      </c>
      <c r="I65" s="13"/>
      <c r="J65" s="60">
        <v>222906.5</v>
      </c>
      <c r="K65" s="13"/>
      <c r="L65" s="182">
        <f t="shared" ref="L65:L91" si="60">ROUND($M$5/$L$5*J65,2)</f>
        <v>245446.39999999999</v>
      </c>
      <c r="M65" s="182"/>
      <c r="N65" s="13"/>
      <c r="O65" s="25">
        <f t="shared" ref="O65:O105" si="61">+L65</f>
        <v>245446.39999999999</v>
      </c>
      <c r="P65" s="27">
        <f t="shared" si="58"/>
        <v>46634.815999999999</v>
      </c>
      <c r="Q65" s="27">
        <f t="shared" ref="Q65:Q105" si="62">+P65+O65</f>
        <v>292081.21600000001</v>
      </c>
      <c r="R65" s="29">
        <f t="shared" si="59"/>
        <v>292081.21600000001</v>
      </c>
      <c r="T65" s="11"/>
      <c r="U65" s="11"/>
      <c r="V65" s="11"/>
      <c r="W65" s="11"/>
    </row>
    <row r="66" spans="1:23" s="6" customFormat="1" ht="44.25" customHeight="1" x14ac:dyDescent="0.3">
      <c r="A66" s="120">
        <v>3</v>
      </c>
      <c r="B66" s="156" t="s">
        <v>147</v>
      </c>
      <c r="C66" s="157"/>
      <c r="D66" s="157"/>
      <c r="E66" s="157"/>
      <c r="F66" s="158"/>
      <c r="G66" s="20" t="s">
        <v>16</v>
      </c>
      <c r="H66" s="20">
        <v>1</v>
      </c>
      <c r="I66" s="13"/>
      <c r="J66" s="60">
        <v>252906.5</v>
      </c>
      <c r="K66" s="13"/>
      <c r="L66" s="182">
        <f t="shared" si="60"/>
        <v>278479.94</v>
      </c>
      <c r="M66" s="182"/>
      <c r="N66" s="13"/>
      <c r="O66" s="25">
        <f t="shared" si="61"/>
        <v>278479.94</v>
      </c>
      <c r="P66" s="27">
        <f t="shared" si="58"/>
        <v>52911.188600000001</v>
      </c>
      <c r="Q66" s="27">
        <f t="shared" si="62"/>
        <v>331391.1286</v>
      </c>
      <c r="R66" s="29">
        <f t="shared" si="59"/>
        <v>331391.1286</v>
      </c>
      <c r="T66" s="11"/>
      <c r="U66" s="11"/>
      <c r="V66" s="11"/>
      <c r="W66" s="11"/>
    </row>
    <row r="67" spans="1:23" s="6" customFormat="1" ht="58.5" customHeight="1" x14ac:dyDescent="0.3">
      <c r="A67" s="120">
        <v>4</v>
      </c>
      <c r="B67" s="156" t="s">
        <v>148</v>
      </c>
      <c r="C67" s="157"/>
      <c r="D67" s="157"/>
      <c r="E67" s="157"/>
      <c r="F67" s="158"/>
      <c r="G67" s="20" t="s">
        <v>16</v>
      </c>
      <c r="H67" s="20">
        <v>1</v>
      </c>
      <c r="I67" s="13"/>
      <c r="J67" s="60">
        <v>302906.5</v>
      </c>
      <c r="K67" s="13"/>
      <c r="L67" s="182">
        <f t="shared" si="60"/>
        <v>333535.84999999998</v>
      </c>
      <c r="M67" s="182"/>
      <c r="N67" s="13"/>
      <c r="O67" s="25">
        <f t="shared" si="61"/>
        <v>333535.84999999998</v>
      </c>
      <c r="P67" s="27">
        <f t="shared" si="58"/>
        <v>63371.811499999996</v>
      </c>
      <c r="Q67" s="27">
        <f t="shared" si="62"/>
        <v>396907.66149999999</v>
      </c>
      <c r="R67" s="29">
        <f t="shared" si="59"/>
        <v>396907.66149999999</v>
      </c>
      <c r="T67" s="11"/>
      <c r="U67" s="11"/>
      <c r="V67" s="11"/>
      <c r="W67" s="11"/>
    </row>
    <row r="68" spans="1:23" s="6" customFormat="1" ht="44.25" customHeight="1" x14ac:dyDescent="0.3">
      <c r="A68" s="120">
        <v>5</v>
      </c>
      <c r="B68" s="156" t="s">
        <v>149</v>
      </c>
      <c r="C68" s="157"/>
      <c r="D68" s="157"/>
      <c r="E68" s="157"/>
      <c r="F68" s="158"/>
      <c r="G68" s="20" t="s">
        <v>16</v>
      </c>
      <c r="H68" s="20">
        <v>1</v>
      </c>
      <c r="I68" s="13"/>
      <c r="J68" s="60">
        <v>357906.5</v>
      </c>
      <c r="K68" s="13"/>
      <c r="L68" s="182">
        <f t="shared" si="60"/>
        <v>394097.35</v>
      </c>
      <c r="M68" s="182"/>
      <c r="N68" s="13"/>
      <c r="O68" s="25">
        <f t="shared" si="61"/>
        <v>394097.35</v>
      </c>
      <c r="P68" s="27">
        <f t="shared" si="58"/>
        <v>74878.496499999994</v>
      </c>
      <c r="Q68" s="27">
        <f t="shared" si="62"/>
        <v>468975.84649999999</v>
      </c>
      <c r="R68" s="29">
        <f t="shared" si="59"/>
        <v>468975.84649999999</v>
      </c>
      <c r="T68" s="11"/>
      <c r="U68" s="11"/>
      <c r="V68" s="11"/>
      <c r="W68" s="11"/>
    </row>
    <row r="69" spans="1:23" s="6" customFormat="1" ht="44.25" customHeight="1" x14ac:dyDescent="0.3">
      <c r="A69" s="120">
        <v>6</v>
      </c>
      <c r="B69" s="156" t="s">
        <v>150</v>
      </c>
      <c r="C69" s="157"/>
      <c r="D69" s="157"/>
      <c r="E69" s="157"/>
      <c r="F69" s="158"/>
      <c r="G69" s="20" t="s">
        <v>16</v>
      </c>
      <c r="H69" s="20">
        <v>1</v>
      </c>
      <c r="I69" s="13"/>
      <c r="J69" s="60">
        <v>417906.5</v>
      </c>
      <c r="K69" s="13"/>
      <c r="L69" s="182">
        <f t="shared" si="60"/>
        <v>460164.44</v>
      </c>
      <c r="M69" s="182"/>
      <c r="N69" s="13"/>
      <c r="O69" s="25">
        <f t="shared" si="61"/>
        <v>460164.44</v>
      </c>
      <c r="P69" s="27">
        <f t="shared" si="58"/>
        <v>87431.243600000002</v>
      </c>
      <c r="Q69" s="27">
        <f t="shared" si="62"/>
        <v>547595.68359999999</v>
      </c>
      <c r="R69" s="29">
        <f t="shared" si="59"/>
        <v>547595.68359999999</v>
      </c>
      <c r="T69" s="11"/>
      <c r="U69" s="11"/>
      <c r="V69" s="11"/>
      <c r="W69" s="11"/>
    </row>
    <row r="70" spans="1:23" s="6" customFormat="1" ht="44.25" customHeight="1" x14ac:dyDescent="0.3">
      <c r="A70" s="120">
        <v>7</v>
      </c>
      <c r="B70" s="156" t="s">
        <v>151</v>
      </c>
      <c r="C70" s="157"/>
      <c r="D70" s="157"/>
      <c r="E70" s="157"/>
      <c r="F70" s="158"/>
      <c r="G70" s="20" t="s">
        <v>16</v>
      </c>
      <c r="H70" s="20">
        <v>1</v>
      </c>
      <c r="I70" s="13"/>
      <c r="J70" s="60">
        <v>88732.5</v>
      </c>
      <c r="K70" s="13"/>
      <c r="L70" s="182">
        <f t="shared" si="60"/>
        <v>97704.97</v>
      </c>
      <c r="M70" s="182"/>
      <c r="N70" s="13"/>
      <c r="O70" s="25">
        <f t="shared" si="61"/>
        <v>97704.97</v>
      </c>
      <c r="P70" s="27">
        <f t="shared" si="58"/>
        <v>18563.944299999999</v>
      </c>
      <c r="Q70" s="27">
        <f t="shared" si="62"/>
        <v>116268.9143</v>
      </c>
      <c r="R70" s="29">
        <f t="shared" si="59"/>
        <v>116268.9143</v>
      </c>
      <c r="T70" s="11"/>
      <c r="U70" s="11"/>
      <c r="V70" s="11"/>
      <c r="W70" s="11"/>
    </row>
    <row r="71" spans="1:23" s="6" customFormat="1" ht="44.25" customHeight="1" x14ac:dyDescent="0.3">
      <c r="A71" s="120">
        <v>8</v>
      </c>
      <c r="B71" s="156" t="s">
        <v>152</v>
      </c>
      <c r="C71" s="157"/>
      <c r="D71" s="157"/>
      <c r="E71" s="157"/>
      <c r="F71" s="158"/>
      <c r="G71" s="20" t="s">
        <v>16</v>
      </c>
      <c r="H71" s="20">
        <v>1</v>
      </c>
      <c r="I71" s="13"/>
      <c r="J71" s="60">
        <v>88732.5</v>
      </c>
      <c r="K71" s="13"/>
      <c r="L71" s="182">
        <f t="shared" si="60"/>
        <v>97704.97</v>
      </c>
      <c r="M71" s="182"/>
      <c r="N71" s="13"/>
      <c r="O71" s="25">
        <f t="shared" si="61"/>
        <v>97704.97</v>
      </c>
      <c r="P71" s="27">
        <f t="shared" si="58"/>
        <v>18563.944299999999</v>
      </c>
      <c r="Q71" s="27">
        <f t="shared" si="62"/>
        <v>116268.9143</v>
      </c>
      <c r="R71" s="29">
        <f t="shared" si="59"/>
        <v>116268.9143</v>
      </c>
      <c r="T71" s="11"/>
      <c r="U71" s="11"/>
      <c r="V71" s="11"/>
      <c r="W71" s="11"/>
    </row>
    <row r="72" spans="1:23" s="6" customFormat="1" ht="44.25" customHeight="1" x14ac:dyDescent="0.3">
      <c r="A72" s="120">
        <v>9</v>
      </c>
      <c r="B72" s="156" t="s">
        <v>153</v>
      </c>
      <c r="C72" s="157"/>
      <c r="D72" s="157"/>
      <c r="E72" s="157"/>
      <c r="F72" s="158"/>
      <c r="G72" s="20" t="s">
        <v>16</v>
      </c>
      <c r="H72" s="20">
        <v>1</v>
      </c>
      <c r="I72" s="13"/>
      <c r="J72" s="60">
        <v>88732.5</v>
      </c>
      <c r="K72" s="13"/>
      <c r="L72" s="182">
        <f t="shared" si="60"/>
        <v>97704.97</v>
      </c>
      <c r="M72" s="182"/>
      <c r="N72" s="13"/>
      <c r="O72" s="25">
        <f t="shared" si="61"/>
        <v>97704.97</v>
      </c>
      <c r="P72" s="27">
        <f t="shared" si="58"/>
        <v>18563.944299999999</v>
      </c>
      <c r="Q72" s="27">
        <f t="shared" si="62"/>
        <v>116268.9143</v>
      </c>
      <c r="R72" s="29">
        <f t="shared" si="59"/>
        <v>116268.9143</v>
      </c>
      <c r="T72" s="11"/>
      <c r="U72" s="11"/>
      <c r="V72" s="11"/>
      <c r="W72" s="11"/>
    </row>
    <row r="73" spans="1:23" s="6" customFormat="1" ht="44.25" customHeight="1" x14ac:dyDescent="0.3">
      <c r="A73" s="120">
        <v>10</v>
      </c>
      <c r="B73" s="156" t="s">
        <v>154</v>
      </c>
      <c r="C73" s="157"/>
      <c r="D73" s="157"/>
      <c r="E73" s="157"/>
      <c r="F73" s="158"/>
      <c r="G73" s="20" t="s">
        <v>16</v>
      </c>
      <c r="H73" s="20">
        <v>1</v>
      </c>
      <c r="I73" s="13"/>
      <c r="J73" s="60">
        <v>89175</v>
      </c>
      <c r="K73" s="13"/>
      <c r="L73" s="182">
        <f t="shared" si="60"/>
        <v>98192.21</v>
      </c>
      <c r="M73" s="182"/>
      <c r="N73" s="13"/>
      <c r="O73" s="25">
        <f t="shared" si="61"/>
        <v>98192.21</v>
      </c>
      <c r="P73" s="27">
        <f t="shared" si="58"/>
        <v>18656.519900000003</v>
      </c>
      <c r="Q73" s="27">
        <f t="shared" si="62"/>
        <v>116848.72990000001</v>
      </c>
      <c r="R73" s="29">
        <f t="shared" si="59"/>
        <v>116848.72990000001</v>
      </c>
      <c r="T73" s="11"/>
      <c r="U73" s="11"/>
      <c r="V73" s="11"/>
      <c r="W73" s="11"/>
    </row>
    <row r="74" spans="1:23" s="6" customFormat="1" ht="44.25" customHeight="1" x14ac:dyDescent="0.3">
      <c r="A74" s="120">
        <v>11</v>
      </c>
      <c r="B74" s="156" t="s">
        <v>155</v>
      </c>
      <c r="C74" s="157"/>
      <c r="D74" s="157"/>
      <c r="E74" s="157"/>
      <c r="F74" s="158"/>
      <c r="G74" s="20" t="s">
        <v>16</v>
      </c>
      <c r="H74" s="20">
        <v>1</v>
      </c>
      <c r="I74" s="13"/>
      <c r="J74" s="60">
        <v>88732.5</v>
      </c>
      <c r="K74" s="13"/>
      <c r="L74" s="182">
        <f t="shared" si="60"/>
        <v>97704.97</v>
      </c>
      <c r="M74" s="182"/>
      <c r="N74" s="13"/>
      <c r="O74" s="25">
        <f t="shared" si="61"/>
        <v>97704.97</v>
      </c>
      <c r="P74" s="27">
        <f t="shared" si="58"/>
        <v>18563.944299999999</v>
      </c>
      <c r="Q74" s="27">
        <f t="shared" si="62"/>
        <v>116268.9143</v>
      </c>
      <c r="R74" s="29">
        <f t="shared" si="59"/>
        <v>116268.9143</v>
      </c>
      <c r="T74" s="11"/>
      <c r="U74" s="11"/>
      <c r="V74" s="11"/>
      <c r="W74" s="11"/>
    </row>
    <row r="75" spans="1:23" s="6" customFormat="1" ht="44.25" customHeight="1" x14ac:dyDescent="0.3">
      <c r="A75" s="120">
        <v>12</v>
      </c>
      <c r="B75" s="156" t="s">
        <v>156</v>
      </c>
      <c r="C75" s="157"/>
      <c r="D75" s="157"/>
      <c r="E75" s="157"/>
      <c r="F75" s="158"/>
      <c r="G75" s="20" t="s">
        <v>16</v>
      </c>
      <c r="H75" s="20">
        <v>1</v>
      </c>
      <c r="I75" s="13"/>
      <c r="J75" s="60">
        <v>88732.5</v>
      </c>
      <c r="K75" s="13"/>
      <c r="L75" s="182">
        <f t="shared" si="60"/>
        <v>97704.97</v>
      </c>
      <c r="M75" s="182"/>
      <c r="N75" s="13"/>
      <c r="O75" s="25">
        <f t="shared" si="61"/>
        <v>97704.97</v>
      </c>
      <c r="P75" s="27">
        <f t="shared" si="58"/>
        <v>18563.944299999999</v>
      </c>
      <c r="Q75" s="27">
        <f t="shared" si="62"/>
        <v>116268.9143</v>
      </c>
      <c r="R75" s="29">
        <f t="shared" si="59"/>
        <v>116268.9143</v>
      </c>
      <c r="T75" s="11"/>
      <c r="U75" s="11"/>
      <c r="V75" s="11"/>
      <c r="W75" s="11"/>
    </row>
    <row r="76" spans="1:23" s="6" customFormat="1" ht="44.25" customHeight="1" x14ac:dyDescent="0.3">
      <c r="A76" s="120">
        <v>13</v>
      </c>
      <c r="B76" s="156" t="s">
        <v>157</v>
      </c>
      <c r="C76" s="157"/>
      <c r="D76" s="157"/>
      <c r="E76" s="157"/>
      <c r="F76" s="158"/>
      <c r="G76" s="20" t="s">
        <v>16</v>
      </c>
      <c r="H76" s="20">
        <v>1</v>
      </c>
      <c r="I76" s="13"/>
      <c r="J76" s="60">
        <v>89986.5</v>
      </c>
      <c r="K76" s="13"/>
      <c r="L76" s="182">
        <f t="shared" si="60"/>
        <v>99085.77</v>
      </c>
      <c r="M76" s="182"/>
      <c r="N76" s="13"/>
      <c r="O76" s="25">
        <f t="shared" si="61"/>
        <v>99085.77</v>
      </c>
      <c r="P76" s="27">
        <f t="shared" si="58"/>
        <v>18826.296300000002</v>
      </c>
      <c r="Q76" s="27">
        <f t="shared" si="62"/>
        <v>117912.06630000001</v>
      </c>
      <c r="R76" s="29">
        <f t="shared" si="59"/>
        <v>117912.06630000001</v>
      </c>
      <c r="T76" s="11"/>
      <c r="U76" s="11"/>
      <c r="V76" s="11"/>
      <c r="W76" s="11"/>
    </row>
    <row r="77" spans="1:23" s="6" customFormat="1" ht="44.25" customHeight="1" x14ac:dyDescent="0.3">
      <c r="A77" s="120">
        <v>14</v>
      </c>
      <c r="B77" s="156" t="s">
        <v>158</v>
      </c>
      <c r="C77" s="157"/>
      <c r="D77" s="157"/>
      <c r="E77" s="157"/>
      <c r="F77" s="158"/>
      <c r="G77" s="20" t="s">
        <v>16</v>
      </c>
      <c r="H77" s="20">
        <v>1</v>
      </c>
      <c r="I77" s="13"/>
      <c r="J77" s="60">
        <v>89986.5</v>
      </c>
      <c r="K77" s="13"/>
      <c r="L77" s="182">
        <f t="shared" si="60"/>
        <v>99085.77</v>
      </c>
      <c r="M77" s="182"/>
      <c r="N77" s="13"/>
      <c r="O77" s="25">
        <f t="shared" si="61"/>
        <v>99085.77</v>
      </c>
      <c r="P77" s="27">
        <f t="shared" si="58"/>
        <v>18826.296300000002</v>
      </c>
      <c r="Q77" s="27">
        <f t="shared" si="62"/>
        <v>117912.06630000001</v>
      </c>
      <c r="R77" s="29">
        <f t="shared" si="59"/>
        <v>117912.06630000001</v>
      </c>
      <c r="T77" s="11"/>
      <c r="U77" s="11"/>
      <c r="V77" s="11"/>
      <c r="W77" s="11"/>
    </row>
    <row r="78" spans="1:23" s="6" customFormat="1" ht="44.25" customHeight="1" x14ac:dyDescent="0.3">
      <c r="A78" s="120">
        <v>15</v>
      </c>
      <c r="B78" s="156" t="s">
        <v>159</v>
      </c>
      <c r="C78" s="157"/>
      <c r="D78" s="157"/>
      <c r="E78" s="157"/>
      <c r="F78" s="158"/>
      <c r="G78" s="20" t="s">
        <v>16</v>
      </c>
      <c r="H78" s="20">
        <v>1</v>
      </c>
      <c r="I78" s="13"/>
      <c r="J78" s="60">
        <v>114291.5</v>
      </c>
      <c r="K78" s="13"/>
      <c r="L78" s="182">
        <f t="shared" si="60"/>
        <v>125848.45</v>
      </c>
      <c r="M78" s="182"/>
      <c r="N78" s="13"/>
      <c r="O78" s="25">
        <f t="shared" si="61"/>
        <v>125848.45</v>
      </c>
      <c r="P78" s="27">
        <f t="shared" si="58"/>
        <v>23911.2055</v>
      </c>
      <c r="Q78" s="27">
        <f t="shared" si="62"/>
        <v>149759.65549999999</v>
      </c>
      <c r="R78" s="29">
        <f t="shared" si="59"/>
        <v>149759.65549999999</v>
      </c>
      <c r="T78" s="11"/>
      <c r="U78" s="11"/>
      <c r="V78" s="11"/>
      <c r="W78" s="11"/>
    </row>
    <row r="79" spans="1:23" s="6" customFormat="1" ht="44.25" customHeight="1" x14ac:dyDescent="0.3">
      <c r="A79" s="120">
        <v>16</v>
      </c>
      <c r="B79" s="156" t="s">
        <v>160</v>
      </c>
      <c r="C79" s="157"/>
      <c r="D79" s="157"/>
      <c r="E79" s="157"/>
      <c r="F79" s="158"/>
      <c r="G79" s="20" t="s">
        <v>16</v>
      </c>
      <c r="H79" s="20">
        <v>1</v>
      </c>
      <c r="I79" s="13"/>
      <c r="J79" s="60">
        <v>93232</v>
      </c>
      <c r="K79" s="13"/>
      <c r="L79" s="182">
        <f t="shared" si="60"/>
        <v>102659.45</v>
      </c>
      <c r="M79" s="182"/>
      <c r="N79" s="13"/>
      <c r="O79" s="25">
        <f t="shared" si="61"/>
        <v>102659.45</v>
      </c>
      <c r="P79" s="27">
        <f t="shared" si="58"/>
        <v>19505.2955</v>
      </c>
      <c r="Q79" s="27">
        <f t="shared" si="62"/>
        <v>122164.74549999999</v>
      </c>
      <c r="R79" s="29">
        <f t="shared" si="59"/>
        <v>122164.74549999999</v>
      </c>
      <c r="T79" s="11"/>
      <c r="U79" s="11"/>
      <c r="V79" s="11"/>
      <c r="W79" s="11"/>
    </row>
    <row r="80" spans="1:23" s="6" customFormat="1" ht="44.25" customHeight="1" x14ac:dyDescent="0.3">
      <c r="A80" s="120">
        <v>17</v>
      </c>
      <c r="B80" s="156" t="s">
        <v>161</v>
      </c>
      <c r="C80" s="157"/>
      <c r="D80" s="157"/>
      <c r="E80" s="157"/>
      <c r="F80" s="158"/>
      <c r="G80" s="20" t="s">
        <v>16</v>
      </c>
      <c r="H80" s="20">
        <v>1</v>
      </c>
      <c r="I80" s="13"/>
      <c r="J80" s="60">
        <v>144129</v>
      </c>
      <c r="K80" s="13"/>
      <c r="L80" s="182">
        <f t="shared" si="60"/>
        <v>158703.06</v>
      </c>
      <c r="M80" s="182"/>
      <c r="N80" s="13"/>
      <c r="O80" s="25">
        <f t="shared" si="61"/>
        <v>158703.06</v>
      </c>
      <c r="P80" s="27">
        <f t="shared" si="58"/>
        <v>30153.581399999999</v>
      </c>
      <c r="Q80" s="27">
        <f t="shared" si="62"/>
        <v>188856.64139999999</v>
      </c>
      <c r="R80" s="29">
        <f t="shared" si="59"/>
        <v>188856.64139999999</v>
      </c>
      <c r="T80" s="11"/>
      <c r="U80" s="11"/>
      <c r="V80" s="11"/>
      <c r="W80" s="11"/>
    </row>
    <row r="81" spans="1:23" s="6" customFormat="1" ht="44.25" customHeight="1" x14ac:dyDescent="0.3">
      <c r="A81" s="120">
        <v>18</v>
      </c>
      <c r="B81" s="156" t="s">
        <v>162</v>
      </c>
      <c r="C81" s="157"/>
      <c r="D81" s="157"/>
      <c r="E81" s="157"/>
      <c r="F81" s="158"/>
      <c r="G81" s="20" t="s">
        <v>16</v>
      </c>
      <c r="H81" s="20">
        <v>1</v>
      </c>
      <c r="I81" s="13"/>
      <c r="J81" s="60">
        <v>144129</v>
      </c>
      <c r="K81" s="13"/>
      <c r="L81" s="182">
        <f t="shared" si="60"/>
        <v>158703.06</v>
      </c>
      <c r="M81" s="182"/>
      <c r="N81" s="13"/>
      <c r="O81" s="25">
        <f t="shared" si="61"/>
        <v>158703.06</v>
      </c>
      <c r="P81" s="27">
        <f t="shared" si="58"/>
        <v>30153.581399999999</v>
      </c>
      <c r="Q81" s="27">
        <f t="shared" si="62"/>
        <v>188856.64139999999</v>
      </c>
      <c r="R81" s="29">
        <f t="shared" si="59"/>
        <v>188856.64139999999</v>
      </c>
      <c r="T81" s="11"/>
      <c r="U81" s="11"/>
      <c r="V81" s="11"/>
      <c r="W81" s="11"/>
    </row>
    <row r="82" spans="1:23" s="6" customFormat="1" ht="44.25" customHeight="1" x14ac:dyDescent="0.3">
      <c r="A82" s="120">
        <v>19</v>
      </c>
      <c r="B82" s="156" t="s">
        <v>163</v>
      </c>
      <c r="C82" s="157"/>
      <c r="D82" s="157"/>
      <c r="E82" s="157"/>
      <c r="F82" s="158"/>
      <c r="G82" s="20" t="s">
        <v>16</v>
      </c>
      <c r="H82" s="20">
        <v>1</v>
      </c>
      <c r="I82" s="13"/>
      <c r="J82" s="60">
        <v>144129</v>
      </c>
      <c r="K82" s="13"/>
      <c r="L82" s="182">
        <f t="shared" si="60"/>
        <v>158703.06</v>
      </c>
      <c r="M82" s="182"/>
      <c r="N82" s="13"/>
      <c r="O82" s="25">
        <f t="shared" si="61"/>
        <v>158703.06</v>
      </c>
      <c r="P82" s="27">
        <f t="shared" si="58"/>
        <v>30153.581399999999</v>
      </c>
      <c r="Q82" s="27">
        <f t="shared" si="62"/>
        <v>188856.64139999999</v>
      </c>
      <c r="R82" s="29">
        <f t="shared" si="59"/>
        <v>188856.64139999999</v>
      </c>
      <c r="T82" s="11"/>
      <c r="U82" s="11"/>
      <c r="V82" s="11"/>
      <c r="W82" s="11"/>
    </row>
    <row r="83" spans="1:23" s="6" customFormat="1" ht="44.25" customHeight="1" x14ac:dyDescent="0.3">
      <c r="A83" s="120">
        <v>20</v>
      </c>
      <c r="B83" s="156" t="s">
        <v>164</v>
      </c>
      <c r="C83" s="157"/>
      <c r="D83" s="157"/>
      <c r="E83" s="157"/>
      <c r="F83" s="158"/>
      <c r="G83" s="20" t="s">
        <v>16</v>
      </c>
      <c r="H83" s="20">
        <v>1</v>
      </c>
      <c r="I83" s="13"/>
      <c r="J83" s="60">
        <v>144129</v>
      </c>
      <c r="K83" s="13"/>
      <c r="L83" s="182">
        <f t="shared" si="60"/>
        <v>158703.06</v>
      </c>
      <c r="M83" s="182"/>
      <c r="N83" s="13"/>
      <c r="O83" s="25">
        <f t="shared" si="61"/>
        <v>158703.06</v>
      </c>
      <c r="P83" s="27">
        <f t="shared" si="58"/>
        <v>30153.581399999999</v>
      </c>
      <c r="Q83" s="27">
        <f t="shared" si="62"/>
        <v>188856.64139999999</v>
      </c>
      <c r="R83" s="29">
        <f t="shared" si="59"/>
        <v>188856.64139999999</v>
      </c>
      <c r="T83" s="11"/>
      <c r="U83" s="11"/>
      <c r="V83" s="11"/>
      <c r="W83" s="11"/>
    </row>
    <row r="84" spans="1:23" s="6" customFormat="1" ht="44.25" customHeight="1" x14ac:dyDescent="0.3">
      <c r="A84" s="120">
        <v>21</v>
      </c>
      <c r="B84" s="156" t="s">
        <v>165</v>
      </c>
      <c r="C84" s="157"/>
      <c r="D84" s="157"/>
      <c r="E84" s="157"/>
      <c r="F84" s="158"/>
      <c r="G84" s="20" t="s">
        <v>16</v>
      </c>
      <c r="H84" s="20">
        <v>1</v>
      </c>
      <c r="I84" s="13"/>
      <c r="J84" s="60">
        <v>144129</v>
      </c>
      <c r="K84" s="13"/>
      <c r="L84" s="182">
        <f t="shared" si="60"/>
        <v>158703.06</v>
      </c>
      <c r="M84" s="182"/>
      <c r="N84" s="13"/>
      <c r="O84" s="25">
        <f t="shared" si="61"/>
        <v>158703.06</v>
      </c>
      <c r="P84" s="27">
        <f t="shared" si="58"/>
        <v>30153.581399999999</v>
      </c>
      <c r="Q84" s="27">
        <f t="shared" si="62"/>
        <v>188856.64139999999</v>
      </c>
      <c r="R84" s="29">
        <f t="shared" si="59"/>
        <v>188856.64139999999</v>
      </c>
      <c r="T84" s="11"/>
      <c r="U84" s="11"/>
      <c r="V84" s="11"/>
      <c r="W84" s="11"/>
    </row>
    <row r="85" spans="1:23" s="6" customFormat="1" ht="44.25" customHeight="1" x14ac:dyDescent="0.3">
      <c r="A85" s="120">
        <v>22</v>
      </c>
      <c r="B85" s="156" t="s">
        <v>166</v>
      </c>
      <c r="C85" s="157"/>
      <c r="D85" s="157"/>
      <c r="E85" s="157"/>
      <c r="F85" s="158"/>
      <c r="G85" s="20" t="s">
        <v>16</v>
      </c>
      <c r="H85" s="20">
        <v>1</v>
      </c>
      <c r="I85" s="13"/>
      <c r="J85" s="60">
        <v>901024.5</v>
      </c>
      <c r="K85" s="13"/>
      <c r="L85" s="182">
        <f t="shared" si="60"/>
        <v>992134.45</v>
      </c>
      <c r="M85" s="182"/>
      <c r="N85" s="13"/>
      <c r="O85" s="25">
        <f t="shared" si="61"/>
        <v>992134.45</v>
      </c>
      <c r="P85" s="27">
        <f t="shared" si="58"/>
        <v>188505.54550000001</v>
      </c>
      <c r="Q85" s="27">
        <f t="shared" si="62"/>
        <v>1180639.9955</v>
      </c>
      <c r="R85" s="29">
        <f t="shared" si="59"/>
        <v>1180639.9955</v>
      </c>
      <c r="T85" s="11"/>
      <c r="U85" s="11"/>
      <c r="V85" s="11"/>
      <c r="W85" s="11"/>
    </row>
    <row r="86" spans="1:23" s="6" customFormat="1" ht="44.25" customHeight="1" x14ac:dyDescent="0.3">
      <c r="A86" s="120">
        <v>23</v>
      </c>
      <c r="B86" s="156" t="s">
        <v>167</v>
      </c>
      <c r="C86" s="157"/>
      <c r="D86" s="157"/>
      <c r="E86" s="157"/>
      <c r="F86" s="158"/>
      <c r="G86" s="20" t="s">
        <v>16</v>
      </c>
      <c r="H86" s="20">
        <v>1</v>
      </c>
      <c r="I86" s="13"/>
      <c r="J86" s="60">
        <v>942358</v>
      </c>
      <c r="K86" s="13"/>
      <c r="L86" s="182">
        <f t="shared" si="60"/>
        <v>1037647.51</v>
      </c>
      <c r="M86" s="182"/>
      <c r="N86" s="13"/>
      <c r="O86" s="25">
        <f t="shared" si="61"/>
        <v>1037647.51</v>
      </c>
      <c r="P86" s="27">
        <f t="shared" si="58"/>
        <v>197153.0269</v>
      </c>
      <c r="Q86" s="27">
        <f t="shared" si="62"/>
        <v>1234800.5368999999</v>
      </c>
      <c r="R86" s="29">
        <f t="shared" si="59"/>
        <v>1234800.5368999999</v>
      </c>
      <c r="T86" s="11"/>
      <c r="U86" s="11"/>
      <c r="V86" s="11"/>
      <c r="W86" s="11"/>
    </row>
    <row r="87" spans="1:23" s="6" customFormat="1" ht="44.25" customHeight="1" x14ac:dyDescent="0.3">
      <c r="A87" s="111">
        <v>24</v>
      </c>
      <c r="B87" s="174" t="s">
        <v>193</v>
      </c>
      <c r="C87" s="175"/>
      <c r="D87" s="175"/>
      <c r="E87" s="175"/>
      <c r="F87" s="176"/>
      <c r="G87" s="20" t="s">
        <v>16</v>
      </c>
      <c r="H87" s="20">
        <v>1</v>
      </c>
      <c r="I87" s="13"/>
      <c r="J87" s="60">
        <v>0</v>
      </c>
      <c r="K87" s="13"/>
      <c r="L87" s="177">
        <f t="shared" ref="L87:L90" si="63">ROUND($M$5/$L$5*J87,2)</f>
        <v>0</v>
      </c>
      <c r="M87" s="178"/>
      <c r="N87" s="13"/>
      <c r="O87" s="25">
        <f t="shared" ref="O87:O90" si="64">+L87</f>
        <v>0</v>
      </c>
      <c r="P87" s="27">
        <f t="shared" si="58"/>
        <v>0</v>
      </c>
      <c r="Q87" s="27">
        <f t="shared" ref="Q87:Q90" si="65">+P87+O87</f>
        <v>0</v>
      </c>
      <c r="R87" s="29">
        <f t="shared" ref="R87:R90" si="66">+Q87*H87</f>
        <v>0</v>
      </c>
      <c r="T87" s="11"/>
      <c r="U87" s="11"/>
      <c r="V87" s="11"/>
      <c r="W87" s="11"/>
    </row>
    <row r="88" spans="1:23" s="6" customFormat="1" ht="44.25" customHeight="1" x14ac:dyDescent="0.3">
      <c r="A88" s="111">
        <v>25</v>
      </c>
      <c r="B88" s="174" t="s">
        <v>194</v>
      </c>
      <c r="C88" s="175"/>
      <c r="D88" s="175"/>
      <c r="E88" s="175"/>
      <c r="F88" s="176"/>
      <c r="G88" s="20" t="s">
        <v>16</v>
      </c>
      <c r="H88" s="20">
        <v>1</v>
      </c>
      <c r="I88" s="13"/>
      <c r="J88" s="60">
        <v>0</v>
      </c>
      <c r="K88" s="13"/>
      <c r="L88" s="177">
        <f t="shared" si="63"/>
        <v>0</v>
      </c>
      <c r="M88" s="178"/>
      <c r="N88" s="13"/>
      <c r="O88" s="25">
        <f t="shared" si="64"/>
        <v>0</v>
      </c>
      <c r="P88" s="27">
        <f t="shared" si="58"/>
        <v>0</v>
      </c>
      <c r="Q88" s="27">
        <f t="shared" si="65"/>
        <v>0</v>
      </c>
      <c r="R88" s="29">
        <f t="shared" si="66"/>
        <v>0</v>
      </c>
      <c r="T88" s="11"/>
      <c r="U88" s="11"/>
      <c r="V88" s="11"/>
      <c r="W88" s="11"/>
    </row>
    <row r="89" spans="1:23" s="6" customFormat="1" ht="44.25" customHeight="1" x14ac:dyDescent="0.3">
      <c r="A89" s="111">
        <v>26</v>
      </c>
      <c r="B89" s="174" t="s">
        <v>195</v>
      </c>
      <c r="C89" s="175"/>
      <c r="D89" s="175"/>
      <c r="E89" s="175"/>
      <c r="F89" s="176"/>
      <c r="G89" s="20" t="s">
        <v>16</v>
      </c>
      <c r="H89" s="20">
        <v>1</v>
      </c>
      <c r="I89" s="13"/>
      <c r="J89" s="60">
        <v>0</v>
      </c>
      <c r="K89" s="13"/>
      <c r="L89" s="177">
        <f t="shared" si="63"/>
        <v>0</v>
      </c>
      <c r="M89" s="178"/>
      <c r="N89" s="13"/>
      <c r="O89" s="25">
        <f t="shared" si="64"/>
        <v>0</v>
      </c>
      <c r="P89" s="27">
        <f t="shared" si="58"/>
        <v>0</v>
      </c>
      <c r="Q89" s="27">
        <f t="shared" si="65"/>
        <v>0</v>
      </c>
      <c r="R89" s="29">
        <f t="shared" si="66"/>
        <v>0</v>
      </c>
      <c r="T89" s="11"/>
      <c r="U89" s="11"/>
      <c r="V89" s="11"/>
      <c r="W89" s="11"/>
    </row>
    <row r="90" spans="1:23" s="6" customFormat="1" ht="44.25" customHeight="1" x14ac:dyDescent="0.3">
      <c r="A90" s="111">
        <v>27</v>
      </c>
      <c r="B90" s="174" t="s">
        <v>196</v>
      </c>
      <c r="C90" s="175"/>
      <c r="D90" s="175"/>
      <c r="E90" s="175"/>
      <c r="F90" s="176"/>
      <c r="G90" s="20" t="s">
        <v>16</v>
      </c>
      <c r="H90" s="20">
        <v>1</v>
      </c>
      <c r="I90" s="13"/>
      <c r="J90" s="60">
        <v>0</v>
      </c>
      <c r="K90" s="13"/>
      <c r="L90" s="177">
        <f t="shared" si="63"/>
        <v>0</v>
      </c>
      <c r="M90" s="178"/>
      <c r="N90" s="13"/>
      <c r="O90" s="25">
        <f t="shared" si="64"/>
        <v>0</v>
      </c>
      <c r="P90" s="27">
        <f t="shared" si="58"/>
        <v>0</v>
      </c>
      <c r="Q90" s="27">
        <f t="shared" si="65"/>
        <v>0</v>
      </c>
      <c r="R90" s="29">
        <f t="shared" si="66"/>
        <v>0</v>
      </c>
      <c r="T90" s="11"/>
      <c r="U90" s="11"/>
      <c r="V90" s="11"/>
      <c r="W90" s="11"/>
    </row>
    <row r="91" spans="1:23" s="6" customFormat="1" ht="44.25" customHeight="1" x14ac:dyDescent="0.3">
      <c r="A91" s="120">
        <v>28</v>
      </c>
      <c r="B91" s="156" t="s">
        <v>168</v>
      </c>
      <c r="C91" s="157"/>
      <c r="D91" s="157"/>
      <c r="E91" s="157"/>
      <c r="F91" s="158"/>
      <c r="G91" s="20" t="s">
        <v>16</v>
      </c>
      <c r="H91" s="20">
        <v>1</v>
      </c>
      <c r="I91" s="13"/>
      <c r="J91" s="60">
        <v>18394354.5</v>
      </c>
      <c r="K91" s="13"/>
      <c r="L91" s="182">
        <f t="shared" si="60"/>
        <v>20254357.91</v>
      </c>
      <c r="M91" s="182"/>
      <c r="N91" s="13"/>
      <c r="O91" s="25">
        <f t="shared" si="61"/>
        <v>20254357.91</v>
      </c>
      <c r="P91" s="27">
        <f t="shared" si="58"/>
        <v>3848328.0029000002</v>
      </c>
      <c r="Q91" s="27">
        <f t="shared" si="62"/>
        <v>24102685.912900001</v>
      </c>
      <c r="R91" s="29">
        <f t="shared" si="59"/>
        <v>24102685.912900001</v>
      </c>
      <c r="T91" s="11"/>
      <c r="U91" s="11"/>
      <c r="V91" s="11"/>
      <c r="W91" s="11"/>
    </row>
    <row r="92" spans="1:23" s="6" customFormat="1" ht="44.25" customHeight="1" x14ac:dyDescent="0.3">
      <c r="A92" s="120">
        <v>29</v>
      </c>
      <c r="B92" s="156" t="s">
        <v>169</v>
      </c>
      <c r="C92" s="157"/>
      <c r="D92" s="157"/>
      <c r="E92" s="157"/>
      <c r="F92" s="158"/>
      <c r="G92" s="20" t="s">
        <v>16</v>
      </c>
      <c r="H92" s="20">
        <v>1</v>
      </c>
      <c r="I92" s="13"/>
      <c r="J92" s="60">
        <v>13544445.5</v>
      </c>
      <c r="K92" s="13"/>
      <c r="L92" s="182">
        <f t="shared" ref="L92:L105" si="67">ROUND($M$5/$L$5*J92,2)</f>
        <v>14914035</v>
      </c>
      <c r="M92" s="182"/>
      <c r="N92" s="13"/>
      <c r="O92" s="25">
        <f t="shared" ref="O92:O94" si="68">+L92</f>
        <v>14914035</v>
      </c>
      <c r="P92" s="27">
        <f t="shared" si="58"/>
        <v>2833666.65</v>
      </c>
      <c r="Q92" s="27">
        <f t="shared" ref="Q92:Q94" si="69">+P92+O92</f>
        <v>17747701.649999999</v>
      </c>
      <c r="R92" s="29">
        <f t="shared" ref="R92:R94" si="70">+Q92*H92</f>
        <v>17747701.649999999</v>
      </c>
      <c r="T92" s="11"/>
      <c r="U92" s="11"/>
      <c r="V92" s="11"/>
      <c r="W92" s="11"/>
    </row>
    <row r="93" spans="1:23" s="6" customFormat="1" ht="44.25" customHeight="1" x14ac:dyDescent="0.3">
      <c r="A93" s="120">
        <v>30</v>
      </c>
      <c r="B93" s="156" t="s">
        <v>170</v>
      </c>
      <c r="C93" s="157"/>
      <c r="D93" s="157"/>
      <c r="E93" s="157"/>
      <c r="F93" s="158"/>
      <c r="G93" s="20" t="s">
        <v>16</v>
      </c>
      <c r="H93" s="20">
        <v>1</v>
      </c>
      <c r="I93" s="13"/>
      <c r="J93" s="60">
        <v>732775</v>
      </c>
      <c r="K93" s="13"/>
      <c r="L93" s="182">
        <f t="shared" si="67"/>
        <v>806871.86</v>
      </c>
      <c r="M93" s="182"/>
      <c r="N93" s="13"/>
      <c r="O93" s="25">
        <f t="shared" si="68"/>
        <v>806871.86</v>
      </c>
      <c r="P93" s="27">
        <f t="shared" si="58"/>
        <v>153305.65340000001</v>
      </c>
      <c r="Q93" s="27">
        <f t="shared" si="69"/>
        <v>960177.51340000005</v>
      </c>
      <c r="R93" s="29">
        <f t="shared" si="70"/>
        <v>960177.51340000005</v>
      </c>
      <c r="T93" s="11"/>
      <c r="U93" s="11"/>
      <c r="V93" s="11"/>
      <c r="W93" s="11"/>
    </row>
    <row r="94" spans="1:23" s="6" customFormat="1" ht="44.25" customHeight="1" x14ac:dyDescent="0.3">
      <c r="A94" s="120">
        <v>31</v>
      </c>
      <c r="B94" s="156" t="s">
        <v>171</v>
      </c>
      <c r="C94" s="157"/>
      <c r="D94" s="157"/>
      <c r="E94" s="157"/>
      <c r="F94" s="158"/>
      <c r="G94" s="20" t="s">
        <v>16</v>
      </c>
      <c r="H94" s="20">
        <v>1</v>
      </c>
      <c r="I94" s="13"/>
      <c r="J94" s="60">
        <v>732775</v>
      </c>
      <c r="K94" s="13"/>
      <c r="L94" s="182">
        <f t="shared" si="67"/>
        <v>806871.86</v>
      </c>
      <c r="M94" s="182"/>
      <c r="N94" s="13"/>
      <c r="O94" s="25">
        <f t="shared" si="68"/>
        <v>806871.86</v>
      </c>
      <c r="P94" s="27">
        <f t="shared" si="58"/>
        <v>153305.65340000001</v>
      </c>
      <c r="Q94" s="27">
        <f t="shared" si="69"/>
        <v>960177.51340000005</v>
      </c>
      <c r="R94" s="29">
        <f t="shared" si="70"/>
        <v>960177.51340000005</v>
      </c>
      <c r="T94" s="11"/>
      <c r="U94" s="11"/>
      <c r="V94" s="11"/>
      <c r="W94" s="11"/>
    </row>
    <row r="95" spans="1:23" s="6" customFormat="1" ht="44.25" customHeight="1" x14ac:dyDescent="0.3">
      <c r="A95" s="120">
        <v>32</v>
      </c>
      <c r="B95" s="156" t="s">
        <v>172</v>
      </c>
      <c r="C95" s="157"/>
      <c r="D95" s="157"/>
      <c r="E95" s="157"/>
      <c r="F95" s="158"/>
      <c r="G95" s="20" t="s">
        <v>16</v>
      </c>
      <c r="H95" s="20">
        <v>1</v>
      </c>
      <c r="I95" s="13"/>
      <c r="J95" s="60">
        <v>731300</v>
      </c>
      <c r="K95" s="13"/>
      <c r="L95" s="182">
        <f t="shared" si="67"/>
        <v>805247.72</v>
      </c>
      <c r="M95" s="182"/>
      <c r="N95" s="13"/>
      <c r="O95" s="25">
        <f t="shared" si="61"/>
        <v>805247.72</v>
      </c>
      <c r="P95" s="27">
        <f t="shared" si="58"/>
        <v>152997.0668</v>
      </c>
      <c r="Q95" s="27">
        <f t="shared" si="62"/>
        <v>958244.7868</v>
      </c>
      <c r="R95" s="29">
        <f t="shared" si="59"/>
        <v>958244.7868</v>
      </c>
      <c r="T95" s="11"/>
      <c r="U95" s="11"/>
      <c r="V95" s="11"/>
      <c r="W95" s="11"/>
    </row>
    <row r="96" spans="1:23" s="6" customFormat="1" ht="44.25" customHeight="1" thickBot="1" x14ac:dyDescent="0.35">
      <c r="A96" s="121">
        <v>33</v>
      </c>
      <c r="B96" s="163" t="s">
        <v>173</v>
      </c>
      <c r="C96" s="164"/>
      <c r="D96" s="164"/>
      <c r="E96" s="164"/>
      <c r="F96" s="165"/>
      <c r="G96" s="20" t="s">
        <v>16</v>
      </c>
      <c r="H96" s="20">
        <v>1</v>
      </c>
      <c r="I96" s="13"/>
      <c r="J96" s="60">
        <v>490877</v>
      </c>
      <c r="K96" s="13"/>
      <c r="L96" s="177">
        <f t="shared" ref="L96:L102" si="71">ROUND($M$5/$L$5*J96,2)</f>
        <v>540513.57999999996</v>
      </c>
      <c r="M96" s="178"/>
      <c r="N96" s="13"/>
      <c r="O96" s="25">
        <f t="shared" ref="O96:O104" si="72">+L96</f>
        <v>540513.57999999996</v>
      </c>
      <c r="P96" s="27">
        <f t="shared" si="58"/>
        <v>102697.5802</v>
      </c>
      <c r="Q96" s="27">
        <f t="shared" ref="Q96:Q104" si="73">+P96+O96</f>
        <v>643211.16019999993</v>
      </c>
      <c r="R96" s="29">
        <f t="shared" ref="R96:R104" si="74">+Q96*H96</f>
        <v>643211.16019999993</v>
      </c>
      <c r="T96" s="11"/>
      <c r="U96" s="11"/>
      <c r="V96" s="11"/>
      <c r="W96" s="11"/>
    </row>
    <row r="97" spans="1:23" s="6" customFormat="1" ht="44.25" customHeight="1" x14ac:dyDescent="0.3">
      <c r="A97" s="123">
        <v>34</v>
      </c>
      <c r="B97" s="179" t="s">
        <v>197</v>
      </c>
      <c r="C97" s="180"/>
      <c r="D97" s="180"/>
      <c r="E97" s="180"/>
      <c r="F97" s="181"/>
      <c r="G97" s="20" t="s">
        <v>16</v>
      </c>
      <c r="H97" s="20">
        <v>1</v>
      </c>
      <c r="I97" s="13"/>
      <c r="J97" s="60">
        <v>0</v>
      </c>
      <c r="K97" s="13"/>
      <c r="L97" s="177">
        <f t="shared" si="71"/>
        <v>0</v>
      </c>
      <c r="M97" s="178"/>
      <c r="N97" s="13"/>
      <c r="O97" s="25">
        <f t="shared" si="72"/>
        <v>0</v>
      </c>
      <c r="P97" s="27">
        <f t="shared" si="58"/>
        <v>0</v>
      </c>
      <c r="Q97" s="27">
        <f t="shared" si="73"/>
        <v>0</v>
      </c>
      <c r="R97" s="29">
        <f t="shared" si="74"/>
        <v>0</v>
      </c>
      <c r="T97" s="11"/>
      <c r="U97" s="11"/>
      <c r="V97" s="11"/>
      <c r="W97" s="11"/>
    </row>
    <row r="98" spans="1:23" s="6" customFormat="1" ht="44.25" customHeight="1" x14ac:dyDescent="0.3">
      <c r="A98" s="123">
        <v>35</v>
      </c>
      <c r="B98" s="174" t="s">
        <v>198</v>
      </c>
      <c r="C98" s="175"/>
      <c r="D98" s="175"/>
      <c r="E98" s="175"/>
      <c r="F98" s="176"/>
      <c r="G98" s="20" t="s">
        <v>16</v>
      </c>
      <c r="H98" s="20">
        <v>1</v>
      </c>
      <c r="I98" s="13"/>
      <c r="J98" s="60">
        <v>0</v>
      </c>
      <c r="K98" s="13"/>
      <c r="L98" s="177">
        <f t="shared" si="71"/>
        <v>0</v>
      </c>
      <c r="M98" s="178"/>
      <c r="N98" s="13"/>
      <c r="O98" s="25">
        <f t="shared" si="72"/>
        <v>0</v>
      </c>
      <c r="P98" s="27">
        <f t="shared" si="58"/>
        <v>0</v>
      </c>
      <c r="Q98" s="27">
        <f t="shared" si="73"/>
        <v>0</v>
      </c>
      <c r="R98" s="29">
        <f t="shared" si="74"/>
        <v>0</v>
      </c>
      <c r="T98" s="11"/>
      <c r="U98" s="11"/>
      <c r="V98" s="11"/>
      <c r="W98" s="11"/>
    </row>
    <row r="99" spans="1:23" s="6" customFormat="1" ht="44.25" customHeight="1" x14ac:dyDescent="0.3">
      <c r="A99" s="123">
        <v>36</v>
      </c>
      <c r="B99" s="174" t="s">
        <v>199</v>
      </c>
      <c r="C99" s="175"/>
      <c r="D99" s="175"/>
      <c r="E99" s="175"/>
      <c r="F99" s="176"/>
      <c r="G99" s="20" t="s">
        <v>16</v>
      </c>
      <c r="H99" s="20">
        <v>1</v>
      </c>
      <c r="I99" s="13"/>
      <c r="J99" s="60">
        <v>0</v>
      </c>
      <c r="K99" s="13"/>
      <c r="L99" s="177">
        <f t="shared" si="71"/>
        <v>0</v>
      </c>
      <c r="M99" s="178"/>
      <c r="N99" s="13"/>
      <c r="O99" s="25">
        <f t="shared" si="72"/>
        <v>0</v>
      </c>
      <c r="P99" s="27">
        <f t="shared" si="58"/>
        <v>0</v>
      </c>
      <c r="Q99" s="27">
        <f t="shared" si="73"/>
        <v>0</v>
      </c>
      <c r="R99" s="29">
        <f t="shared" si="74"/>
        <v>0</v>
      </c>
      <c r="T99" s="11"/>
      <c r="U99" s="11"/>
      <c r="V99" s="11"/>
      <c r="W99" s="11"/>
    </row>
    <row r="100" spans="1:23" s="6" customFormat="1" ht="44.25" customHeight="1" x14ac:dyDescent="0.3">
      <c r="A100" s="123">
        <v>37</v>
      </c>
      <c r="B100" s="174" t="s">
        <v>200</v>
      </c>
      <c r="C100" s="175"/>
      <c r="D100" s="175"/>
      <c r="E100" s="175"/>
      <c r="F100" s="176"/>
      <c r="G100" s="20" t="s">
        <v>16</v>
      </c>
      <c r="H100" s="20">
        <v>1</v>
      </c>
      <c r="I100" s="13"/>
      <c r="J100" s="60">
        <v>0</v>
      </c>
      <c r="K100" s="13"/>
      <c r="L100" s="177">
        <f t="shared" si="71"/>
        <v>0</v>
      </c>
      <c r="M100" s="178"/>
      <c r="N100" s="13"/>
      <c r="O100" s="25">
        <f t="shared" si="72"/>
        <v>0</v>
      </c>
      <c r="P100" s="27">
        <f t="shared" si="58"/>
        <v>0</v>
      </c>
      <c r="Q100" s="27">
        <f t="shared" si="73"/>
        <v>0</v>
      </c>
      <c r="R100" s="29">
        <f t="shared" si="74"/>
        <v>0</v>
      </c>
      <c r="T100" s="11"/>
      <c r="U100" s="11"/>
      <c r="V100" s="11"/>
      <c r="W100" s="11"/>
    </row>
    <row r="101" spans="1:23" s="6" customFormat="1" ht="44.25" customHeight="1" x14ac:dyDescent="0.3">
      <c r="A101" s="123">
        <v>38</v>
      </c>
      <c r="B101" s="184" t="s">
        <v>201</v>
      </c>
      <c r="C101" s="185"/>
      <c r="D101" s="185"/>
      <c r="E101" s="185"/>
      <c r="F101" s="186"/>
      <c r="G101" s="20" t="s">
        <v>16</v>
      </c>
      <c r="H101" s="20">
        <v>1</v>
      </c>
      <c r="I101" s="13"/>
      <c r="J101" s="60">
        <v>0</v>
      </c>
      <c r="K101" s="13"/>
      <c r="L101" s="177">
        <f t="shared" si="71"/>
        <v>0</v>
      </c>
      <c r="M101" s="178"/>
      <c r="N101" s="13"/>
      <c r="O101" s="25">
        <f t="shared" si="72"/>
        <v>0</v>
      </c>
      <c r="P101" s="27">
        <f t="shared" si="58"/>
        <v>0</v>
      </c>
      <c r="Q101" s="27">
        <f t="shared" si="73"/>
        <v>0</v>
      </c>
      <c r="R101" s="29">
        <f t="shared" si="74"/>
        <v>0</v>
      </c>
      <c r="T101" s="11"/>
      <c r="U101" s="11"/>
      <c r="V101" s="11"/>
      <c r="W101" s="11"/>
    </row>
    <row r="102" spans="1:23" s="6" customFormat="1" ht="44.25" customHeight="1" x14ac:dyDescent="0.3">
      <c r="A102" s="123">
        <v>39</v>
      </c>
      <c r="B102" s="184" t="s">
        <v>202</v>
      </c>
      <c r="C102" s="185"/>
      <c r="D102" s="185"/>
      <c r="E102" s="185"/>
      <c r="F102" s="186"/>
      <c r="G102" s="20" t="s">
        <v>16</v>
      </c>
      <c r="H102" s="20">
        <v>1</v>
      </c>
      <c r="I102" s="13"/>
      <c r="J102" s="60">
        <v>0</v>
      </c>
      <c r="K102" s="13"/>
      <c r="L102" s="177">
        <f t="shared" si="71"/>
        <v>0</v>
      </c>
      <c r="M102" s="178"/>
      <c r="N102" s="13"/>
      <c r="O102" s="25">
        <f t="shared" si="72"/>
        <v>0</v>
      </c>
      <c r="P102" s="27">
        <f t="shared" ref="P102:P104" si="75">O102*19%</f>
        <v>0</v>
      </c>
      <c r="Q102" s="27">
        <f t="shared" si="73"/>
        <v>0</v>
      </c>
      <c r="R102" s="29">
        <f t="shared" si="74"/>
        <v>0</v>
      </c>
      <c r="T102" s="11"/>
      <c r="U102" s="11"/>
      <c r="V102" s="11"/>
      <c r="W102" s="11"/>
    </row>
    <row r="103" spans="1:23" s="6" customFormat="1" ht="44.25" customHeight="1" x14ac:dyDescent="0.3">
      <c r="A103" s="123">
        <v>40</v>
      </c>
      <c r="B103" s="156" t="s">
        <v>206</v>
      </c>
      <c r="C103" s="157"/>
      <c r="D103" s="157"/>
      <c r="E103" s="157"/>
      <c r="F103" s="158"/>
      <c r="G103" s="20" t="s">
        <v>16</v>
      </c>
      <c r="H103" s="20">
        <v>1</v>
      </c>
      <c r="I103" s="13"/>
      <c r="J103" s="60">
        <v>0</v>
      </c>
      <c r="K103" s="13"/>
      <c r="L103" s="177">
        <f t="shared" ref="L103:L104" si="76">ROUND($M$5/$L$5*J103,2)</f>
        <v>0</v>
      </c>
      <c r="M103" s="178"/>
      <c r="N103" s="13"/>
      <c r="O103" s="25">
        <f t="shared" si="72"/>
        <v>0</v>
      </c>
      <c r="P103" s="27">
        <f t="shared" si="75"/>
        <v>0</v>
      </c>
      <c r="Q103" s="27">
        <f t="shared" si="73"/>
        <v>0</v>
      </c>
      <c r="R103" s="29">
        <f t="shared" si="74"/>
        <v>0</v>
      </c>
      <c r="T103" s="11"/>
      <c r="U103" s="11"/>
      <c r="V103" s="11"/>
      <c r="W103" s="11"/>
    </row>
    <row r="104" spans="1:23" s="6" customFormat="1" ht="44.25" customHeight="1" x14ac:dyDescent="0.3">
      <c r="A104" s="123">
        <v>41</v>
      </c>
      <c r="B104" s="156" t="s">
        <v>207</v>
      </c>
      <c r="C104" s="157"/>
      <c r="D104" s="157"/>
      <c r="E104" s="157"/>
      <c r="F104" s="158"/>
      <c r="G104" s="20" t="s">
        <v>16</v>
      </c>
      <c r="H104" s="20">
        <v>1</v>
      </c>
      <c r="I104" s="13"/>
      <c r="J104" s="60">
        <v>0</v>
      </c>
      <c r="K104" s="13"/>
      <c r="L104" s="177">
        <f t="shared" si="76"/>
        <v>0</v>
      </c>
      <c r="M104" s="178"/>
      <c r="N104" s="13"/>
      <c r="O104" s="25">
        <f t="shared" si="72"/>
        <v>0</v>
      </c>
      <c r="P104" s="27">
        <f t="shared" si="75"/>
        <v>0</v>
      </c>
      <c r="Q104" s="27">
        <f t="shared" si="73"/>
        <v>0</v>
      </c>
      <c r="R104" s="29">
        <f t="shared" si="74"/>
        <v>0</v>
      </c>
      <c r="T104" s="11"/>
      <c r="U104" s="11"/>
      <c r="V104" s="11"/>
      <c r="W104" s="11"/>
    </row>
    <row r="105" spans="1:23" s="6" customFormat="1" ht="44.25" customHeight="1" thickBot="1" x14ac:dyDescent="0.35">
      <c r="A105" s="112">
        <v>42</v>
      </c>
      <c r="B105" s="163" t="s">
        <v>208</v>
      </c>
      <c r="C105" s="164"/>
      <c r="D105" s="164"/>
      <c r="E105" s="164"/>
      <c r="F105" s="165"/>
      <c r="G105" s="20" t="s">
        <v>16</v>
      </c>
      <c r="H105" s="20">
        <v>1</v>
      </c>
      <c r="I105" s="13"/>
      <c r="J105" s="60">
        <v>0</v>
      </c>
      <c r="K105" s="13"/>
      <c r="L105" s="182">
        <f t="shared" si="67"/>
        <v>0</v>
      </c>
      <c r="M105" s="182"/>
      <c r="N105" s="13"/>
      <c r="O105" s="25">
        <f t="shared" si="61"/>
        <v>0</v>
      </c>
      <c r="P105" s="27">
        <f t="shared" si="58"/>
        <v>0</v>
      </c>
      <c r="Q105" s="27">
        <f t="shared" si="62"/>
        <v>0</v>
      </c>
      <c r="R105" s="29">
        <f t="shared" si="59"/>
        <v>0</v>
      </c>
      <c r="T105" s="11"/>
      <c r="U105" s="11"/>
      <c r="V105" s="11"/>
      <c r="W105" s="11"/>
    </row>
    <row r="106" spans="1:23" s="6" customFormat="1" ht="45.75" customHeight="1" x14ac:dyDescent="0.3">
      <c r="A106" s="147" t="s">
        <v>17</v>
      </c>
      <c r="B106" s="147"/>
      <c r="C106" s="147"/>
      <c r="D106" s="147"/>
      <c r="E106" s="147"/>
      <c r="F106" s="147"/>
      <c r="G106" s="147"/>
      <c r="H106" s="147"/>
      <c r="I106" s="14"/>
      <c r="J106" s="14"/>
      <c r="K106" s="14"/>
      <c r="L106" s="14"/>
      <c r="M106" s="14"/>
      <c r="N106" s="14"/>
      <c r="O106" s="15"/>
      <c r="P106" s="15"/>
      <c r="R106" s="32">
        <f>SUM(R64:R105)</f>
        <v>53369827.693000004</v>
      </c>
      <c r="T106" s="11"/>
      <c r="U106" s="11"/>
      <c r="V106" s="11"/>
    </row>
    <row r="107" spans="1:23" s="6" customFormat="1" ht="43.5" customHeight="1" x14ac:dyDescent="0.3">
      <c r="A107" s="172" t="s">
        <v>178</v>
      </c>
      <c r="B107" s="172"/>
      <c r="C107" s="172"/>
      <c r="D107" s="172"/>
      <c r="E107" s="172"/>
      <c r="F107" s="172"/>
      <c r="G107" s="172"/>
      <c r="H107" s="172"/>
      <c r="I107" s="14"/>
      <c r="J107" s="14"/>
      <c r="K107" s="14"/>
      <c r="L107" s="14"/>
      <c r="M107" s="14"/>
      <c r="N107" s="14"/>
      <c r="O107" s="9"/>
      <c r="P107" s="9"/>
      <c r="R107" s="62">
        <f>+R61</f>
        <v>54790543.488800004</v>
      </c>
      <c r="T107" s="11"/>
      <c r="U107" s="11"/>
    </row>
    <row r="108" spans="1:23" s="6" customFormat="1" ht="16.5" x14ac:dyDescent="0.3">
      <c r="D108" s="7"/>
      <c r="E108" s="7"/>
      <c r="F108" s="7"/>
      <c r="G108" s="7"/>
      <c r="H108" s="8"/>
      <c r="I108" s="8"/>
      <c r="J108" s="8"/>
      <c r="K108" s="8"/>
      <c r="L108" s="8"/>
      <c r="M108" s="8"/>
      <c r="N108" s="8"/>
      <c r="O108" s="9"/>
      <c r="P108" s="9"/>
      <c r="Q108" s="9"/>
      <c r="R108" s="30"/>
    </row>
    <row r="110" spans="1:23" x14ac:dyDescent="0.2">
      <c r="B110" s="40" t="s">
        <v>20</v>
      </c>
      <c r="C110" s="40"/>
      <c r="D110" s="41"/>
      <c r="E110" s="41"/>
      <c r="F110" s="41"/>
      <c r="G110" s="41"/>
      <c r="H110" s="41"/>
      <c r="I110" s="41"/>
      <c r="J110" s="41"/>
      <c r="K110" s="41"/>
      <c r="L110" s="41"/>
      <c r="M110" s="3"/>
      <c r="N110" s="42"/>
      <c r="O110" s="42"/>
    </row>
    <row r="111" spans="1:23" ht="28.5" customHeight="1" x14ac:dyDescent="0.2">
      <c r="B111" s="173" t="s">
        <v>21</v>
      </c>
      <c r="C111" s="173"/>
      <c r="D111" s="173"/>
      <c r="E111" s="173"/>
      <c r="F111" s="173"/>
      <c r="G111" s="173"/>
      <c r="H111" s="173"/>
      <c r="I111" s="173"/>
      <c r="J111" s="173"/>
      <c r="K111" s="173"/>
      <c r="L111" s="173"/>
      <c r="M111" s="173"/>
      <c r="N111" s="173"/>
      <c r="O111" s="173"/>
    </row>
    <row r="112" spans="1:23" ht="27" customHeight="1" x14ac:dyDescent="0.2">
      <c r="B112" s="173" t="s">
        <v>22</v>
      </c>
      <c r="C112" s="173"/>
      <c r="D112" s="173"/>
      <c r="E112" s="173"/>
      <c r="F112" s="173"/>
      <c r="G112" s="173"/>
      <c r="H112" s="173"/>
      <c r="I112" s="173"/>
      <c r="J112" s="173"/>
      <c r="K112" s="173"/>
      <c r="L112" s="173"/>
      <c r="M112" s="173"/>
      <c r="N112" s="173"/>
      <c r="O112" s="173"/>
    </row>
    <row r="113" spans="2:15" ht="34.5" customHeight="1" x14ac:dyDescent="0.2">
      <c r="B113" s="197" t="s">
        <v>204</v>
      </c>
      <c r="C113" s="197"/>
      <c r="D113" s="197"/>
      <c r="E113" s="197"/>
      <c r="F113" s="197"/>
      <c r="G113" s="197"/>
      <c r="H113" s="197"/>
      <c r="I113" s="197"/>
      <c r="J113" s="197"/>
      <c r="K113" s="197"/>
      <c r="L113" s="197"/>
      <c r="M113" s="197"/>
      <c r="N113" s="197"/>
      <c r="O113" s="197"/>
    </row>
    <row r="114" spans="2:15" ht="40.5" customHeight="1" x14ac:dyDescent="0.2">
      <c r="B114" s="173" t="s">
        <v>24</v>
      </c>
      <c r="C114" s="173"/>
      <c r="D114" s="173"/>
      <c r="E114" s="173"/>
      <c r="F114" s="173"/>
      <c r="G114" s="173"/>
      <c r="H114" s="173"/>
      <c r="I114" s="173"/>
      <c r="J114" s="173"/>
      <c r="K114" s="173"/>
      <c r="L114" s="173"/>
      <c r="M114" s="173"/>
      <c r="N114" s="173"/>
      <c r="O114" s="173"/>
    </row>
    <row r="115" spans="2:15" ht="16.5" x14ac:dyDescent="0.3">
      <c r="B115" s="162" t="s">
        <v>211</v>
      </c>
      <c r="C115" s="162"/>
      <c r="D115" s="162"/>
      <c r="E115" s="162"/>
      <c r="F115" s="162"/>
      <c r="G115" s="162"/>
      <c r="H115" s="162"/>
      <c r="I115" s="34"/>
      <c r="J115" s="34"/>
      <c r="K115" s="34"/>
      <c r="L115" s="34"/>
      <c r="M115" s="61"/>
      <c r="N115" s="61"/>
      <c r="O115" s="35"/>
    </row>
    <row r="116" spans="2:15" ht="16.5" x14ac:dyDescent="0.3">
      <c r="B116" s="159" t="s">
        <v>210</v>
      </c>
      <c r="C116" s="159"/>
      <c r="D116" s="36"/>
      <c r="E116" s="36"/>
      <c r="F116" s="36"/>
      <c r="G116" s="36"/>
      <c r="H116" s="36"/>
      <c r="I116" s="34"/>
      <c r="J116" s="34"/>
      <c r="K116" s="34"/>
      <c r="L116" s="34"/>
      <c r="M116" s="61"/>
      <c r="N116" s="61"/>
      <c r="O116" s="35"/>
    </row>
    <row r="117" spans="2:15" ht="16.5" x14ac:dyDescent="0.3">
      <c r="B117" s="37"/>
      <c r="C117" s="37"/>
      <c r="D117" s="37"/>
      <c r="E117" s="37"/>
      <c r="F117" s="37"/>
      <c r="G117" s="37"/>
      <c r="H117" s="37"/>
      <c r="I117" s="38"/>
      <c r="J117" s="38"/>
      <c r="K117" s="38"/>
      <c r="L117" s="38"/>
      <c r="M117" s="61"/>
      <c r="N117" s="61"/>
      <c r="O117" s="35"/>
    </row>
    <row r="118" spans="2:15" ht="16.5" x14ac:dyDescent="0.3">
      <c r="B118" s="37"/>
      <c r="C118" s="37"/>
      <c r="D118" s="37"/>
      <c r="E118" s="37"/>
      <c r="F118" s="37"/>
      <c r="G118" s="37"/>
      <c r="H118" s="37"/>
      <c r="I118" s="38"/>
      <c r="J118" s="38"/>
      <c r="K118" s="38"/>
      <c r="L118" s="38"/>
      <c r="M118" s="61"/>
      <c r="N118" s="61"/>
      <c r="O118" s="35"/>
    </row>
    <row r="119" spans="2:15" ht="16.5" x14ac:dyDescent="0.3">
      <c r="B119" s="37"/>
      <c r="C119" s="37"/>
      <c r="D119" s="37"/>
      <c r="E119" s="37"/>
      <c r="F119" s="37"/>
      <c r="G119" s="37"/>
      <c r="H119" s="37"/>
      <c r="I119" s="38"/>
      <c r="J119" s="38"/>
      <c r="K119" s="38"/>
      <c r="L119" s="38"/>
      <c r="M119" s="61"/>
      <c r="N119" s="61"/>
      <c r="O119" s="35"/>
    </row>
    <row r="120" spans="2:15" ht="16.5" x14ac:dyDescent="0.3">
      <c r="B120" s="37"/>
      <c r="C120" s="37"/>
      <c r="D120" s="37"/>
      <c r="E120" s="37"/>
      <c r="F120" s="37"/>
      <c r="G120" s="37"/>
      <c r="H120" s="37"/>
      <c r="I120" s="38"/>
      <c r="J120" s="38"/>
      <c r="K120" s="38"/>
      <c r="L120" s="38"/>
      <c r="M120" s="61"/>
      <c r="N120" s="61"/>
      <c r="O120" s="35"/>
    </row>
    <row r="121" spans="2:15" ht="16.5" x14ac:dyDescent="0.3">
      <c r="B121" s="37"/>
      <c r="C121" s="37"/>
      <c r="D121" s="37"/>
      <c r="E121" s="37"/>
      <c r="F121" s="37"/>
      <c r="G121" s="37"/>
      <c r="H121" s="37"/>
      <c r="I121" s="38"/>
      <c r="J121" s="38"/>
      <c r="K121" s="38"/>
      <c r="L121" s="38"/>
      <c r="M121" s="61"/>
      <c r="N121" s="61"/>
      <c r="O121" s="35"/>
    </row>
    <row r="122" spans="2:15" ht="16.5" x14ac:dyDescent="0.3">
      <c r="B122" s="39"/>
      <c r="C122" s="39"/>
      <c r="D122" s="37"/>
      <c r="E122" s="37"/>
      <c r="F122" s="37"/>
      <c r="G122" s="37"/>
      <c r="H122" s="37"/>
      <c r="I122" s="38"/>
      <c r="J122" s="38"/>
      <c r="K122" s="38"/>
      <c r="L122" s="38"/>
      <c r="M122" s="61"/>
      <c r="N122" s="61"/>
      <c r="O122" s="35"/>
    </row>
    <row r="123" spans="2:15" ht="16.5" x14ac:dyDescent="0.3">
      <c r="B123" s="39"/>
      <c r="C123" s="39"/>
      <c r="D123" s="37"/>
      <c r="E123" s="37"/>
      <c r="F123" s="37"/>
      <c r="G123" s="37"/>
      <c r="H123" s="37"/>
      <c r="I123" s="38"/>
      <c r="J123" s="38"/>
      <c r="K123" s="38"/>
      <c r="L123" s="38"/>
      <c r="M123" s="61"/>
      <c r="N123" s="61"/>
      <c r="O123" s="35"/>
    </row>
  </sheetData>
  <mergeCells count="158">
    <mergeCell ref="B115:C115"/>
    <mergeCell ref="D115:H115"/>
    <mergeCell ref="B116:C116"/>
    <mergeCell ref="B111:O111"/>
    <mergeCell ref="B112:O112"/>
    <mergeCell ref="B114:O114"/>
    <mergeCell ref="A106:H106"/>
    <mergeCell ref="B113:O113"/>
    <mergeCell ref="A107:H107"/>
    <mergeCell ref="A61:H61"/>
    <mergeCell ref="A62:H62"/>
    <mergeCell ref="B63:F63"/>
    <mergeCell ref="B105:F105"/>
    <mergeCell ref="L91:M91"/>
    <mergeCell ref="L95:M95"/>
    <mergeCell ref="L105:M105"/>
    <mergeCell ref="L75:M75"/>
    <mergeCell ref="L80:M80"/>
    <mergeCell ref="L81:M81"/>
    <mergeCell ref="L77:M77"/>
    <mergeCell ref="L78:M78"/>
    <mergeCell ref="L79:M79"/>
    <mergeCell ref="B96:F96"/>
    <mergeCell ref="B87:F87"/>
    <mergeCell ref="B88:F88"/>
    <mergeCell ref="B89:F89"/>
    <mergeCell ref="L102:M102"/>
    <mergeCell ref="B103:F103"/>
    <mergeCell ref="B104:F104"/>
    <mergeCell ref="B102:F102"/>
    <mergeCell ref="L103:M103"/>
    <mergeCell ref="L104:M104"/>
    <mergeCell ref="B75:F75"/>
    <mergeCell ref="B72:F72"/>
    <mergeCell ref="B73:F73"/>
    <mergeCell ref="B74:F74"/>
    <mergeCell ref="L68:M68"/>
    <mergeCell ref="L69:M69"/>
    <mergeCell ref="L70:M70"/>
    <mergeCell ref="L72:M72"/>
    <mergeCell ref="B64:F64"/>
    <mergeCell ref="B65:F65"/>
    <mergeCell ref="B66:F66"/>
    <mergeCell ref="B67:F67"/>
    <mergeCell ref="B68:F68"/>
    <mergeCell ref="B69:F69"/>
    <mergeCell ref="B70:F70"/>
    <mergeCell ref="B71:F71"/>
    <mergeCell ref="L43:M43"/>
    <mergeCell ref="L71:M71"/>
    <mergeCell ref="L82:M82"/>
    <mergeCell ref="L76:M76"/>
    <mergeCell ref="L67:M67"/>
    <mergeCell ref="L73:M73"/>
    <mergeCell ref="L74:M74"/>
    <mergeCell ref="L51:M51"/>
    <mergeCell ref="L52:M52"/>
    <mergeCell ref="L53:M53"/>
    <mergeCell ref="L44:M44"/>
    <mergeCell ref="L45:M45"/>
    <mergeCell ref="L46:M46"/>
    <mergeCell ref="L47:M47"/>
    <mergeCell ref="L64:M64"/>
    <mergeCell ref="L65:M65"/>
    <mergeCell ref="L66:M66"/>
    <mergeCell ref="L48:M48"/>
    <mergeCell ref="L57:M57"/>
    <mergeCell ref="L58:M58"/>
    <mergeCell ref="L49:M49"/>
    <mergeCell ref="L50:M50"/>
    <mergeCell ref="L20:M20"/>
    <mergeCell ref="L21:M21"/>
    <mergeCell ref="L12:M12"/>
    <mergeCell ref="L14:M14"/>
    <mergeCell ref="A4:H4"/>
    <mergeCell ref="L39:M39"/>
    <mergeCell ref="L40:M40"/>
    <mergeCell ref="L41:M41"/>
    <mergeCell ref="L42:M42"/>
    <mergeCell ref="L22:M22"/>
    <mergeCell ref="L23:M23"/>
    <mergeCell ref="L24:M24"/>
    <mergeCell ref="L25:M25"/>
    <mergeCell ref="L26:M26"/>
    <mergeCell ref="L27:M27"/>
    <mergeCell ref="L33:M33"/>
    <mergeCell ref="L34:M34"/>
    <mergeCell ref="L35:M35"/>
    <mergeCell ref="L36:M36"/>
    <mergeCell ref="L37:M37"/>
    <mergeCell ref="L38:M38"/>
    <mergeCell ref="L28:M28"/>
    <mergeCell ref="L29:M29"/>
    <mergeCell ref="L30:M30"/>
    <mergeCell ref="A1:R1"/>
    <mergeCell ref="A2:B2"/>
    <mergeCell ref="C2:R2"/>
    <mergeCell ref="L6:M6"/>
    <mergeCell ref="O4:R5"/>
    <mergeCell ref="L9:M9"/>
    <mergeCell ref="A5:H5"/>
    <mergeCell ref="J4:J5"/>
    <mergeCell ref="L15:M15"/>
    <mergeCell ref="L10:M10"/>
    <mergeCell ref="L13:M13"/>
    <mergeCell ref="L11:M11"/>
    <mergeCell ref="L7:M7"/>
    <mergeCell ref="L8:M8"/>
    <mergeCell ref="B86:F86"/>
    <mergeCell ref="B83:F83"/>
    <mergeCell ref="B84:F84"/>
    <mergeCell ref="B85:F85"/>
    <mergeCell ref="L83:M83"/>
    <mergeCell ref="L84:M84"/>
    <mergeCell ref="L85:M85"/>
    <mergeCell ref="B76:F76"/>
    <mergeCell ref="B77:F77"/>
    <mergeCell ref="B78:F78"/>
    <mergeCell ref="B79:F79"/>
    <mergeCell ref="B80:F80"/>
    <mergeCell ref="B81:F81"/>
    <mergeCell ref="B82:F82"/>
    <mergeCell ref="L86:M86"/>
    <mergeCell ref="L31:M31"/>
    <mergeCell ref="L32:M32"/>
    <mergeCell ref="L16:M16"/>
    <mergeCell ref="L17:M17"/>
    <mergeCell ref="L18:M18"/>
    <mergeCell ref="L19:M19"/>
    <mergeCell ref="B101:F101"/>
    <mergeCell ref="L96:M96"/>
    <mergeCell ref="L97:M97"/>
    <mergeCell ref="L98:M98"/>
    <mergeCell ref="L99:M99"/>
    <mergeCell ref="L100:M100"/>
    <mergeCell ref="L101:M101"/>
    <mergeCell ref="L92:M92"/>
    <mergeCell ref="L93:M93"/>
    <mergeCell ref="L94:M94"/>
    <mergeCell ref="L59:M59"/>
    <mergeCell ref="L60:M60"/>
    <mergeCell ref="B92:F92"/>
    <mergeCell ref="B93:F93"/>
    <mergeCell ref="B94:F94"/>
    <mergeCell ref="L54:M54"/>
    <mergeCell ref="L55:M55"/>
    <mergeCell ref="L56:M56"/>
    <mergeCell ref="L87:M87"/>
    <mergeCell ref="L88:M88"/>
    <mergeCell ref="L89:M89"/>
    <mergeCell ref="L90:M90"/>
    <mergeCell ref="B90:F90"/>
    <mergeCell ref="B97:F97"/>
    <mergeCell ref="B98:F98"/>
    <mergeCell ref="B99:F99"/>
    <mergeCell ref="B100:F100"/>
    <mergeCell ref="B91:F91"/>
    <mergeCell ref="B95:F9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23"/>
  <sheetViews>
    <sheetView zoomScale="62" zoomScaleNormal="62" workbookViewId="0">
      <selection sqref="A1:AC1"/>
    </sheetView>
  </sheetViews>
  <sheetFormatPr baseColWidth="10" defaultColWidth="9.140625" defaultRowHeight="12.75" x14ac:dyDescent="0.2"/>
  <cols>
    <col min="1" max="1" width="10.7109375" style="16" customWidth="1"/>
    <col min="2" max="2" width="52" style="16" customWidth="1"/>
    <col min="3" max="3" width="18.5703125" style="16" customWidth="1"/>
    <col min="4" max="4" width="15" style="17" customWidth="1"/>
    <col min="5" max="7" width="16.140625" style="17" customWidth="1"/>
    <col min="8" max="8" width="19.140625" style="18" customWidth="1"/>
    <col min="9" max="9" width="3.42578125" style="18" customWidth="1"/>
    <col min="10" max="10" width="18.5703125" style="18" customWidth="1"/>
    <col min="11" max="11" width="3.42578125" style="18" customWidth="1"/>
    <col min="12" max="12" width="18.5703125" style="18" customWidth="1"/>
    <col min="13" max="13" width="3.42578125" style="18" customWidth="1"/>
    <col min="14" max="14" width="19" style="19" customWidth="1"/>
    <col min="15" max="15" width="14.42578125" style="19" customWidth="1"/>
    <col min="16" max="16" width="20.42578125" style="19" customWidth="1"/>
    <col min="17" max="17" width="22.85546875" style="31" customWidth="1"/>
    <col min="18" max="18" width="4.5703125" style="16" customWidth="1"/>
    <col min="19" max="19" width="18.7109375" style="16" customWidth="1"/>
    <col min="20" max="20" width="14.42578125" style="16" customWidth="1"/>
    <col min="21" max="21" width="19" style="16" customWidth="1"/>
    <col min="22" max="22" width="25.42578125" style="16" customWidth="1"/>
    <col min="23" max="23" width="4.28515625" style="16" customWidth="1"/>
    <col min="24" max="24" width="16.85546875" style="16" customWidth="1"/>
    <col min="25" max="25" width="14.42578125" style="16" customWidth="1"/>
    <col min="26" max="26" width="18" style="16" customWidth="1"/>
    <col min="27" max="27" width="24.85546875" style="16" customWidth="1"/>
    <col min="28" max="28" width="4.42578125" style="16" customWidth="1"/>
    <col min="29" max="29" width="26.28515625" style="16" customWidth="1"/>
    <col min="30" max="248" width="9.140625" style="16"/>
    <col min="249" max="249" width="10.7109375" style="16" customWidth="1"/>
    <col min="250" max="250" width="60.140625" style="16" customWidth="1"/>
    <col min="251" max="251" width="27.5703125" style="16" customWidth="1"/>
    <col min="252" max="252" width="16.140625" style="16" customWidth="1"/>
    <col min="253" max="253" width="22.85546875" style="16" customWidth="1"/>
    <col min="254" max="254" width="3.7109375" style="16" customWidth="1"/>
    <col min="255" max="261" width="0" style="16" hidden="1" customWidth="1"/>
    <col min="262" max="262" width="3.140625" style="16" customWidth="1"/>
    <col min="263" max="264" width="19.42578125" style="16" customWidth="1"/>
    <col min="265" max="265" width="23.28515625" style="16" customWidth="1"/>
    <col min="266" max="266" width="19.5703125" style="16" customWidth="1"/>
    <col min="267" max="267" width="9.140625" style="16"/>
    <col min="268" max="268" width="18.7109375" style="16" customWidth="1"/>
    <col min="269" max="504" width="9.140625" style="16"/>
    <col min="505" max="505" width="10.7109375" style="16" customWidth="1"/>
    <col min="506" max="506" width="60.140625" style="16" customWidth="1"/>
    <col min="507" max="507" width="27.5703125" style="16" customWidth="1"/>
    <col min="508" max="508" width="16.140625" style="16" customWidth="1"/>
    <col min="509" max="509" width="22.85546875" style="16" customWidth="1"/>
    <col min="510" max="510" width="3.7109375" style="16" customWidth="1"/>
    <col min="511" max="517" width="0" style="16" hidden="1" customWidth="1"/>
    <col min="518" max="518" width="3.140625" style="16" customWidth="1"/>
    <col min="519" max="520" width="19.42578125" style="16" customWidth="1"/>
    <col min="521" max="521" width="23.28515625" style="16" customWidth="1"/>
    <col min="522" max="522" width="19.5703125" style="16" customWidth="1"/>
    <col min="523" max="523" width="9.140625" style="16"/>
    <col min="524" max="524" width="18.7109375" style="16" customWidth="1"/>
    <col min="525" max="760" width="9.140625" style="16"/>
    <col min="761" max="761" width="10.7109375" style="16" customWidth="1"/>
    <col min="762" max="762" width="60.140625" style="16" customWidth="1"/>
    <col min="763" max="763" width="27.5703125" style="16" customWidth="1"/>
    <col min="764" max="764" width="16.140625" style="16" customWidth="1"/>
    <col min="765" max="765" width="22.85546875" style="16" customWidth="1"/>
    <col min="766" max="766" width="3.7109375" style="16" customWidth="1"/>
    <col min="767" max="773" width="0" style="16" hidden="1" customWidth="1"/>
    <col min="774" max="774" width="3.140625" style="16" customWidth="1"/>
    <col min="775" max="776" width="19.42578125" style="16" customWidth="1"/>
    <col min="777" max="777" width="23.28515625" style="16" customWidth="1"/>
    <col min="778" max="778" width="19.5703125" style="16" customWidth="1"/>
    <col min="779" max="779" width="9.140625" style="16"/>
    <col min="780" max="780" width="18.7109375" style="16" customWidth="1"/>
    <col min="781" max="1016" width="9.140625" style="16"/>
    <col min="1017" max="1017" width="10.7109375" style="16" customWidth="1"/>
    <col min="1018" max="1018" width="60.140625" style="16" customWidth="1"/>
    <col min="1019" max="1019" width="27.5703125" style="16" customWidth="1"/>
    <col min="1020" max="1020" width="16.140625" style="16" customWidth="1"/>
    <col min="1021" max="1021" width="22.85546875" style="16" customWidth="1"/>
    <col min="1022" max="1022" width="3.7109375" style="16" customWidth="1"/>
    <col min="1023" max="1029" width="0" style="16" hidden="1" customWidth="1"/>
    <col min="1030" max="1030" width="3.140625" style="16" customWidth="1"/>
    <col min="1031" max="1032" width="19.42578125" style="16" customWidth="1"/>
    <col min="1033" max="1033" width="23.28515625" style="16" customWidth="1"/>
    <col min="1034" max="1034" width="19.5703125" style="16" customWidth="1"/>
    <col min="1035" max="1035" width="9.140625" style="16"/>
    <col min="1036" max="1036" width="18.7109375" style="16" customWidth="1"/>
    <col min="1037" max="1272" width="9.140625" style="16"/>
    <col min="1273" max="1273" width="10.7109375" style="16" customWidth="1"/>
    <col min="1274" max="1274" width="60.140625" style="16" customWidth="1"/>
    <col min="1275" max="1275" width="27.5703125" style="16" customWidth="1"/>
    <col min="1276" max="1276" width="16.140625" style="16" customWidth="1"/>
    <col min="1277" max="1277" width="22.85546875" style="16" customWidth="1"/>
    <col min="1278" max="1278" width="3.7109375" style="16" customWidth="1"/>
    <col min="1279" max="1285" width="0" style="16" hidden="1" customWidth="1"/>
    <col min="1286" max="1286" width="3.140625" style="16" customWidth="1"/>
    <col min="1287" max="1288" width="19.42578125" style="16" customWidth="1"/>
    <col min="1289" max="1289" width="23.28515625" style="16" customWidth="1"/>
    <col min="1290" max="1290" width="19.5703125" style="16" customWidth="1"/>
    <col min="1291" max="1291" width="9.140625" style="16"/>
    <col min="1292" max="1292" width="18.7109375" style="16" customWidth="1"/>
    <col min="1293" max="1528" width="9.140625" style="16"/>
    <col min="1529" max="1529" width="10.7109375" style="16" customWidth="1"/>
    <col min="1530" max="1530" width="60.140625" style="16" customWidth="1"/>
    <col min="1531" max="1531" width="27.5703125" style="16" customWidth="1"/>
    <col min="1532" max="1532" width="16.140625" style="16" customWidth="1"/>
    <col min="1533" max="1533" width="22.85546875" style="16" customWidth="1"/>
    <col min="1534" max="1534" width="3.7109375" style="16" customWidth="1"/>
    <col min="1535" max="1541" width="0" style="16" hidden="1" customWidth="1"/>
    <col min="1542" max="1542" width="3.140625" style="16" customWidth="1"/>
    <col min="1543" max="1544" width="19.42578125" style="16" customWidth="1"/>
    <col min="1545" max="1545" width="23.28515625" style="16" customWidth="1"/>
    <col min="1546" max="1546" width="19.5703125" style="16" customWidth="1"/>
    <col min="1547" max="1547" width="9.140625" style="16"/>
    <col min="1548" max="1548" width="18.7109375" style="16" customWidth="1"/>
    <col min="1549" max="1784" width="9.140625" style="16"/>
    <col min="1785" max="1785" width="10.7109375" style="16" customWidth="1"/>
    <col min="1786" max="1786" width="60.140625" style="16" customWidth="1"/>
    <col min="1787" max="1787" width="27.5703125" style="16" customWidth="1"/>
    <col min="1788" max="1788" width="16.140625" style="16" customWidth="1"/>
    <col min="1789" max="1789" width="22.85546875" style="16" customWidth="1"/>
    <col min="1790" max="1790" width="3.7109375" style="16" customWidth="1"/>
    <col min="1791" max="1797" width="0" style="16" hidden="1" customWidth="1"/>
    <col min="1798" max="1798" width="3.140625" style="16" customWidth="1"/>
    <col min="1799" max="1800" width="19.42578125" style="16" customWidth="1"/>
    <col min="1801" max="1801" width="23.28515625" style="16" customWidth="1"/>
    <col min="1802" max="1802" width="19.5703125" style="16" customWidth="1"/>
    <col min="1803" max="1803" width="9.140625" style="16"/>
    <col min="1804" max="1804" width="18.7109375" style="16" customWidth="1"/>
    <col min="1805" max="2040" width="9.140625" style="16"/>
    <col min="2041" max="2041" width="10.7109375" style="16" customWidth="1"/>
    <col min="2042" max="2042" width="60.140625" style="16" customWidth="1"/>
    <col min="2043" max="2043" width="27.5703125" style="16" customWidth="1"/>
    <col min="2044" max="2044" width="16.140625" style="16" customWidth="1"/>
    <col min="2045" max="2045" width="22.85546875" style="16" customWidth="1"/>
    <col min="2046" max="2046" width="3.7109375" style="16" customWidth="1"/>
    <col min="2047" max="2053" width="0" style="16" hidden="1" customWidth="1"/>
    <col min="2054" max="2054" width="3.140625" style="16" customWidth="1"/>
    <col min="2055" max="2056" width="19.42578125" style="16" customWidth="1"/>
    <col min="2057" max="2057" width="23.28515625" style="16" customWidth="1"/>
    <col min="2058" max="2058" width="19.5703125" style="16" customWidth="1"/>
    <col min="2059" max="2059" width="9.140625" style="16"/>
    <col min="2060" max="2060" width="18.7109375" style="16" customWidth="1"/>
    <col min="2061" max="2296" width="9.140625" style="16"/>
    <col min="2297" max="2297" width="10.7109375" style="16" customWidth="1"/>
    <col min="2298" max="2298" width="60.140625" style="16" customWidth="1"/>
    <col min="2299" max="2299" width="27.5703125" style="16" customWidth="1"/>
    <col min="2300" max="2300" width="16.140625" style="16" customWidth="1"/>
    <col min="2301" max="2301" width="22.85546875" style="16" customWidth="1"/>
    <col min="2302" max="2302" width="3.7109375" style="16" customWidth="1"/>
    <col min="2303" max="2309" width="0" style="16" hidden="1" customWidth="1"/>
    <col min="2310" max="2310" width="3.140625" style="16" customWidth="1"/>
    <col min="2311" max="2312" width="19.42578125" style="16" customWidth="1"/>
    <col min="2313" max="2313" width="23.28515625" style="16" customWidth="1"/>
    <col min="2314" max="2314" width="19.5703125" style="16" customWidth="1"/>
    <col min="2315" max="2315" width="9.140625" style="16"/>
    <col min="2316" max="2316" width="18.7109375" style="16" customWidth="1"/>
    <col min="2317" max="2552" width="9.140625" style="16"/>
    <col min="2553" max="2553" width="10.7109375" style="16" customWidth="1"/>
    <col min="2554" max="2554" width="60.140625" style="16" customWidth="1"/>
    <col min="2555" max="2555" width="27.5703125" style="16" customWidth="1"/>
    <col min="2556" max="2556" width="16.140625" style="16" customWidth="1"/>
    <col min="2557" max="2557" width="22.85546875" style="16" customWidth="1"/>
    <col min="2558" max="2558" width="3.7109375" style="16" customWidth="1"/>
    <col min="2559" max="2565" width="0" style="16" hidden="1" customWidth="1"/>
    <col min="2566" max="2566" width="3.140625" style="16" customWidth="1"/>
    <col min="2567" max="2568" width="19.42578125" style="16" customWidth="1"/>
    <col min="2569" max="2569" width="23.28515625" style="16" customWidth="1"/>
    <col min="2570" max="2570" width="19.5703125" style="16" customWidth="1"/>
    <col min="2571" max="2571" width="9.140625" style="16"/>
    <col min="2572" max="2572" width="18.7109375" style="16" customWidth="1"/>
    <col min="2573" max="2808" width="9.140625" style="16"/>
    <col min="2809" max="2809" width="10.7109375" style="16" customWidth="1"/>
    <col min="2810" max="2810" width="60.140625" style="16" customWidth="1"/>
    <col min="2811" max="2811" width="27.5703125" style="16" customWidth="1"/>
    <col min="2812" max="2812" width="16.140625" style="16" customWidth="1"/>
    <col min="2813" max="2813" width="22.85546875" style="16" customWidth="1"/>
    <col min="2814" max="2814" width="3.7109375" style="16" customWidth="1"/>
    <col min="2815" max="2821" width="0" style="16" hidden="1" customWidth="1"/>
    <col min="2822" max="2822" width="3.140625" style="16" customWidth="1"/>
    <col min="2823" max="2824" width="19.42578125" style="16" customWidth="1"/>
    <col min="2825" max="2825" width="23.28515625" style="16" customWidth="1"/>
    <col min="2826" max="2826" width="19.5703125" style="16" customWidth="1"/>
    <col min="2827" max="2827" width="9.140625" style="16"/>
    <col min="2828" max="2828" width="18.7109375" style="16" customWidth="1"/>
    <col min="2829" max="3064" width="9.140625" style="16"/>
    <col min="3065" max="3065" width="10.7109375" style="16" customWidth="1"/>
    <col min="3066" max="3066" width="60.140625" style="16" customWidth="1"/>
    <col min="3067" max="3067" width="27.5703125" style="16" customWidth="1"/>
    <col min="3068" max="3068" width="16.140625" style="16" customWidth="1"/>
    <col min="3069" max="3069" width="22.85546875" style="16" customWidth="1"/>
    <col min="3070" max="3070" width="3.7109375" style="16" customWidth="1"/>
    <col min="3071" max="3077" width="0" style="16" hidden="1" customWidth="1"/>
    <col min="3078" max="3078" width="3.140625" style="16" customWidth="1"/>
    <col min="3079" max="3080" width="19.42578125" style="16" customWidth="1"/>
    <col min="3081" max="3081" width="23.28515625" style="16" customWidth="1"/>
    <col min="3082" max="3082" width="19.5703125" style="16" customWidth="1"/>
    <col min="3083" max="3083" width="9.140625" style="16"/>
    <col min="3084" max="3084" width="18.7109375" style="16" customWidth="1"/>
    <col min="3085" max="3320" width="9.140625" style="16"/>
    <col min="3321" max="3321" width="10.7109375" style="16" customWidth="1"/>
    <col min="3322" max="3322" width="60.140625" style="16" customWidth="1"/>
    <col min="3323" max="3323" width="27.5703125" style="16" customWidth="1"/>
    <col min="3324" max="3324" width="16.140625" style="16" customWidth="1"/>
    <col min="3325" max="3325" width="22.85546875" style="16" customWidth="1"/>
    <col min="3326" max="3326" width="3.7109375" style="16" customWidth="1"/>
    <col min="3327" max="3333" width="0" style="16" hidden="1" customWidth="1"/>
    <col min="3334" max="3334" width="3.140625" style="16" customWidth="1"/>
    <col min="3335" max="3336" width="19.42578125" style="16" customWidth="1"/>
    <col min="3337" max="3337" width="23.28515625" style="16" customWidth="1"/>
    <col min="3338" max="3338" width="19.5703125" style="16" customWidth="1"/>
    <col min="3339" max="3339" width="9.140625" style="16"/>
    <col min="3340" max="3340" width="18.7109375" style="16" customWidth="1"/>
    <col min="3341" max="3576" width="9.140625" style="16"/>
    <col min="3577" max="3577" width="10.7109375" style="16" customWidth="1"/>
    <col min="3578" max="3578" width="60.140625" style="16" customWidth="1"/>
    <col min="3579" max="3579" width="27.5703125" style="16" customWidth="1"/>
    <col min="3580" max="3580" width="16.140625" style="16" customWidth="1"/>
    <col min="3581" max="3581" width="22.85546875" style="16" customWidth="1"/>
    <col min="3582" max="3582" width="3.7109375" style="16" customWidth="1"/>
    <col min="3583" max="3589" width="0" style="16" hidden="1" customWidth="1"/>
    <col min="3590" max="3590" width="3.140625" style="16" customWidth="1"/>
    <col min="3591" max="3592" width="19.42578125" style="16" customWidth="1"/>
    <col min="3593" max="3593" width="23.28515625" style="16" customWidth="1"/>
    <col min="3594" max="3594" width="19.5703125" style="16" customWidth="1"/>
    <col min="3595" max="3595" width="9.140625" style="16"/>
    <col min="3596" max="3596" width="18.7109375" style="16" customWidth="1"/>
    <col min="3597" max="3832" width="9.140625" style="16"/>
    <col min="3833" max="3833" width="10.7109375" style="16" customWidth="1"/>
    <col min="3834" max="3834" width="60.140625" style="16" customWidth="1"/>
    <col min="3835" max="3835" width="27.5703125" style="16" customWidth="1"/>
    <col min="3836" max="3836" width="16.140625" style="16" customWidth="1"/>
    <col min="3837" max="3837" width="22.85546875" style="16" customWidth="1"/>
    <col min="3838" max="3838" width="3.7109375" style="16" customWidth="1"/>
    <col min="3839" max="3845" width="0" style="16" hidden="1" customWidth="1"/>
    <col min="3846" max="3846" width="3.140625" style="16" customWidth="1"/>
    <col min="3847" max="3848" width="19.42578125" style="16" customWidth="1"/>
    <col min="3849" max="3849" width="23.28515625" style="16" customWidth="1"/>
    <col min="3850" max="3850" width="19.5703125" style="16" customWidth="1"/>
    <col min="3851" max="3851" width="9.140625" style="16"/>
    <col min="3852" max="3852" width="18.7109375" style="16" customWidth="1"/>
    <col min="3853" max="4088" width="9.140625" style="16"/>
    <col min="4089" max="4089" width="10.7109375" style="16" customWidth="1"/>
    <col min="4090" max="4090" width="60.140625" style="16" customWidth="1"/>
    <col min="4091" max="4091" width="27.5703125" style="16" customWidth="1"/>
    <col min="4092" max="4092" width="16.140625" style="16" customWidth="1"/>
    <col min="4093" max="4093" width="22.85546875" style="16" customWidth="1"/>
    <col min="4094" max="4094" width="3.7109375" style="16" customWidth="1"/>
    <col min="4095" max="4101" width="0" style="16" hidden="1" customWidth="1"/>
    <col min="4102" max="4102" width="3.140625" style="16" customWidth="1"/>
    <col min="4103" max="4104" width="19.42578125" style="16" customWidth="1"/>
    <col min="4105" max="4105" width="23.28515625" style="16" customWidth="1"/>
    <col min="4106" max="4106" width="19.5703125" style="16" customWidth="1"/>
    <col min="4107" max="4107" width="9.140625" style="16"/>
    <col min="4108" max="4108" width="18.7109375" style="16" customWidth="1"/>
    <col min="4109" max="4344" width="9.140625" style="16"/>
    <col min="4345" max="4345" width="10.7109375" style="16" customWidth="1"/>
    <col min="4346" max="4346" width="60.140625" style="16" customWidth="1"/>
    <col min="4347" max="4347" width="27.5703125" style="16" customWidth="1"/>
    <col min="4348" max="4348" width="16.140625" style="16" customWidth="1"/>
    <col min="4349" max="4349" width="22.85546875" style="16" customWidth="1"/>
    <col min="4350" max="4350" width="3.7109375" style="16" customWidth="1"/>
    <col min="4351" max="4357" width="0" style="16" hidden="1" customWidth="1"/>
    <col min="4358" max="4358" width="3.140625" style="16" customWidth="1"/>
    <col min="4359" max="4360" width="19.42578125" style="16" customWidth="1"/>
    <col min="4361" max="4361" width="23.28515625" style="16" customWidth="1"/>
    <col min="4362" max="4362" width="19.5703125" style="16" customWidth="1"/>
    <col min="4363" max="4363" width="9.140625" style="16"/>
    <col min="4364" max="4364" width="18.7109375" style="16" customWidth="1"/>
    <col min="4365" max="4600" width="9.140625" style="16"/>
    <col min="4601" max="4601" width="10.7109375" style="16" customWidth="1"/>
    <col min="4602" max="4602" width="60.140625" style="16" customWidth="1"/>
    <col min="4603" max="4603" width="27.5703125" style="16" customWidth="1"/>
    <col min="4604" max="4604" width="16.140625" style="16" customWidth="1"/>
    <col min="4605" max="4605" width="22.85546875" style="16" customWidth="1"/>
    <col min="4606" max="4606" width="3.7109375" style="16" customWidth="1"/>
    <col min="4607" max="4613" width="0" style="16" hidden="1" customWidth="1"/>
    <col min="4614" max="4614" width="3.140625" style="16" customWidth="1"/>
    <col min="4615" max="4616" width="19.42578125" style="16" customWidth="1"/>
    <col min="4617" max="4617" width="23.28515625" style="16" customWidth="1"/>
    <col min="4618" max="4618" width="19.5703125" style="16" customWidth="1"/>
    <col min="4619" max="4619" width="9.140625" style="16"/>
    <col min="4620" max="4620" width="18.7109375" style="16" customWidth="1"/>
    <col min="4621" max="4856" width="9.140625" style="16"/>
    <col min="4857" max="4857" width="10.7109375" style="16" customWidth="1"/>
    <col min="4858" max="4858" width="60.140625" style="16" customWidth="1"/>
    <col min="4859" max="4859" width="27.5703125" style="16" customWidth="1"/>
    <col min="4860" max="4860" width="16.140625" style="16" customWidth="1"/>
    <col min="4861" max="4861" width="22.85546875" style="16" customWidth="1"/>
    <col min="4862" max="4862" width="3.7109375" style="16" customWidth="1"/>
    <col min="4863" max="4869" width="0" style="16" hidden="1" customWidth="1"/>
    <col min="4870" max="4870" width="3.140625" style="16" customWidth="1"/>
    <col min="4871" max="4872" width="19.42578125" style="16" customWidth="1"/>
    <col min="4873" max="4873" width="23.28515625" style="16" customWidth="1"/>
    <col min="4874" max="4874" width="19.5703125" style="16" customWidth="1"/>
    <col min="4875" max="4875" width="9.140625" style="16"/>
    <col min="4876" max="4876" width="18.7109375" style="16" customWidth="1"/>
    <col min="4877" max="5112" width="9.140625" style="16"/>
    <col min="5113" max="5113" width="10.7109375" style="16" customWidth="1"/>
    <col min="5114" max="5114" width="60.140625" style="16" customWidth="1"/>
    <col min="5115" max="5115" width="27.5703125" style="16" customWidth="1"/>
    <col min="5116" max="5116" width="16.140625" style="16" customWidth="1"/>
    <col min="5117" max="5117" width="22.85546875" style="16" customWidth="1"/>
    <col min="5118" max="5118" width="3.7109375" style="16" customWidth="1"/>
    <col min="5119" max="5125" width="0" style="16" hidden="1" customWidth="1"/>
    <col min="5126" max="5126" width="3.140625" style="16" customWidth="1"/>
    <col min="5127" max="5128" width="19.42578125" style="16" customWidth="1"/>
    <col min="5129" max="5129" width="23.28515625" style="16" customWidth="1"/>
    <col min="5130" max="5130" width="19.5703125" style="16" customWidth="1"/>
    <col min="5131" max="5131" width="9.140625" style="16"/>
    <col min="5132" max="5132" width="18.7109375" style="16" customWidth="1"/>
    <col min="5133" max="5368" width="9.140625" style="16"/>
    <col min="5369" max="5369" width="10.7109375" style="16" customWidth="1"/>
    <col min="5370" max="5370" width="60.140625" style="16" customWidth="1"/>
    <col min="5371" max="5371" width="27.5703125" style="16" customWidth="1"/>
    <col min="5372" max="5372" width="16.140625" style="16" customWidth="1"/>
    <col min="5373" max="5373" width="22.85546875" style="16" customWidth="1"/>
    <col min="5374" max="5374" width="3.7109375" style="16" customWidth="1"/>
    <col min="5375" max="5381" width="0" style="16" hidden="1" customWidth="1"/>
    <col min="5382" max="5382" width="3.140625" style="16" customWidth="1"/>
    <col min="5383" max="5384" width="19.42578125" style="16" customWidth="1"/>
    <col min="5385" max="5385" width="23.28515625" style="16" customWidth="1"/>
    <col min="5386" max="5386" width="19.5703125" style="16" customWidth="1"/>
    <col min="5387" max="5387" width="9.140625" style="16"/>
    <col min="5388" max="5388" width="18.7109375" style="16" customWidth="1"/>
    <col min="5389" max="5624" width="9.140625" style="16"/>
    <col min="5625" max="5625" width="10.7109375" style="16" customWidth="1"/>
    <col min="5626" max="5626" width="60.140625" style="16" customWidth="1"/>
    <col min="5627" max="5627" width="27.5703125" style="16" customWidth="1"/>
    <col min="5628" max="5628" width="16.140625" style="16" customWidth="1"/>
    <col min="5629" max="5629" width="22.85546875" style="16" customWidth="1"/>
    <col min="5630" max="5630" width="3.7109375" style="16" customWidth="1"/>
    <col min="5631" max="5637" width="0" style="16" hidden="1" customWidth="1"/>
    <col min="5638" max="5638" width="3.140625" style="16" customWidth="1"/>
    <col min="5639" max="5640" width="19.42578125" style="16" customWidth="1"/>
    <col min="5641" max="5641" width="23.28515625" style="16" customWidth="1"/>
    <col min="5642" max="5642" width="19.5703125" style="16" customWidth="1"/>
    <col min="5643" max="5643" width="9.140625" style="16"/>
    <col min="5644" max="5644" width="18.7109375" style="16" customWidth="1"/>
    <col min="5645" max="5880" width="9.140625" style="16"/>
    <col min="5881" max="5881" width="10.7109375" style="16" customWidth="1"/>
    <col min="5882" max="5882" width="60.140625" style="16" customWidth="1"/>
    <col min="5883" max="5883" width="27.5703125" style="16" customWidth="1"/>
    <col min="5884" max="5884" width="16.140625" style="16" customWidth="1"/>
    <col min="5885" max="5885" width="22.85546875" style="16" customWidth="1"/>
    <col min="5886" max="5886" width="3.7109375" style="16" customWidth="1"/>
    <col min="5887" max="5893" width="0" style="16" hidden="1" customWidth="1"/>
    <col min="5894" max="5894" width="3.140625" style="16" customWidth="1"/>
    <col min="5895" max="5896" width="19.42578125" style="16" customWidth="1"/>
    <col min="5897" max="5897" width="23.28515625" style="16" customWidth="1"/>
    <col min="5898" max="5898" width="19.5703125" style="16" customWidth="1"/>
    <col min="5899" max="5899" width="9.140625" style="16"/>
    <col min="5900" max="5900" width="18.7109375" style="16" customWidth="1"/>
    <col min="5901" max="6136" width="9.140625" style="16"/>
    <col min="6137" max="6137" width="10.7109375" style="16" customWidth="1"/>
    <col min="6138" max="6138" width="60.140625" style="16" customWidth="1"/>
    <col min="6139" max="6139" width="27.5703125" style="16" customWidth="1"/>
    <col min="6140" max="6140" width="16.140625" style="16" customWidth="1"/>
    <col min="6141" max="6141" width="22.85546875" style="16" customWidth="1"/>
    <col min="6142" max="6142" width="3.7109375" style="16" customWidth="1"/>
    <col min="6143" max="6149" width="0" style="16" hidden="1" customWidth="1"/>
    <col min="6150" max="6150" width="3.140625" style="16" customWidth="1"/>
    <col min="6151" max="6152" width="19.42578125" style="16" customWidth="1"/>
    <col min="6153" max="6153" width="23.28515625" style="16" customWidth="1"/>
    <col min="6154" max="6154" width="19.5703125" style="16" customWidth="1"/>
    <col min="6155" max="6155" width="9.140625" style="16"/>
    <col min="6156" max="6156" width="18.7109375" style="16" customWidth="1"/>
    <col min="6157" max="6392" width="9.140625" style="16"/>
    <col min="6393" max="6393" width="10.7109375" style="16" customWidth="1"/>
    <col min="6394" max="6394" width="60.140625" style="16" customWidth="1"/>
    <col min="6395" max="6395" width="27.5703125" style="16" customWidth="1"/>
    <col min="6396" max="6396" width="16.140625" style="16" customWidth="1"/>
    <col min="6397" max="6397" width="22.85546875" style="16" customWidth="1"/>
    <col min="6398" max="6398" width="3.7109375" style="16" customWidth="1"/>
    <col min="6399" max="6405" width="0" style="16" hidden="1" customWidth="1"/>
    <col min="6406" max="6406" width="3.140625" style="16" customWidth="1"/>
    <col min="6407" max="6408" width="19.42578125" style="16" customWidth="1"/>
    <col min="6409" max="6409" width="23.28515625" style="16" customWidth="1"/>
    <col min="6410" max="6410" width="19.5703125" style="16" customWidth="1"/>
    <col min="6411" max="6411" width="9.140625" style="16"/>
    <col min="6412" max="6412" width="18.7109375" style="16" customWidth="1"/>
    <col min="6413" max="6648" width="9.140625" style="16"/>
    <col min="6649" max="6649" width="10.7109375" style="16" customWidth="1"/>
    <col min="6650" max="6650" width="60.140625" style="16" customWidth="1"/>
    <col min="6651" max="6651" width="27.5703125" style="16" customWidth="1"/>
    <col min="6652" max="6652" width="16.140625" style="16" customWidth="1"/>
    <col min="6653" max="6653" width="22.85546875" style="16" customWidth="1"/>
    <col min="6654" max="6654" width="3.7109375" style="16" customWidth="1"/>
    <col min="6655" max="6661" width="0" style="16" hidden="1" customWidth="1"/>
    <col min="6662" max="6662" width="3.140625" style="16" customWidth="1"/>
    <col min="6663" max="6664" width="19.42578125" style="16" customWidth="1"/>
    <col min="6665" max="6665" width="23.28515625" style="16" customWidth="1"/>
    <col min="6666" max="6666" width="19.5703125" style="16" customWidth="1"/>
    <col min="6667" max="6667" width="9.140625" style="16"/>
    <col min="6668" max="6668" width="18.7109375" style="16" customWidth="1"/>
    <col min="6669" max="6904" width="9.140625" style="16"/>
    <col min="6905" max="6905" width="10.7109375" style="16" customWidth="1"/>
    <col min="6906" max="6906" width="60.140625" style="16" customWidth="1"/>
    <col min="6907" max="6907" width="27.5703125" style="16" customWidth="1"/>
    <col min="6908" max="6908" width="16.140625" style="16" customWidth="1"/>
    <col min="6909" max="6909" width="22.85546875" style="16" customWidth="1"/>
    <col min="6910" max="6910" width="3.7109375" style="16" customWidth="1"/>
    <col min="6911" max="6917" width="0" style="16" hidden="1" customWidth="1"/>
    <col min="6918" max="6918" width="3.140625" style="16" customWidth="1"/>
    <col min="6919" max="6920" width="19.42578125" style="16" customWidth="1"/>
    <col min="6921" max="6921" width="23.28515625" style="16" customWidth="1"/>
    <col min="6922" max="6922" width="19.5703125" style="16" customWidth="1"/>
    <col min="6923" max="6923" width="9.140625" style="16"/>
    <col min="6924" max="6924" width="18.7109375" style="16" customWidth="1"/>
    <col min="6925" max="7160" width="9.140625" style="16"/>
    <col min="7161" max="7161" width="10.7109375" style="16" customWidth="1"/>
    <col min="7162" max="7162" width="60.140625" style="16" customWidth="1"/>
    <col min="7163" max="7163" width="27.5703125" style="16" customWidth="1"/>
    <col min="7164" max="7164" width="16.140625" style="16" customWidth="1"/>
    <col min="7165" max="7165" width="22.85546875" style="16" customWidth="1"/>
    <col min="7166" max="7166" width="3.7109375" style="16" customWidth="1"/>
    <col min="7167" max="7173" width="0" style="16" hidden="1" customWidth="1"/>
    <col min="7174" max="7174" width="3.140625" style="16" customWidth="1"/>
    <col min="7175" max="7176" width="19.42578125" style="16" customWidth="1"/>
    <col min="7177" max="7177" width="23.28515625" style="16" customWidth="1"/>
    <col min="7178" max="7178" width="19.5703125" style="16" customWidth="1"/>
    <col min="7179" max="7179" width="9.140625" style="16"/>
    <col min="7180" max="7180" width="18.7109375" style="16" customWidth="1"/>
    <col min="7181" max="7416" width="9.140625" style="16"/>
    <col min="7417" max="7417" width="10.7109375" style="16" customWidth="1"/>
    <col min="7418" max="7418" width="60.140625" style="16" customWidth="1"/>
    <col min="7419" max="7419" width="27.5703125" style="16" customWidth="1"/>
    <col min="7420" max="7420" width="16.140625" style="16" customWidth="1"/>
    <col min="7421" max="7421" width="22.85546875" style="16" customWidth="1"/>
    <col min="7422" max="7422" width="3.7109375" style="16" customWidth="1"/>
    <col min="7423" max="7429" width="0" style="16" hidden="1" customWidth="1"/>
    <col min="7430" max="7430" width="3.140625" style="16" customWidth="1"/>
    <col min="7431" max="7432" width="19.42578125" style="16" customWidth="1"/>
    <col min="7433" max="7433" width="23.28515625" style="16" customWidth="1"/>
    <col min="7434" max="7434" width="19.5703125" style="16" customWidth="1"/>
    <col min="7435" max="7435" width="9.140625" style="16"/>
    <col min="7436" max="7436" width="18.7109375" style="16" customWidth="1"/>
    <col min="7437" max="7672" width="9.140625" style="16"/>
    <col min="7673" max="7673" width="10.7109375" style="16" customWidth="1"/>
    <col min="7674" max="7674" width="60.140625" style="16" customWidth="1"/>
    <col min="7675" max="7675" width="27.5703125" style="16" customWidth="1"/>
    <col min="7676" max="7676" width="16.140625" style="16" customWidth="1"/>
    <col min="7677" max="7677" width="22.85546875" style="16" customWidth="1"/>
    <col min="7678" max="7678" width="3.7109375" style="16" customWidth="1"/>
    <col min="7679" max="7685" width="0" style="16" hidden="1" customWidth="1"/>
    <col min="7686" max="7686" width="3.140625" style="16" customWidth="1"/>
    <col min="7687" max="7688" width="19.42578125" style="16" customWidth="1"/>
    <col min="7689" max="7689" width="23.28515625" style="16" customWidth="1"/>
    <col min="7690" max="7690" width="19.5703125" style="16" customWidth="1"/>
    <col min="7691" max="7691" width="9.140625" style="16"/>
    <col min="7692" max="7692" width="18.7109375" style="16" customWidth="1"/>
    <col min="7693" max="7928" width="9.140625" style="16"/>
    <col min="7929" max="7929" width="10.7109375" style="16" customWidth="1"/>
    <col min="7930" max="7930" width="60.140625" style="16" customWidth="1"/>
    <col min="7931" max="7931" width="27.5703125" style="16" customWidth="1"/>
    <col min="7932" max="7932" width="16.140625" style="16" customWidth="1"/>
    <col min="7933" max="7933" width="22.85546875" style="16" customWidth="1"/>
    <col min="7934" max="7934" width="3.7109375" style="16" customWidth="1"/>
    <col min="7935" max="7941" width="0" style="16" hidden="1" customWidth="1"/>
    <col min="7942" max="7942" width="3.140625" style="16" customWidth="1"/>
    <col min="7943" max="7944" width="19.42578125" style="16" customWidth="1"/>
    <col min="7945" max="7945" width="23.28515625" style="16" customWidth="1"/>
    <col min="7946" max="7946" width="19.5703125" style="16" customWidth="1"/>
    <col min="7947" max="7947" width="9.140625" style="16"/>
    <col min="7948" max="7948" width="18.7109375" style="16" customWidth="1"/>
    <col min="7949" max="8184" width="9.140625" style="16"/>
    <col min="8185" max="8185" width="10.7109375" style="16" customWidth="1"/>
    <col min="8186" max="8186" width="60.140625" style="16" customWidth="1"/>
    <col min="8187" max="8187" width="27.5703125" style="16" customWidth="1"/>
    <col min="8188" max="8188" width="16.140625" style="16" customWidth="1"/>
    <col min="8189" max="8189" width="22.85546875" style="16" customWidth="1"/>
    <col min="8190" max="8190" width="3.7109375" style="16" customWidth="1"/>
    <col min="8191" max="8197" width="0" style="16" hidden="1" customWidth="1"/>
    <col min="8198" max="8198" width="3.140625" style="16" customWidth="1"/>
    <col min="8199" max="8200" width="19.42578125" style="16" customWidth="1"/>
    <col min="8201" max="8201" width="23.28515625" style="16" customWidth="1"/>
    <col min="8202" max="8202" width="19.5703125" style="16" customWidth="1"/>
    <col min="8203" max="8203" width="9.140625" style="16"/>
    <col min="8204" max="8204" width="18.7109375" style="16" customWidth="1"/>
    <col min="8205" max="8440" width="9.140625" style="16"/>
    <col min="8441" max="8441" width="10.7109375" style="16" customWidth="1"/>
    <col min="8442" max="8442" width="60.140625" style="16" customWidth="1"/>
    <col min="8443" max="8443" width="27.5703125" style="16" customWidth="1"/>
    <col min="8444" max="8444" width="16.140625" style="16" customWidth="1"/>
    <col min="8445" max="8445" width="22.85546875" style="16" customWidth="1"/>
    <col min="8446" max="8446" width="3.7109375" style="16" customWidth="1"/>
    <col min="8447" max="8453" width="0" style="16" hidden="1" customWidth="1"/>
    <col min="8454" max="8454" width="3.140625" style="16" customWidth="1"/>
    <col min="8455" max="8456" width="19.42578125" style="16" customWidth="1"/>
    <col min="8457" max="8457" width="23.28515625" style="16" customWidth="1"/>
    <col min="8458" max="8458" width="19.5703125" style="16" customWidth="1"/>
    <col min="8459" max="8459" width="9.140625" style="16"/>
    <col min="8460" max="8460" width="18.7109375" style="16" customWidth="1"/>
    <col min="8461" max="8696" width="9.140625" style="16"/>
    <col min="8697" max="8697" width="10.7109375" style="16" customWidth="1"/>
    <col min="8698" max="8698" width="60.140625" style="16" customWidth="1"/>
    <col min="8699" max="8699" width="27.5703125" style="16" customWidth="1"/>
    <col min="8700" max="8700" width="16.140625" style="16" customWidth="1"/>
    <col min="8701" max="8701" width="22.85546875" style="16" customWidth="1"/>
    <col min="8702" max="8702" width="3.7109375" style="16" customWidth="1"/>
    <col min="8703" max="8709" width="0" style="16" hidden="1" customWidth="1"/>
    <col min="8710" max="8710" width="3.140625" style="16" customWidth="1"/>
    <col min="8711" max="8712" width="19.42578125" style="16" customWidth="1"/>
    <col min="8713" max="8713" width="23.28515625" style="16" customWidth="1"/>
    <col min="8714" max="8714" width="19.5703125" style="16" customWidth="1"/>
    <col min="8715" max="8715" width="9.140625" style="16"/>
    <col min="8716" max="8716" width="18.7109375" style="16" customWidth="1"/>
    <col min="8717" max="8952" width="9.140625" style="16"/>
    <col min="8953" max="8953" width="10.7109375" style="16" customWidth="1"/>
    <col min="8954" max="8954" width="60.140625" style="16" customWidth="1"/>
    <col min="8955" max="8955" width="27.5703125" style="16" customWidth="1"/>
    <col min="8956" max="8956" width="16.140625" style="16" customWidth="1"/>
    <col min="8957" max="8957" width="22.85546875" style="16" customWidth="1"/>
    <col min="8958" max="8958" width="3.7109375" style="16" customWidth="1"/>
    <col min="8959" max="8965" width="0" style="16" hidden="1" customWidth="1"/>
    <col min="8966" max="8966" width="3.140625" style="16" customWidth="1"/>
    <col min="8967" max="8968" width="19.42578125" style="16" customWidth="1"/>
    <col min="8969" max="8969" width="23.28515625" style="16" customWidth="1"/>
    <col min="8970" max="8970" width="19.5703125" style="16" customWidth="1"/>
    <col min="8971" max="8971" width="9.140625" style="16"/>
    <col min="8972" max="8972" width="18.7109375" style="16" customWidth="1"/>
    <col min="8973" max="9208" width="9.140625" style="16"/>
    <col min="9209" max="9209" width="10.7109375" style="16" customWidth="1"/>
    <col min="9210" max="9210" width="60.140625" style="16" customWidth="1"/>
    <col min="9211" max="9211" width="27.5703125" style="16" customWidth="1"/>
    <col min="9212" max="9212" width="16.140625" style="16" customWidth="1"/>
    <col min="9213" max="9213" width="22.85546875" style="16" customWidth="1"/>
    <col min="9214" max="9214" width="3.7109375" style="16" customWidth="1"/>
    <col min="9215" max="9221" width="0" style="16" hidden="1" customWidth="1"/>
    <col min="9222" max="9222" width="3.140625" style="16" customWidth="1"/>
    <col min="9223" max="9224" width="19.42578125" style="16" customWidth="1"/>
    <col min="9225" max="9225" width="23.28515625" style="16" customWidth="1"/>
    <col min="9226" max="9226" width="19.5703125" style="16" customWidth="1"/>
    <col min="9227" max="9227" width="9.140625" style="16"/>
    <col min="9228" max="9228" width="18.7109375" style="16" customWidth="1"/>
    <col min="9229" max="9464" width="9.140625" style="16"/>
    <col min="9465" max="9465" width="10.7109375" style="16" customWidth="1"/>
    <col min="9466" max="9466" width="60.140625" style="16" customWidth="1"/>
    <col min="9467" max="9467" width="27.5703125" style="16" customWidth="1"/>
    <col min="9468" max="9468" width="16.140625" style="16" customWidth="1"/>
    <col min="9469" max="9469" width="22.85546875" style="16" customWidth="1"/>
    <col min="9470" max="9470" width="3.7109375" style="16" customWidth="1"/>
    <col min="9471" max="9477" width="0" style="16" hidden="1" customWidth="1"/>
    <col min="9478" max="9478" width="3.140625" style="16" customWidth="1"/>
    <col min="9479" max="9480" width="19.42578125" style="16" customWidth="1"/>
    <col min="9481" max="9481" width="23.28515625" style="16" customWidth="1"/>
    <col min="9482" max="9482" width="19.5703125" style="16" customWidth="1"/>
    <col min="9483" max="9483" width="9.140625" style="16"/>
    <col min="9484" max="9484" width="18.7109375" style="16" customWidth="1"/>
    <col min="9485" max="9720" width="9.140625" style="16"/>
    <col min="9721" max="9721" width="10.7109375" style="16" customWidth="1"/>
    <col min="9722" max="9722" width="60.140625" style="16" customWidth="1"/>
    <col min="9723" max="9723" width="27.5703125" style="16" customWidth="1"/>
    <col min="9724" max="9724" width="16.140625" style="16" customWidth="1"/>
    <col min="9725" max="9725" width="22.85546875" style="16" customWidth="1"/>
    <col min="9726" max="9726" width="3.7109375" style="16" customWidth="1"/>
    <col min="9727" max="9733" width="0" style="16" hidden="1" customWidth="1"/>
    <col min="9734" max="9734" width="3.140625" style="16" customWidth="1"/>
    <col min="9735" max="9736" width="19.42578125" style="16" customWidth="1"/>
    <col min="9737" max="9737" width="23.28515625" style="16" customWidth="1"/>
    <col min="9738" max="9738" width="19.5703125" style="16" customWidth="1"/>
    <col min="9739" max="9739" width="9.140625" style="16"/>
    <col min="9740" max="9740" width="18.7109375" style="16" customWidth="1"/>
    <col min="9741" max="9976" width="9.140625" style="16"/>
    <col min="9977" max="9977" width="10.7109375" style="16" customWidth="1"/>
    <col min="9978" max="9978" width="60.140625" style="16" customWidth="1"/>
    <col min="9979" max="9979" width="27.5703125" style="16" customWidth="1"/>
    <col min="9980" max="9980" width="16.140625" style="16" customWidth="1"/>
    <col min="9981" max="9981" width="22.85546875" style="16" customWidth="1"/>
    <col min="9982" max="9982" width="3.7109375" style="16" customWidth="1"/>
    <col min="9983" max="9989" width="0" style="16" hidden="1" customWidth="1"/>
    <col min="9990" max="9990" width="3.140625" style="16" customWidth="1"/>
    <col min="9991" max="9992" width="19.42578125" style="16" customWidth="1"/>
    <col min="9993" max="9993" width="23.28515625" style="16" customWidth="1"/>
    <col min="9994" max="9994" width="19.5703125" style="16" customWidth="1"/>
    <col min="9995" max="9995" width="9.140625" style="16"/>
    <col min="9996" max="9996" width="18.7109375" style="16" customWidth="1"/>
    <col min="9997" max="10232" width="9.140625" style="16"/>
    <col min="10233" max="10233" width="10.7109375" style="16" customWidth="1"/>
    <col min="10234" max="10234" width="60.140625" style="16" customWidth="1"/>
    <col min="10235" max="10235" width="27.5703125" style="16" customWidth="1"/>
    <col min="10236" max="10236" width="16.140625" style="16" customWidth="1"/>
    <col min="10237" max="10237" width="22.85546875" style="16" customWidth="1"/>
    <col min="10238" max="10238" width="3.7109375" style="16" customWidth="1"/>
    <col min="10239" max="10245" width="0" style="16" hidden="1" customWidth="1"/>
    <col min="10246" max="10246" width="3.140625" style="16" customWidth="1"/>
    <col min="10247" max="10248" width="19.42578125" style="16" customWidth="1"/>
    <col min="10249" max="10249" width="23.28515625" style="16" customWidth="1"/>
    <col min="10250" max="10250" width="19.5703125" style="16" customWidth="1"/>
    <col min="10251" max="10251" width="9.140625" style="16"/>
    <col min="10252" max="10252" width="18.7109375" style="16" customWidth="1"/>
    <col min="10253" max="10488" width="9.140625" style="16"/>
    <col min="10489" max="10489" width="10.7109375" style="16" customWidth="1"/>
    <col min="10490" max="10490" width="60.140625" style="16" customWidth="1"/>
    <col min="10491" max="10491" width="27.5703125" style="16" customWidth="1"/>
    <col min="10492" max="10492" width="16.140625" style="16" customWidth="1"/>
    <col min="10493" max="10493" width="22.85546875" style="16" customWidth="1"/>
    <col min="10494" max="10494" width="3.7109375" style="16" customWidth="1"/>
    <col min="10495" max="10501" width="0" style="16" hidden="1" customWidth="1"/>
    <col min="10502" max="10502" width="3.140625" style="16" customWidth="1"/>
    <col min="10503" max="10504" width="19.42578125" style="16" customWidth="1"/>
    <col min="10505" max="10505" width="23.28515625" style="16" customWidth="1"/>
    <col min="10506" max="10506" width="19.5703125" style="16" customWidth="1"/>
    <col min="10507" max="10507" width="9.140625" style="16"/>
    <col min="10508" max="10508" width="18.7109375" style="16" customWidth="1"/>
    <col min="10509" max="10744" width="9.140625" style="16"/>
    <col min="10745" max="10745" width="10.7109375" style="16" customWidth="1"/>
    <col min="10746" max="10746" width="60.140625" style="16" customWidth="1"/>
    <col min="10747" max="10747" width="27.5703125" style="16" customWidth="1"/>
    <col min="10748" max="10748" width="16.140625" style="16" customWidth="1"/>
    <col min="10749" max="10749" width="22.85546875" style="16" customWidth="1"/>
    <col min="10750" max="10750" width="3.7109375" style="16" customWidth="1"/>
    <col min="10751" max="10757" width="0" style="16" hidden="1" customWidth="1"/>
    <col min="10758" max="10758" width="3.140625" style="16" customWidth="1"/>
    <col min="10759" max="10760" width="19.42578125" style="16" customWidth="1"/>
    <col min="10761" max="10761" width="23.28515625" style="16" customWidth="1"/>
    <col min="10762" max="10762" width="19.5703125" style="16" customWidth="1"/>
    <col min="10763" max="10763" width="9.140625" style="16"/>
    <col min="10764" max="10764" width="18.7109375" style="16" customWidth="1"/>
    <col min="10765" max="11000" width="9.140625" style="16"/>
    <col min="11001" max="11001" width="10.7109375" style="16" customWidth="1"/>
    <col min="11002" max="11002" width="60.140625" style="16" customWidth="1"/>
    <col min="11003" max="11003" width="27.5703125" style="16" customWidth="1"/>
    <col min="11004" max="11004" width="16.140625" style="16" customWidth="1"/>
    <col min="11005" max="11005" width="22.85546875" style="16" customWidth="1"/>
    <col min="11006" max="11006" width="3.7109375" style="16" customWidth="1"/>
    <col min="11007" max="11013" width="0" style="16" hidden="1" customWidth="1"/>
    <col min="11014" max="11014" width="3.140625" style="16" customWidth="1"/>
    <col min="11015" max="11016" width="19.42578125" style="16" customWidth="1"/>
    <col min="11017" max="11017" width="23.28515625" style="16" customWidth="1"/>
    <col min="11018" max="11018" width="19.5703125" style="16" customWidth="1"/>
    <col min="11019" max="11019" width="9.140625" style="16"/>
    <col min="11020" max="11020" width="18.7109375" style="16" customWidth="1"/>
    <col min="11021" max="11256" width="9.140625" style="16"/>
    <col min="11257" max="11257" width="10.7109375" style="16" customWidth="1"/>
    <col min="11258" max="11258" width="60.140625" style="16" customWidth="1"/>
    <col min="11259" max="11259" width="27.5703125" style="16" customWidth="1"/>
    <col min="11260" max="11260" width="16.140625" style="16" customWidth="1"/>
    <col min="11261" max="11261" width="22.85546875" style="16" customWidth="1"/>
    <col min="11262" max="11262" width="3.7109375" style="16" customWidth="1"/>
    <col min="11263" max="11269" width="0" style="16" hidden="1" customWidth="1"/>
    <col min="11270" max="11270" width="3.140625" style="16" customWidth="1"/>
    <col min="11271" max="11272" width="19.42578125" style="16" customWidth="1"/>
    <col min="11273" max="11273" width="23.28515625" style="16" customWidth="1"/>
    <col min="11274" max="11274" width="19.5703125" style="16" customWidth="1"/>
    <col min="11275" max="11275" width="9.140625" style="16"/>
    <col min="11276" max="11276" width="18.7109375" style="16" customWidth="1"/>
    <col min="11277" max="11512" width="9.140625" style="16"/>
    <col min="11513" max="11513" width="10.7109375" style="16" customWidth="1"/>
    <col min="11514" max="11514" width="60.140625" style="16" customWidth="1"/>
    <col min="11515" max="11515" width="27.5703125" style="16" customWidth="1"/>
    <col min="11516" max="11516" width="16.140625" style="16" customWidth="1"/>
    <col min="11517" max="11517" width="22.85546875" style="16" customWidth="1"/>
    <col min="11518" max="11518" width="3.7109375" style="16" customWidth="1"/>
    <col min="11519" max="11525" width="0" style="16" hidden="1" customWidth="1"/>
    <col min="11526" max="11526" width="3.140625" style="16" customWidth="1"/>
    <col min="11527" max="11528" width="19.42578125" style="16" customWidth="1"/>
    <col min="11529" max="11529" width="23.28515625" style="16" customWidth="1"/>
    <col min="11530" max="11530" width="19.5703125" style="16" customWidth="1"/>
    <col min="11531" max="11531" width="9.140625" style="16"/>
    <col min="11532" max="11532" width="18.7109375" style="16" customWidth="1"/>
    <col min="11533" max="11768" width="9.140625" style="16"/>
    <col min="11769" max="11769" width="10.7109375" style="16" customWidth="1"/>
    <col min="11770" max="11770" width="60.140625" style="16" customWidth="1"/>
    <col min="11771" max="11771" width="27.5703125" style="16" customWidth="1"/>
    <col min="11772" max="11772" width="16.140625" style="16" customWidth="1"/>
    <col min="11773" max="11773" width="22.85546875" style="16" customWidth="1"/>
    <col min="11774" max="11774" width="3.7109375" style="16" customWidth="1"/>
    <col min="11775" max="11781" width="0" style="16" hidden="1" customWidth="1"/>
    <col min="11782" max="11782" width="3.140625" style="16" customWidth="1"/>
    <col min="11783" max="11784" width="19.42578125" style="16" customWidth="1"/>
    <col min="11785" max="11785" width="23.28515625" style="16" customWidth="1"/>
    <col min="11786" max="11786" width="19.5703125" style="16" customWidth="1"/>
    <col min="11787" max="11787" width="9.140625" style="16"/>
    <col min="11788" max="11788" width="18.7109375" style="16" customWidth="1"/>
    <col min="11789" max="12024" width="9.140625" style="16"/>
    <col min="12025" max="12025" width="10.7109375" style="16" customWidth="1"/>
    <col min="12026" max="12026" width="60.140625" style="16" customWidth="1"/>
    <col min="12027" max="12027" width="27.5703125" style="16" customWidth="1"/>
    <col min="12028" max="12028" width="16.140625" style="16" customWidth="1"/>
    <col min="12029" max="12029" width="22.85546875" style="16" customWidth="1"/>
    <col min="12030" max="12030" width="3.7109375" style="16" customWidth="1"/>
    <col min="12031" max="12037" width="0" style="16" hidden="1" customWidth="1"/>
    <col min="12038" max="12038" width="3.140625" style="16" customWidth="1"/>
    <col min="12039" max="12040" width="19.42578125" style="16" customWidth="1"/>
    <col min="12041" max="12041" width="23.28515625" style="16" customWidth="1"/>
    <col min="12042" max="12042" width="19.5703125" style="16" customWidth="1"/>
    <col min="12043" max="12043" width="9.140625" style="16"/>
    <col min="12044" max="12044" width="18.7109375" style="16" customWidth="1"/>
    <col min="12045" max="12280" width="9.140625" style="16"/>
    <col min="12281" max="12281" width="10.7109375" style="16" customWidth="1"/>
    <col min="12282" max="12282" width="60.140625" style="16" customWidth="1"/>
    <col min="12283" max="12283" width="27.5703125" style="16" customWidth="1"/>
    <col min="12284" max="12284" width="16.140625" style="16" customWidth="1"/>
    <col min="12285" max="12285" width="22.85546875" style="16" customWidth="1"/>
    <col min="12286" max="12286" width="3.7109375" style="16" customWidth="1"/>
    <col min="12287" max="12293" width="0" style="16" hidden="1" customWidth="1"/>
    <col min="12294" max="12294" width="3.140625" style="16" customWidth="1"/>
    <col min="12295" max="12296" width="19.42578125" style="16" customWidth="1"/>
    <col min="12297" max="12297" width="23.28515625" style="16" customWidth="1"/>
    <col min="12298" max="12298" width="19.5703125" style="16" customWidth="1"/>
    <col min="12299" max="12299" width="9.140625" style="16"/>
    <col min="12300" max="12300" width="18.7109375" style="16" customWidth="1"/>
    <col min="12301" max="12536" width="9.140625" style="16"/>
    <col min="12537" max="12537" width="10.7109375" style="16" customWidth="1"/>
    <col min="12538" max="12538" width="60.140625" style="16" customWidth="1"/>
    <col min="12539" max="12539" width="27.5703125" style="16" customWidth="1"/>
    <col min="12540" max="12540" width="16.140625" style="16" customWidth="1"/>
    <col min="12541" max="12541" width="22.85546875" style="16" customWidth="1"/>
    <col min="12542" max="12542" width="3.7109375" style="16" customWidth="1"/>
    <col min="12543" max="12549" width="0" style="16" hidden="1" customWidth="1"/>
    <col min="12550" max="12550" width="3.140625" style="16" customWidth="1"/>
    <col min="12551" max="12552" width="19.42578125" style="16" customWidth="1"/>
    <col min="12553" max="12553" width="23.28515625" style="16" customWidth="1"/>
    <col min="12554" max="12554" width="19.5703125" style="16" customWidth="1"/>
    <col min="12555" max="12555" width="9.140625" style="16"/>
    <col min="12556" max="12556" width="18.7109375" style="16" customWidth="1"/>
    <col min="12557" max="12792" width="9.140625" style="16"/>
    <col min="12793" max="12793" width="10.7109375" style="16" customWidth="1"/>
    <col min="12794" max="12794" width="60.140625" style="16" customWidth="1"/>
    <col min="12795" max="12795" width="27.5703125" style="16" customWidth="1"/>
    <col min="12796" max="12796" width="16.140625" style="16" customWidth="1"/>
    <col min="12797" max="12797" width="22.85546875" style="16" customWidth="1"/>
    <col min="12798" max="12798" width="3.7109375" style="16" customWidth="1"/>
    <col min="12799" max="12805" width="0" style="16" hidden="1" customWidth="1"/>
    <col min="12806" max="12806" width="3.140625" style="16" customWidth="1"/>
    <col min="12807" max="12808" width="19.42578125" style="16" customWidth="1"/>
    <col min="12809" max="12809" width="23.28515625" style="16" customWidth="1"/>
    <col min="12810" max="12810" width="19.5703125" style="16" customWidth="1"/>
    <col min="12811" max="12811" width="9.140625" style="16"/>
    <col min="12812" max="12812" width="18.7109375" style="16" customWidth="1"/>
    <col min="12813" max="13048" width="9.140625" style="16"/>
    <col min="13049" max="13049" width="10.7109375" style="16" customWidth="1"/>
    <col min="13050" max="13050" width="60.140625" style="16" customWidth="1"/>
    <col min="13051" max="13051" width="27.5703125" style="16" customWidth="1"/>
    <col min="13052" max="13052" width="16.140625" style="16" customWidth="1"/>
    <col min="13053" max="13053" width="22.85546875" style="16" customWidth="1"/>
    <col min="13054" max="13054" width="3.7109375" style="16" customWidth="1"/>
    <col min="13055" max="13061" width="0" style="16" hidden="1" customWidth="1"/>
    <col min="13062" max="13062" width="3.140625" style="16" customWidth="1"/>
    <col min="13063" max="13064" width="19.42578125" style="16" customWidth="1"/>
    <col min="13065" max="13065" width="23.28515625" style="16" customWidth="1"/>
    <col min="13066" max="13066" width="19.5703125" style="16" customWidth="1"/>
    <col min="13067" max="13067" width="9.140625" style="16"/>
    <col min="13068" max="13068" width="18.7109375" style="16" customWidth="1"/>
    <col min="13069" max="13304" width="9.140625" style="16"/>
    <col min="13305" max="13305" width="10.7109375" style="16" customWidth="1"/>
    <col min="13306" max="13306" width="60.140625" style="16" customWidth="1"/>
    <col min="13307" max="13307" width="27.5703125" style="16" customWidth="1"/>
    <col min="13308" max="13308" width="16.140625" style="16" customWidth="1"/>
    <col min="13309" max="13309" width="22.85546875" style="16" customWidth="1"/>
    <col min="13310" max="13310" width="3.7109375" style="16" customWidth="1"/>
    <col min="13311" max="13317" width="0" style="16" hidden="1" customWidth="1"/>
    <col min="13318" max="13318" width="3.140625" style="16" customWidth="1"/>
    <col min="13319" max="13320" width="19.42578125" style="16" customWidth="1"/>
    <col min="13321" max="13321" width="23.28515625" style="16" customWidth="1"/>
    <col min="13322" max="13322" width="19.5703125" style="16" customWidth="1"/>
    <col min="13323" max="13323" width="9.140625" style="16"/>
    <col min="13324" max="13324" width="18.7109375" style="16" customWidth="1"/>
    <col min="13325" max="13560" width="9.140625" style="16"/>
    <col min="13561" max="13561" width="10.7109375" style="16" customWidth="1"/>
    <col min="13562" max="13562" width="60.140625" style="16" customWidth="1"/>
    <col min="13563" max="13563" width="27.5703125" style="16" customWidth="1"/>
    <col min="13564" max="13564" width="16.140625" style="16" customWidth="1"/>
    <col min="13565" max="13565" width="22.85546875" style="16" customWidth="1"/>
    <col min="13566" max="13566" width="3.7109375" style="16" customWidth="1"/>
    <col min="13567" max="13573" width="0" style="16" hidden="1" customWidth="1"/>
    <col min="13574" max="13574" width="3.140625" style="16" customWidth="1"/>
    <col min="13575" max="13576" width="19.42578125" style="16" customWidth="1"/>
    <col min="13577" max="13577" width="23.28515625" style="16" customWidth="1"/>
    <col min="13578" max="13578" width="19.5703125" style="16" customWidth="1"/>
    <col min="13579" max="13579" width="9.140625" style="16"/>
    <col min="13580" max="13580" width="18.7109375" style="16" customWidth="1"/>
    <col min="13581" max="13816" width="9.140625" style="16"/>
    <col min="13817" max="13817" width="10.7109375" style="16" customWidth="1"/>
    <col min="13818" max="13818" width="60.140625" style="16" customWidth="1"/>
    <col min="13819" max="13819" width="27.5703125" style="16" customWidth="1"/>
    <col min="13820" max="13820" width="16.140625" style="16" customWidth="1"/>
    <col min="13821" max="13821" width="22.85546875" style="16" customWidth="1"/>
    <col min="13822" max="13822" width="3.7109375" style="16" customWidth="1"/>
    <col min="13823" max="13829" width="0" style="16" hidden="1" customWidth="1"/>
    <col min="13830" max="13830" width="3.140625" style="16" customWidth="1"/>
    <col min="13831" max="13832" width="19.42578125" style="16" customWidth="1"/>
    <col min="13833" max="13833" width="23.28515625" style="16" customWidth="1"/>
    <col min="13834" max="13834" width="19.5703125" style="16" customWidth="1"/>
    <col min="13835" max="13835" width="9.140625" style="16"/>
    <col min="13836" max="13836" width="18.7109375" style="16" customWidth="1"/>
    <col min="13837" max="14072" width="9.140625" style="16"/>
    <col min="14073" max="14073" width="10.7109375" style="16" customWidth="1"/>
    <col min="14074" max="14074" width="60.140625" style="16" customWidth="1"/>
    <col min="14075" max="14075" width="27.5703125" style="16" customWidth="1"/>
    <col min="14076" max="14076" width="16.140625" style="16" customWidth="1"/>
    <col min="14077" max="14077" width="22.85546875" style="16" customWidth="1"/>
    <col min="14078" max="14078" width="3.7109375" style="16" customWidth="1"/>
    <col min="14079" max="14085" width="0" style="16" hidden="1" customWidth="1"/>
    <col min="14086" max="14086" width="3.140625" style="16" customWidth="1"/>
    <col min="14087" max="14088" width="19.42578125" style="16" customWidth="1"/>
    <col min="14089" max="14089" width="23.28515625" style="16" customWidth="1"/>
    <col min="14090" max="14090" width="19.5703125" style="16" customWidth="1"/>
    <col min="14091" max="14091" width="9.140625" style="16"/>
    <col min="14092" max="14092" width="18.7109375" style="16" customWidth="1"/>
    <col min="14093" max="14328" width="9.140625" style="16"/>
    <col min="14329" max="14329" width="10.7109375" style="16" customWidth="1"/>
    <col min="14330" max="14330" width="60.140625" style="16" customWidth="1"/>
    <col min="14331" max="14331" width="27.5703125" style="16" customWidth="1"/>
    <col min="14332" max="14332" width="16.140625" style="16" customWidth="1"/>
    <col min="14333" max="14333" width="22.85546875" style="16" customWidth="1"/>
    <col min="14334" max="14334" width="3.7109375" style="16" customWidth="1"/>
    <col min="14335" max="14341" width="0" style="16" hidden="1" customWidth="1"/>
    <col min="14342" max="14342" width="3.140625" style="16" customWidth="1"/>
    <col min="14343" max="14344" width="19.42578125" style="16" customWidth="1"/>
    <col min="14345" max="14345" width="23.28515625" style="16" customWidth="1"/>
    <col min="14346" max="14346" width="19.5703125" style="16" customWidth="1"/>
    <col min="14347" max="14347" width="9.140625" style="16"/>
    <col min="14348" max="14348" width="18.7109375" style="16" customWidth="1"/>
    <col min="14349" max="14584" width="9.140625" style="16"/>
    <col min="14585" max="14585" width="10.7109375" style="16" customWidth="1"/>
    <col min="14586" max="14586" width="60.140625" style="16" customWidth="1"/>
    <col min="14587" max="14587" width="27.5703125" style="16" customWidth="1"/>
    <col min="14588" max="14588" width="16.140625" style="16" customWidth="1"/>
    <col min="14589" max="14589" width="22.85546875" style="16" customWidth="1"/>
    <col min="14590" max="14590" width="3.7109375" style="16" customWidth="1"/>
    <col min="14591" max="14597" width="0" style="16" hidden="1" customWidth="1"/>
    <col min="14598" max="14598" width="3.140625" style="16" customWidth="1"/>
    <col min="14599" max="14600" width="19.42578125" style="16" customWidth="1"/>
    <col min="14601" max="14601" width="23.28515625" style="16" customWidth="1"/>
    <col min="14602" max="14602" width="19.5703125" style="16" customWidth="1"/>
    <col min="14603" max="14603" width="9.140625" style="16"/>
    <col min="14604" max="14604" width="18.7109375" style="16" customWidth="1"/>
    <col min="14605" max="14840" width="9.140625" style="16"/>
    <col min="14841" max="14841" width="10.7109375" style="16" customWidth="1"/>
    <col min="14842" max="14842" width="60.140625" style="16" customWidth="1"/>
    <col min="14843" max="14843" width="27.5703125" style="16" customWidth="1"/>
    <col min="14844" max="14844" width="16.140625" style="16" customWidth="1"/>
    <col min="14845" max="14845" width="22.85546875" style="16" customWidth="1"/>
    <col min="14846" max="14846" width="3.7109375" style="16" customWidth="1"/>
    <col min="14847" max="14853" width="0" style="16" hidden="1" customWidth="1"/>
    <col min="14854" max="14854" width="3.140625" style="16" customWidth="1"/>
    <col min="14855" max="14856" width="19.42578125" style="16" customWidth="1"/>
    <col min="14857" max="14857" width="23.28515625" style="16" customWidth="1"/>
    <col min="14858" max="14858" width="19.5703125" style="16" customWidth="1"/>
    <col min="14859" max="14859" width="9.140625" style="16"/>
    <col min="14860" max="14860" width="18.7109375" style="16" customWidth="1"/>
    <col min="14861" max="15096" width="9.140625" style="16"/>
    <col min="15097" max="15097" width="10.7109375" style="16" customWidth="1"/>
    <col min="15098" max="15098" width="60.140625" style="16" customWidth="1"/>
    <col min="15099" max="15099" width="27.5703125" style="16" customWidth="1"/>
    <col min="15100" max="15100" width="16.140625" style="16" customWidth="1"/>
    <col min="15101" max="15101" width="22.85546875" style="16" customWidth="1"/>
    <col min="15102" max="15102" width="3.7109375" style="16" customWidth="1"/>
    <col min="15103" max="15109" width="0" style="16" hidden="1" customWidth="1"/>
    <col min="15110" max="15110" width="3.140625" style="16" customWidth="1"/>
    <col min="15111" max="15112" width="19.42578125" style="16" customWidth="1"/>
    <col min="15113" max="15113" width="23.28515625" style="16" customWidth="1"/>
    <col min="15114" max="15114" width="19.5703125" style="16" customWidth="1"/>
    <col min="15115" max="15115" width="9.140625" style="16"/>
    <col min="15116" max="15116" width="18.7109375" style="16" customWidth="1"/>
    <col min="15117" max="15352" width="9.140625" style="16"/>
    <col min="15353" max="15353" width="10.7109375" style="16" customWidth="1"/>
    <col min="15354" max="15354" width="60.140625" style="16" customWidth="1"/>
    <col min="15355" max="15355" width="27.5703125" style="16" customWidth="1"/>
    <col min="15356" max="15356" width="16.140625" style="16" customWidth="1"/>
    <col min="15357" max="15357" width="22.85546875" style="16" customWidth="1"/>
    <col min="15358" max="15358" width="3.7109375" style="16" customWidth="1"/>
    <col min="15359" max="15365" width="0" style="16" hidden="1" customWidth="1"/>
    <col min="15366" max="15366" width="3.140625" style="16" customWidth="1"/>
    <col min="15367" max="15368" width="19.42578125" style="16" customWidth="1"/>
    <col min="15369" max="15369" width="23.28515625" style="16" customWidth="1"/>
    <col min="15370" max="15370" width="19.5703125" style="16" customWidth="1"/>
    <col min="15371" max="15371" width="9.140625" style="16"/>
    <col min="15372" max="15372" width="18.7109375" style="16" customWidth="1"/>
    <col min="15373" max="15608" width="9.140625" style="16"/>
    <col min="15609" max="15609" width="10.7109375" style="16" customWidth="1"/>
    <col min="15610" max="15610" width="60.140625" style="16" customWidth="1"/>
    <col min="15611" max="15611" width="27.5703125" style="16" customWidth="1"/>
    <col min="15612" max="15612" width="16.140625" style="16" customWidth="1"/>
    <col min="15613" max="15613" width="22.85546875" style="16" customWidth="1"/>
    <col min="15614" max="15614" width="3.7109375" style="16" customWidth="1"/>
    <col min="15615" max="15621" width="0" style="16" hidden="1" customWidth="1"/>
    <col min="15622" max="15622" width="3.140625" style="16" customWidth="1"/>
    <col min="15623" max="15624" width="19.42578125" style="16" customWidth="1"/>
    <col min="15625" max="15625" width="23.28515625" style="16" customWidth="1"/>
    <col min="15626" max="15626" width="19.5703125" style="16" customWidth="1"/>
    <col min="15627" max="15627" width="9.140625" style="16"/>
    <col min="15628" max="15628" width="18.7109375" style="16" customWidth="1"/>
    <col min="15629" max="15864" width="9.140625" style="16"/>
    <col min="15865" max="15865" width="10.7109375" style="16" customWidth="1"/>
    <col min="15866" max="15866" width="60.140625" style="16" customWidth="1"/>
    <col min="15867" max="15867" width="27.5703125" style="16" customWidth="1"/>
    <col min="15868" max="15868" width="16.140625" style="16" customWidth="1"/>
    <col min="15869" max="15869" width="22.85546875" style="16" customWidth="1"/>
    <col min="15870" max="15870" width="3.7109375" style="16" customWidth="1"/>
    <col min="15871" max="15877" width="0" style="16" hidden="1" customWidth="1"/>
    <col min="15878" max="15878" width="3.140625" style="16" customWidth="1"/>
    <col min="15879" max="15880" width="19.42578125" style="16" customWidth="1"/>
    <col min="15881" max="15881" width="23.28515625" style="16" customWidth="1"/>
    <col min="15882" max="15882" width="19.5703125" style="16" customWidth="1"/>
    <col min="15883" max="15883" width="9.140625" style="16"/>
    <col min="15884" max="15884" width="18.7109375" style="16" customWidth="1"/>
    <col min="15885" max="16120" width="9.140625" style="16"/>
    <col min="16121" max="16121" width="10.7109375" style="16" customWidth="1"/>
    <col min="16122" max="16122" width="60.140625" style="16" customWidth="1"/>
    <col min="16123" max="16123" width="27.5703125" style="16" customWidth="1"/>
    <col min="16124" max="16124" width="16.140625" style="16" customWidth="1"/>
    <col min="16125" max="16125" width="22.85546875" style="16" customWidth="1"/>
    <col min="16126" max="16126" width="3.7109375" style="16" customWidth="1"/>
    <col min="16127" max="16133" width="0" style="16" hidden="1" customWidth="1"/>
    <col min="16134" max="16134" width="3.140625" style="16" customWidth="1"/>
    <col min="16135" max="16136" width="19.42578125" style="16" customWidth="1"/>
    <col min="16137" max="16137" width="23.28515625" style="16" customWidth="1"/>
    <col min="16138" max="16138" width="19.5703125" style="16" customWidth="1"/>
    <col min="16139" max="16139" width="9.140625" style="16"/>
    <col min="16140" max="16140" width="18.7109375" style="16" customWidth="1"/>
    <col min="16141" max="16384" width="9.140625" style="16"/>
  </cols>
  <sheetData>
    <row r="1" spans="1:29" s="3" customFormat="1" ht="37.5" customHeight="1" x14ac:dyDescent="0.2">
      <c r="A1" s="138" t="s">
        <v>209</v>
      </c>
      <c r="B1" s="138"/>
      <c r="C1" s="138"/>
      <c r="D1" s="138"/>
      <c r="E1" s="138"/>
      <c r="F1" s="138"/>
      <c r="G1" s="138"/>
      <c r="H1" s="138"/>
      <c r="I1" s="138"/>
      <c r="J1" s="138"/>
      <c r="K1" s="138"/>
      <c r="L1" s="138"/>
      <c r="M1" s="138"/>
      <c r="N1" s="138"/>
      <c r="O1" s="138"/>
      <c r="P1" s="138"/>
      <c r="Q1" s="138"/>
      <c r="R1" s="138"/>
      <c r="S1" s="138"/>
      <c r="T1" s="138"/>
      <c r="U1" s="138"/>
      <c r="V1" s="138"/>
      <c r="W1" s="138"/>
      <c r="X1" s="138"/>
      <c r="Y1" s="138"/>
      <c r="Z1" s="138"/>
      <c r="AA1" s="138"/>
      <c r="AB1" s="138"/>
      <c r="AC1" s="138"/>
    </row>
    <row r="2" spans="1:29" s="3" customFormat="1" ht="67.5" customHeight="1" x14ac:dyDescent="0.3">
      <c r="A2" s="139"/>
      <c r="B2" s="139"/>
      <c r="C2" s="140" t="s">
        <v>180</v>
      </c>
      <c r="D2" s="140"/>
      <c r="E2" s="140"/>
      <c r="F2" s="140"/>
      <c r="G2" s="140"/>
      <c r="H2" s="140"/>
      <c r="I2" s="140"/>
      <c r="J2" s="140"/>
      <c r="K2" s="140"/>
      <c r="L2" s="140"/>
      <c r="M2" s="140"/>
      <c r="N2" s="140"/>
      <c r="O2" s="140"/>
      <c r="P2" s="140"/>
      <c r="Q2" s="140"/>
      <c r="R2" s="140"/>
      <c r="S2" s="140"/>
      <c r="T2" s="140"/>
      <c r="U2" s="140"/>
      <c r="V2" s="140"/>
      <c r="W2" s="140"/>
      <c r="X2" s="140"/>
      <c r="Y2" s="140"/>
      <c r="Z2" s="140"/>
      <c r="AA2" s="140"/>
      <c r="AB2" s="140"/>
      <c r="AC2" s="140"/>
    </row>
    <row r="3" spans="1:29" s="3" customFormat="1" ht="19.5" customHeight="1" x14ac:dyDescent="0.3">
      <c r="A3" s="59"/>
      <c r="B3" s="59"/>
      <c r="C3" s="4"/>
      <c r="D3" s="4"/>
      <c r="E3" s="4"/>
      <c r="F3" s="4"/>
      <c r="G3" s="4"/>
      <c r="H3" s="4"/>
      <c r="I3" s="4"/>
      <c r="J3" s="4"/>
      <c r="K3" s="4"/>
      <c r="L3" s="4"/>
      <c r="M3" s="4"/>
      <c r="N3" s="5"/>
      <c r="O3" s="5"/>
      <c r="P3" s="5"/>
      <c r="Q3" s="28"/>
    </row>
    <row r="4" spans="1:29" s="3" customFormat="1" ht="37.5" customHeight="1" x14ac:dyDescent="0.2">
      <c r="A4" s="141" t="s">
        <v>29</v>
      </c>
      <c r="B4" s="141"/>
      <c r="C4" s="141"/>
      <c r="D4" s="141"/>
      <c r="E4" s="141"/>
      <c r="F4" s="141"/>
      <c r="G4" s="141"/>
      <c r="H4" s="141"/>
      <c r="I4" s="4"/>
      <c r="J4" s="171" t="s">
        <v>32</v>
      </c>
      <c r="K4" s="4"/>
      <c r="L4" s="171" t="s">
        <v>18</v>
      </c>
      <c r="M4" s="4"/>
      <c r="N4" s="142" t="s">
        <v>31</v>
      </c>
      <c r="O4" s="142"/>
      <c r="P4" s="142"/>
      <c r="Q4" s="142"/>
      <c r="R4" s="142"/>
      <c r="S4" s="142"/>
      <c r="T4" s="142"/>
      <c r="U4" s="142"/>
      <c r="V4" s="142"/>
      <c r="W4" s="142"/>
      <c r="X4" s="142"/>
      <c r="Y4" s="142"/>
      <c r="Z4" s="142"/>
      <c r="AA4" s="142"/>
      <c r="AB4" s="142"/>
      <c r="AC4" s="142"/>
    </row>
    <row r="5" spans="1:29" s="3" customFormat="1" ht="41.25" customHeight="1" x14ac:dyDescent="0.2">
      <c r="A5" s="148" t="s">
        <v>4</v>
      </c>
      <c r="B5" s="149"/>
      <c r="C5" s="149"/>
      <c r="D5" s="149"/>
      <c r="E5" s="149"/>
      <c r="F5" s="149"/>
      <c r="G5" s="149"/>
      <c r="H5" s="150"/>
      <c r="I5" s="4"/>
      <c r="J5" s="171"/>
      <c r="K5" s="4"/>
      <c r="L5" s="171"/>
      <c r="M5" s="4"/>
      <c r="N5" s="146" t="s">
        <v>26</v>
      </c>
      <c r="O5" s="146"/>
      <c r="P5" s="146"/>
      <c r="Q5" s="146"/>
      <c r="S5" s="146" t="s">
        <v>186</v>
      </c>
      <c r="T5" s="146"/>
      <c r="U5" s="146"/>
      <c r="V5" s="146"/>
      <c r="X5" s="146" t="s">
        <v>187</v>
      </c>
      <c r="Y5" s="146"/>
      <c r="Z5" s="146"/>
      <c r="AA5" s="146"/>
      <c r="AC5" s="65" t="s">
        <v>188</v>
      </c>
    </row>
    <row r="6" spans="1:29" ht="50.25" customHeight="1" x14ac:dyDescent="0.2">
      <c r="A6" s="43" t="s">
        <v>0</v>
      </c>
      <c r="B6" s="44" t="s">
        <v>1</v>
      </c>
      <c r="C6" s="44" t="s">
        <v>2</v>
      </c>
      <c r="D6" s="44" t="s">
        <v>3</v>
      </c>
      <c r="E6" s="44" t="s">
        <v>23</v>
      </c>
      <c r="F6" s="44" t="s">
        <v>181</v>
      </c>
      <c r="G6" s="44" t="s">
        <v>182</v>
      </c>
      <c r="H6" s="44" t="s">
        <v>190</v>
      </c>
      <c r="I6" s="63"/>
      <c r="J6" s="48" t="s">
        <v>19</v>
      </c>
      <c r="K6" s="63"/>
      <c r="L6" s="48" t="s">
        <v>19</v>
      </c>
      <c r="M6" s="63"/>
      <c r="N6" s="48" t="s">
        <v>19</v>
      </c>
      <c r="O6" s="48" t="s">
        <v>6</v>
      </c>
      <c r="P6" s="48" t="s">
        <v>7</v>
      </c>
      <c r="Q6" s="49" t="s">
        <v>27</v>
      </c>
      <c r="S6" s="48" t="s">
        <v>19</v>
      </c>
      <c r="T6" s="48" t="s">
        <v>6</v>
      </c>
      <c r="U6" s="48" t="s">
        <v>7</v>
      </c>
      <c r="V6" s="49" t="s">
        <v>8</v>
      </c>
      <c r="X6" s="48" t="s">
        <v>19</v>
      </c>
      <c r="Y6" s="48" t="s">
        <v>6</v>
      </c>
      <c r="Z6" s="48" t="s">
        <v>7</v>
      </c>
      <c r="AA6" s="49" t="s">
        <v>8</v>
      </c>
      <c r="AC6" s="49" t="s">
        <v>27</v>
      </c>
    </row>
    <row r="7" spans="1:29" s="6" customFormat="1" ht="42" customHeight="1" x14ac:dyDescent="0.3">
      <c r="A7" s="73">
        <v>1</v>
      </c>
      <c r="B7" s="74" t="s">
        <v>38</v>
      </c>
      <c r="C7" s="74"/>
      <c r="D7" s="74"/>
      <c r="E7" s="74"/>
      <c r="F7" s="74"/>
      <c r="G7" s="74"/>
      <c r="H7" s="74"/>
      <c r="I7" s="63"/>
      <c r="J7" s="74"/>
      <c r="K7" s="63"/>
      <c r="L7" s="74"/>
      <c r="M7" s="63"/>
      <c r="N7" s="74"/>
      <c r="O7" s="74"/>
      <c r="P7" s="74"/>
      <c r="Q7" s="74"/>
      <c r="S7" s="74"/>
      <c r="T7" s="74"/>
      <c r="U7" s="74"/>
      <c r="V7" s="74"/>
      <c r="X7" s="74"/>
      <c r="Y7" s="74"/>
      <c r="Z7" s="74"/>
      <c r="AA7" s="74"/>
      <c r="AC7" s="74"/>
    </row>
    <row r="8" spans="1:29" s="6" customFormat="1" ht="42" customHeight="1" x14ac:dyDescent="0.3">
      <c r="A8" s="73" t="s">
        <v>39</v>
      </c>
      <c r="B8" s="74" t="s">
        <v>40</v>
      </c>
      <c r="C8" s="74"/>
      <c r="D8" s="74"/>
      <c r="E8" s="74"/>
      <c r="F8" s="74"/>
      <c r="G8" s="74"/>
      <c r="H8" s="74"/>
      <c r="I8" s="63"/>
      <c r="J8" s="74"/>
      <c r="K8" s="63"/>
      <c r="L8" s="74"/>
      <c r="M8" s="63"/>
      <c r="N8" s="74"/>
      <c r="O8" s="74"/>
      <c r="P8" s="74"/>
      <c r="Q8" s="74"/>
      <c r="S8" s="74"/>
      <c r="T8" s="74"/>
      <c r="U8" s="74"/>
      <c r="V8" s="74"/>
      <c r="X8" s="74"/>
      <c r="Y8" s="74"/>
      <c r="Z8" s="74"/>
      <c r="AA8" s="74"/>
      <c r="AC8" s="74"/>
    </row>
    <row r="9" spans="1:29" s="6" customFormat="1" ht="42" customHeight="1" x14ac:dyDescent="0.3">
      <c r="A9" s="75" t="s">
        <v>41</v>
      </c>
      <c r="B9" s="76" t="s">
        <v>42</v>
      </c>
      <c r="C9" s="2" t="s">
        <v>144</v>
      </c>
      <c r="D9" s="79">
        <v>5</v>
      </c>
      <c r="E9" s="64">
        <v>0</v>
      </c>
      <c r="F9" s="64">
        <v>4</v>
      </c>
      <c r="G9" s="64">
        <f>3+(5/5)</f>
        <v>4</v>
      </c>
      <c r="H9" s="1">
        <f>E9+F9+G9</f>
        <v>8</v>
      </c>
      <c r="I9" s="63"/>
      <c r="J9" s="25">
        <f>+'ANEXO 1 - COTIZACIONES'!N9</f>
        <v>307500</v>
      </c>
      <c r="K9" s="63"/>
      <c r="L9" s="25">
        <f>+'ANEXO 2 - HISTORICO'!O9</f>
        <v>240535</v>
      </c>
      <c r="M9" s="63"/>
      <c r="N9" s="25">
        <f>AVERAGE(J9,L9)</f>
        <v>274017.5</v>
      </c>
      <c r="O9" s="27">
        <f>N9*19%</f>
        <v>52063.324999999997</v>
      </c>
      <c r="P9" s="27">
        <f>+O9+N9</f>
        <v>326080.82500000001</v>
      </c>
      <c r="Q9" s="29">
        <f>+P9*E9*D9</f>
        <v>0</v>
      </c>
      <c r="S9" s="25">
        <f>N9+(N9*4.4%)</f>
        <v>286074.27</v>
      </c>
      <c r="T9" s="27">
        <f>S9*19%</f>
        <v>54354.111300000004</v>
      </c>
      <c r="U9" s="27">
        <f t="shared" ref="U9:U21" si="0">+T9+S9</f>
        <v>340428.38130000001</v>
      </c>
      <c r="V9" s="29">
        <f>+U9*F9*D9</f>
        <v>6808567.6260000002</v>
      </c>
      <c r="X9" s="25">
        <f>S9+(S9*3%)</f>
        <v>294656.49810000003</v>
      </c>
      <c r="Y9" s="27">
        <f>X9*19%</f>
        <v>55984.734639000002</v>
      </c>
      <c r="Z9" s="27">
        <f t="shared" ref="Z9:Z21" si="1">+Y9+X9</f>
        <v>350641.232739</v>
      </c>
      <c r="AA9" s="29">
        <f>+Z9*G9*D9</f>
        <v>7012824.6547800004</v>
      </c>
      <c r="AC9" s="29">
        <f>+AA9+V9+Q9</f>
        <v>13821392.280780001</v>
      </c>
    </row>
    <row r="10" spans="1:29" s="6" customFormat="1" ht="42" customHeight="1" x14ac:dyDescent="0.3">
      <c r="A10" s="75" t="s">
        <v>43</v>
      </c>
      <c r="B10" s="76" t="s">
        <v>44</v>
      </c>
      <c r="C10" s="2" t="s">
        <v>144</v>
      </c>
      <c r="D10" s="79">
        <v>10</v>
      </c>
      <c r="E10" s="64">
        <f>3/10</f>
        <v>0.3</v>
      </c>
      <c r="F10" s="64">
        <v>4</v>
      </c>
      <c r="G10" s="64">
        <f>3+(7/10)</f>
        <v>3.7</v>
      </c>
      <c r="H10" s="1">
        <f t="shared" ref="H10:H12" si="2">E10+F10+G10</f>
        <v>8</v>
      </c>
      <c r="I10" s="63"/>
      <c r="J10" s="25">
        <f>+'ANEXO 1 - COTIZACIONES'!N10</f>
        <v>307500</v>
      </c>
      <c r="K10" s="63"/>
      <c r="L10" s="25">
        <f>+'ANEXO 2 - HISTORICO'!O10</f>
        <v>240535.04000000001</v>
      </c>
      <c r="M10" s="63"/>
      <c r="N10" s="25">
        <f>AVERAGE(J10,L10)</f>
        <v>274017.52</v>
      </c>
      <c r="O10" s="27">
        <f>N10*19%</f>
        <v>52063.328800000003</v>
      </c>
      <c r="P10" s="27">
        <f t="shared" ref="P10:P21" si="3">+O10+N10</f>
        <v>326080.84880000004</v>
      </c>
      <c r="Q10" s="29">
        <f>+P10*E10*D10</f>
        <v>978242.54640000011</v>
      </c>
      <c r="S10" s="25">
        <f t="shared" ref="S10:S12" si="4">N10+(N10*4.4%)</f>
        <v>286074.29088000004</v>
      </c>
      <c r="T10" s="27">
        <f t="shared" ref="T10:T12" si="5">S10*19%</f>
        <v>54354.11526720001</v>
      </c>
      <c r="U10" s="27">
        <f t="shared" si="0"/>
        <v>340428.40614720003</v>
      </c>
      <c r="V10" s="29">
        <f>+U10*F10*D10</f>
        <v>13617136.245888002</v>
      </c>
      <c r="X10" s="25">
        <f t="shared" ref="X10:X12" si="6">S10+(S10*3%)</f>
        <v>294656.51960640005</v>
      </c>
      <c r="Y10" s="27">
        <f t="shared" ref="Y10:Y12" si="7">X10*19%</f>
        <v>55984.738725216012</v>
      </c>
      <c r="Z10" s="27">
        <f t="shared" si="1"/>
        <v>350641.25833161606</v>
      </c>
      <c r="AA10" s="29">
        <f>+Z10*G10*D10</f>
        <v>12973726.558269795</v>
      </c>
      <c r="AC10" s="29">
        <f t="shared" ref="AC10:AC48" si="8">+AA10+V10+Q10</f>
        <v>27569105.350557797</v>
      </c>
    </row>
    <row r="11" spans="1:29" s="6" customFormat="1" ht="42" customHeight="1" x14ac:dyDescent="0.3">
      <c r="A11" s="75" t="s">
        <v>45</v>
      </c>
      <c r="B11" s="76" t="s">
        <v>46</v>
      </c>
      <c r="C11" s="2" t="s">
        <v>144</v>
      </c>
      <c r="D11" s="79">
        <v>18</v>
      </c>
      <c r="E11" s="127">
        <f>7/18</f>
        <v>0.3888888888888889</v>
      </c>
      <c r="F11" s="64">
        <v>4</v>
      </c>
      <c r="G11" s="127">
        <f>3+(11/18)</f>
        <v>3.6111111111111112</v>
      </c>
      <c r="H11" s="1">
        <f t="shared" si="2"/>
        <v>8</v>
      </c>
      <c r="I11" s="63"/>
      <c r="J11" s="25">
        <f>+'ANEXO 1 - COTIZACIONES'!N11</f>
        <v>307500</v>
      </c>
      <c r="K11" s="63"/>
      <c r="L11" s="25">
        <f>+'ANEXO 2 - HISTORICO'!O11</f>
        <v>252529.22</v>
      </c>
      <c r="M11" s="63"/>
      <c r="N11" s="25">
        <f>AVERAGE(J11,L11)</f>
        <v>280014.61</v>
      </c>
      <c r="O11" s="27">
        <f t="shared" ref="O11:O12" si="9">N11*19%</f>
        <v>53202.775900000001</v>
      </c>
      <c r="P11" s="27">
        <f t="shared" si="3"/>
        <v>333217.38589999999</v>
      </c>
      <c r="Q11" s="29">
        <f>+P11*E11*D11</f>
        <v>2332521.7013000003</v>
      </c>
      <c r="S11" s="25">
        <f t="shared" si="4"/>
        <v>292335.25283999997</v>
      </c>
      <c r="T11" s="27">
        <f t="shared" si="5"/>
        <v>55543.698039599993</v>
      </c>
      <c r="U11" s="27">
        <f t="shared" si="0"/>
        <v>347878.95087959996</v>
      </c>
      <c r="V11" s="29">
        <f>+U11*F11*D11</f>
        <v>25047284.463331196</v>
      </c>
      <c r="X11" s="25">
        <f t="shared" si="6"/>
        <v>301105.31042519998</v>
      </c>
      <c r="Y11" s="27">
        <f t="shared" si="7"/>
        <v>57210.008980787999</v>
      </c>
      <c r="Z11" s="27">
        <f t="shared" si="1"/>
        <v>358315.31940598798</v>
      </c>
      <c r="AA11" s="29">
        <f>+Z11*G11*D11</f>
        <v>23290495.761389218</v>
      </c>
      <c r="AC11" s="29">
        <f t="shared" si="8"/>
        <v>50670301.926020421</v>
      </c>
    </row>
    <row r="12" spans="1:29" s="6" customFormat="1" ht="42" customHeight="1" x14ac:dyDescent="0.3">
      <c r="A12" s="75" t="s">
        <v>47</v>
      </c>
      <c r="B12" s="76" t="s">
        <v>48</v>
      </c>
      <c r="C12" s="2" t="s">
        <v>144</v>
      </c>
      <c r="D12" s="79">
        <v>5</v>
      </c>
      <c r="E12" s="64">
        <f>3/5</f>
        <v>0.6</v>
      </c>
      <c r="F12" s="64">
        <v>4</v>
      </c>
      <c r="G12" s="64">
        <f>3+(2/5)</f>
        <v>3.4</v>
      </c>
      <c r="H12" s="1">
        <f t="shared" si="2"/>
        <v>8</v>
      </c>
      <c r="I12" s="63"/>
      <c r="J12" s="25">
        <f>+'ANEXO 1 - COTIZACIONES'!N12</f>
        <v>307500</v>
      </c>
      <c r="K12" s="63"/>
      <c r="L12" s="25">
        <f>+'ANEXO 2 - HISTORICO'!O12</f>
        <v>252529.22</v>
      </c>
      <c r="M12" s="63"/>
      <c r="N12" s="25">
        <f>AVERAGE(J12,L12)</f>
        <v>280014.61</v>
      </c>
      <c r="O12" s="27">
        <f t="shared" si="9"/>
        <v>53202.775900000001</v>
      </c>
      <c r="P12" s="27">
        <f t="shared" si="3"/>
        <v>333217.38589999999</v>
      </c>
      <c r="Q12" s="29">
        <f>+P12*E12*D12</f>
        <v>999652.15769999998</v>
      </c>
      <c r="S12" s="25">
        <f t="shared" si="4"/>
        <v>292335.25283999997</v>
      </c>
      <c r="T12" s="27">
        <f t="shared" si="5"/>
        <v>55543.698039599993</v>
      </c>
      <c r="U12" s="27">
        <f t="shared" si="0"/>
        <v>347878.95087959996</v>
      </c>
      <c r="V12" s="29">
        <f>+U12*F12*D12</f>
        <v>6957579.0175919989</v>
      </c>
      <c r="X12" s="25">
        <f t="shared" si="6"/>
        <v>301105.31042519998</v>
      </c>
      <c r="Y12" s="27">
        <f t="shared" si="7"/>
        <v>57210.008980787999</v>
      </c>
      <c r="Z12" s="27">
        <f t="shared" si="1"/>
        <v>358315.31940598798</v>
      </c>
      <c r="AA12" s="29">
        <f>+Z12*G12*D12</f>
        <v>6091360.4299017955</v>
      </c>
      <c r="AC12" s="29">
        <f t="shared" si="8"/>
        <v>14048591.605193796</v>
      </c>
    </row>
    <row r="13" spans="1:29" s="6" customFormat="1" ht="42" customHeight="1" x14ac:dyDescent="0.3">
      <c r="A13" s="77" t="s">
        <v>49</v>
      </c>
      <c r="B13" s="74" t="s">
        <v>50</v>
      </c>
      <c r="C13" s="74"/>
      <c r="D13" s="74"/>
      <c r="E13" s="74"/>
      <c r="F13" s="74"/>
      <c r="G13" s="74"/>
      <c r="H13" s="74"/>
      <c r="I13" s="63"/>
      <c r="J13" s="74"/>
      <c r="K13" s="63"/>
      <c r="L13" s="74"/>
      <c r="M13" s="63"/>
      <c r="N13" s="74"/>
      <c r="O13" s="74"/>
      <c r="P13" s="74"/>
      <c r="Q13" s="74"/>
      <c r="S13" s="74"/>
      <c r="T13" s="74"/>
      <c r="U13" s="74"/>
      <c r="V13" s="74"/>
      <c r="X13" s="74"/>
      <c r="Y13" s="74"/>
      <c r="Z13" s="74"/>
      <c r="AA13" s="74"/>
      <c r="AC13" s="74"/>
    </row>
    <row r="14" spans="1:29" s="6" customFormat="1" ht="42" customHeight="1" x14ac:dyDescent="0.3">
      <c r="A14" s="75" t="s">
        <v>51</v>
      </c>
      <c r="B14" s="76" t="s">
        <v>52</v>
      </c>
      <c r="C14" s="2" t="s">
        <v>144</v>
      </c>
      <c r="D14" s="79">
        <v>1</v>
      </c>
      <c r="E14" s="64">
        <f>1/1</f>
        <v>1</v>
      </c>
      <c r="F14" s="64">
        <v>4</v>
      </c>
      <c r="G14" s="64">
        <v>3</v>
      </c>
      <c r="H14" s="1">
        <f t="shared" ref="H14:H16" si="10">E14+F14+G14</f>
        <v>8</v>
      </c>
      <c r="I14" s="63"/>
      <c r="J14" s="25">
        <f>+'ANEXO 1 - COTIZACIONES'!N14</f>
        <v>372500</v>
      </c>
      <c r="K14" s="63"/>
      <c r="L14" s="25">
        <f>+'ANEXO 2 - HISTORICO'!O14</f>
        <v>244132.76</v>
      </c>
      <c r="M14" s="63"/>
      <c r="N14" s="25">
        <f>AVERAGE(J14,L14)</f>
        <v>308316.38</v>
      </c>
      <c r="O14" s="27">
        <f t="shared" ref="O14:O16" si="11">N14*19%</f>
        <v>58580.112200000003</v>
      </c>
      <c r="P14" s="27">
        <f t="shared" si="3"/>
        <v>366896.49219999998</v>
      </c>
      <c r="Q14" s="29">
        <f>+P14*E14*D14</f>
        <v>366896.49219999998</v>
      </c>
      <c r="S14" s="25">
        <f t="shared" ref="S14:S16" si="12">N14+(N14*4.4%)</f>
        <v>321882.30072</v>
      </c>
      <c r="T14" s="27">
        <f t="shared" ref="T14:T16" si="13">S14*19%</f>
        <v>61157.637136800004</v>
      </c>
      <c r="U14" s="27">
        <f t="shared" si="0"/>
        <v>383039.93785679998</v>
      </c>
      <c r="V14" s="29">
        <f>+U14*F14*D14</f>
        <v>1532159.7514271999</v>
      </c>
      <c r="X14" s="25">
        <f t="shared" ref="X14:X16" si="14">S14+(S14*3%)</f>
        <v>331538.76974159997</v>
      </c>
      <c r="Y14" s="27">
        <f t="shared" ref="Y14:Y16" si="15">X14*19%</f>
        <v>62992.366250903993</v>
      </c>
      <c r="Z14" s="27">
        <f t="shared" si="1"/>
        <v>394531.13599250396</v>
      </c>
      <c r="AA14" s="29">
        <f>+Z14*G14*D14</f>
        <v>1183593.4079775119</v>
      </c>
      <c r="AC14" s="29">
        <f t="shared" si="8"/>
        <v>3082649.651604712</v>
      </c>
    </row>
    <row r="15" spans="1:29" s="6" customFormat="1" ht="42" customHeight="1" x14ac:dyDescent="0.3">
      <c r="A15" s="75" t="s">
        <v>53</v>
      </c>
      <c r="B15" s="76" t="s">
        <v>54</v>
      </c>
      <c r="C15" s="2" t="s">
        <v>144</v>
      </c>
      <c r="D15" s="79">
        <v>1</v>
      </c>
      <c r="E15" s="64">
        <f t="shared" ref="E15:E16" si="16">1/1</f>
        <v>1</v>
      </c>
      <c r="F15" s="64">
        <v>4</v>
      </c>
      <c r="G15" s="64">
        <v>3</v>
      </c>
      <c r="H15" s="1">
        <f t="shared" si="10"/>
        <v>8</v>
      </c>
      <c r="I15" s="63"/>
      <c r="J15" s="25">
        <f>+'ANEXO 1 - COTIZACIONES'!N15</f>
        <v>372500</v>
      </c>
      <c r="K15" s="63"/>
      <c r="L15" s="25">
        <f>+'ANEXO 2 - HISTORICO'!O15</f>
        <v>244132.76</v>
      </c>
      <c r="M15" s="63"/>
      <c r="N15" s="25">
        <f>AVERAGE(J15,L15)</f>
        <v>308316.38</v>
      </c>
      <c r="O15" s="27">
        <f t="shared" si="11"/>
        <v>58580.112200000003</v>
      </c>
      <c r="P15" s="27">
        <f t="shared" si="3"/>
        <v>366896.49219999998</v>
      </c>
      <c r="Q15" s="29">
        <f>+P15*E15*D15</f>
        <v>366896.49219999998</v>
      </c>
      <c r="S15" s="25">
        <f t="shared" si="12"/>
        <v>321882.30072</v>
      </c>
      <c r="T15" s="27">
        <f t="shared" si="13"/>
        <v>61157.637136800004</v>
      </c>
      <c r="U15" s="27">
        <f t="shared" si="0"/>
        <v>383039.93785679998</v>
      </c>
      <c r="V15" s="29">
        <f>+U15*F15*D15</f>
        <v>1532159.7514271999</v>
      </c>
      <c r="X15" s="25">
        <f t="shared" si="14"/>
        <v>331538.76974159997</v>
      </c>
      <c r="Y15" s="27">
        <f t="shared" si="15"/>
        <v>62992.366250903993</v>
      </c>
      <c r="Z15" s="27">
        <f t="shared" si="1"/>
        <v>394531.13599250396</v>
      </c>
      <c r="AA15" s="29">
        <f>+Z15*G15*D15</f>
        <v>1183593.4079775119</v>
      </c>
      <c r="AC15" s="29">
        <f t="shared" si="8"/>
        <v>3082649.651604712</v>
      </c>
    </row>
    <row r="16" spans="1:29" s="6" customFormat="1" ht="42" customHeight="1" x14ac:dyDescent="0.3">
      <c r="A16" s="75" t="s">
        <v>55</v>
      </c>
      <c r="B16" s="76" t="s">
        <v>56</v>
      </c>
      <c r="C16" s="2" t="s">
        <v>144</v>
      </c>
      <c r="D16" s="79">
        <v>1</v>
      </c>
      <c r="E16" s="64">
        <f t="shared" si="16"/>
        <v>1</v>
      </c>
      <c r="F16" s="64">
        <v>4</v>
      </c>
      <c r="G16" s="64">
        <v>3</v>
      </c>
      <c r="H16" s="1">
        <f t="shared" si="10"/>
        <v>8</v>
      </c>
      <c r="I16" s="63"/>
      <c r="J16" s="25">
        <f>+'ANEXO 1 - COTIZACIONES'!N16</f>
        <v>372500</v>
      </c>
      <c r="K16" s="63"/>
      <c r="L16" s="25">
        <f>+'ANEXO 2 - HISTORICO'!O16</f>
        <v>244132.76</v>
      </c>
      <c r="M16" s="63"/>
      <c r="N16" s="25">
        <f>AVERAGE(J16,L16)</f>
        <v>308316.38</v>
      </c>
      <c r="O16" s="27">
        <f t="shared" si="11"/>
        <v>58580.112200000003</v>
      </c>
      <c r="P16" s="27">
        <f t="shared" si="3"/>
        <v>366896.49219999998</v>
      </c>
      <c r="Q16" s="29">
        <f>+P16*E16*D16</f>
        <v>366896.49219999998</v>
      </c>
      <c r="S16" s="25">
        <f t="shared" si="12"/>
        <v>321882.30072</v>
      </c>
      <c r="T16" s="27">
        <f t="shared" si="13"/>
        <v>61157.637136800004</v>
      </c>
      <c r="U16" s="27">
        <f t="shared" si="0"/>
        <v>383039.93785679998</v>
      </c>
      <c r="V16" s="29">
        <f>+U16*F16*D16</f>
        <v>1532159.7514271999</v>
      </c>
      <c r="X16" s="25">
        <f t="shared" si="14"/>
        <v>331538.76974159997</v>
      </c>
      <c r="Y16" s="27">
        <f t="shared" si="15"/>
        <v>62992.366250903993</v>
      </c>
      <c r="Z16" s="27">
        <f t="shared" si="1"/>
        <v>394531.13599250396</v>
      </c>
      <c r="AA16" s="29">
        <f>+Z16*G16*D16</f>
        <v>1183593.4079775119</v>
      </c>
      <c r="AC16" s="29">
        <f t="shared" si="8"/>
        <v>3082649.651604712</v>
      </c>
    </row>
    <row r="17" spans="1:29" s="6" customFormat="1" ht="42" customHeight="1" x14ac:dyDescent="0.3">
      <c r="A17" s="77" t="s">
        <v>57</v>
      </c>
      <c r="B17" s="74" t="s">
        <v>58</v>
      </c>
      <c r="C17" s="74"/>
      <c r="D17" s="74"/>
      <c r="E17" s="74"/>
      <c r="F17" s="74"/>
      <c r="G17" s="74"/>
      <c r="H17" s="74"/>
      <c r="I17" s="63"/>
      <c r="J17" s="74"/>
      <c r="K17" s="63"/>
      <c r="L17" s="74"/>
      <c r="M17" s="63"/>
      <c r="N17" s="74"/>
      <c r="O17" s="74"/>
      <c r="P17" s="74"/>
      <c r="Q17" s="74"/>
      <c r="S17" s="74"/>
      <c r="T17" s="74"/>
      <c r="U17" s="74"/>
      <c r="V17" s="74"/>
      <c r="X17" s="74"/>
      <c r="Y17" s="74"/>
      <c r="Z17" s="74"/>
      <c r="AA17" s="74"/>
      <c r="AC17" s="74"/>
    </row>
    <row r="18" spans="1:29" s="6" customFormat="1" ht="42" customHeight="1" x14ac:dyDescent="0.3">
      <c r="A18" s="75" t="s">
        <v>59</v>
      </c>
      <c r="B18" s="76" t="s">
        <v>60</v>
      </c>
      <c r="C18" s="2" t="s">
        <v>144</v>
      </c>
      <c r="D18" s="79">
        <v>33</v>
      </c>
      <c r="E18" s="127">
        <f>13/33</f>
        <v>0.39393939393939392</v>
      </c>
      <c r="F18" s="64">
        <v>4</v>
      </c>
      <c r="G18" s="127">
        <f>3+(20/33)</f>
        <v>3.606060606060606</v>
      </c>
      <c r="H18" s="1">
        <f t="shared" ref="H18:H25" si="17">E18+F18+G18</f>
        <v>8</v>
      </c>
      <c r="I18" s="63"/>
      <c r="J18" s="25">
        <f>+'ANEXO 1 - COTIZACIONES'!N18</f>
        <v>176406.35851799999</v>
      </c>
      <c r="K18" s="63"/>
      <c r="L18" s="25">
        <f>+'ANEXO 2 - HISTORICO'!O18</f>
        <v>154116.93</v>
      </c>
      <c r="M18" s="63"/>
      <c r="N18" s="25">
        <f t="shared" ref="N18:N25" si="18">AVERAGE(J18,L18)</f>
        <v>165261.64425899999</v>
      </c>
      <c r="O18" s="27">
        <f t="shared" ref="O18:O25" si="19">N18*19%</f>
        <v>31399.712409209998</v>
      </c>
      <c r="P18" s="27">
        <f t="shared" si="3"/>
        <v>196661.35666821001</v>
      </c>
      <c r="Q18" s="29">
        <f t="shared" ref="Q18:Q25" si="20">+P18*E18*D18</f>
        <v>2556597.6366867297</v>
      </c>
      <c r="S18" s="25">
        <f t="shared" ref="S18:S25" si="21">N18+(N18*4.4%)</f>
        <v>172533.15660639599</v>
      </c>
      <c r="T18" s="27">
        <f t="shared" ref="T18:T25" si="22">S18*19%</f>
        <v>32781.299755215237</v>
      </c>
      <c r="U18" s="27">
        <f t="shared" si="0"/>
        <v>205314.45636161123</v>
      </c>
      <c r="V18" s="29">
        <f t="shared" ref="V18:V25" si="23">+U18*F18*D18</f>
        <v>27101508.239732683</v>
      </c>
      <c r="X18" s="25">
        <f t="shared" ref="X18:X25" si="24">S18+(S18*3%)</f>
        <v>177709.15130458787</v>
      </c>
      <c r="Y18" s="27">
        <f t="shared" ref="Y18:Y25" si="25">X18*19%</f>
        <v>33764.738747871692</v>
      </c>
      <c r="Z18" s="27">
        <f t="shared" si="1"/>
        <v>211473.89005245955</v>
      </c>
      <c r="AA18" s="29">
        <f t="shared" ref="AA18:AA25" si="26">+Z18*G18*D18</f>
        <v>25165392.916242689</v>
      </c>
      <c r="AC18" s="29">
        <f t="shared" si="8"/>
        <v>54823498.792662099</v>
      </c>
    </row>
    <row r="19" spans="1:29" s="6" customFormat="1" ht="42" customHeight="1" x14ac:dyDescent="0.3">
      <c r="A19" s="75" t="s">
        <v>61</v>
      </c>
      <c r="B19" s="76" t="s">
        <v>62</v>
      </c>
      <c r="C19" s="2" t="s">
        <v>144</v>
      </c>
      <c r="D19" s="79">
        <v>13</v>
      </c>
      <c r="E19" s="127">
        <f>4/13</f>
        <v>0.30769230769230771</v>
      </c>
      <c r="F19" s="64">
        <v>4</v>
      </c>
      <c r="G19" s="127">
        <f>3+(9/13)</f>
        <v>3.6923076923076925</v>
      </c>
      <c r="H19" s="1">
        <f t="shared" si="17"/>
        <v>8</v>
      </c>
      <c r="I19" s="63"/>
      <c r="J19" s="25">
        <f>+'ANEXO 1 - COTIZACIONES'!N19</f>
        <v>176406.35851799999</v>
      </c>
      <c r="K19" s="63"/>
      <c r="L19" s="25">
        <f>+'ANEXO 2 - HISTORICO'!O19</f>
        <v>154116.93</v>
      </c>
      <c r="M19" s="63"/>
      <c r="N19" s="25">
        <f t="shared" si="18"/>
        <v>165261.64425899999</v>
      </c>
      <c r="O19" s="27">
        <f t="shared" si="19"/>
        <v>31399.712409209998</v>
      </c>
      <c r="P19" s="27">
        <f t="shared" si="3"/>
        <v>196661.35666821001</v>
      </c>
      <c r="Q19" s="29">
        <f t="shared" si="20"/>
        <v>786645.42667284003</v>
      </c>
      <c r="S19" s="25">
        <f t="shared" si="21"/>
        <v>172533.15660639599</v>
      </c>
      <c r="T19" s="27">
        <f t="shared" si="22"/>
        <v>32781.299755215237</v>
      </c>
      <c r="U19" s="27">
        <f t="shared" si="0"/>
        <v>205314.45636161123</v>
      </c>
      <c r="V19" s="29">
        <f t="shared" si="23"/>
        <v>10676351.730803784</v>
      </c>
      <c r="X19" s="25">
        <f t="shared" si="24"/>
        <v>177709.15130458787</v>
      </c>
      <c r="Y19" s="27">
        <f t="shared" si="25"/>
        <v>33764.738747871692</v>
      </c>
      <c r="Z19" s="27">
        <f t="shared" si="1"/>
        <v>211473.89005245955</v>
      </c>
      <c r="AA19" s="29">
        <f t="shared" si="26"/>
        <v>10150746.722518058</v>
      </c>
      <c r="AC19" s="29">
        <f t="shared" si="8"/>
        <v>21613743.879994683</v>
      </c>
    </row>
    <row r="20" spans="1:29" s="6" customFormat="1" ht="42" customHeight="1" x14ac:dyDescent="0.3">
      <c r="A20" s="75" t="s">
        <v>63</v>
      </c>
      <c r="B20" s="76" t="s">
        <v>64</v>
      </c>
      <c r="C20" s="2" t="s">
        <v>144</v>
      </c>
      <c r="D20" s="79">
        <v>25</v>
      </c>
      <c r="E20" s="64">
        <f>5/25</f>
        <v>0.2</v>
      </c>
      <c r="F20" s="64">
        <v>4</v>
      </c>
      <c r="G20" s="64">
        <f>3+(20/25)</f>
        <v>3.8</v>
      </c>
      <c r="H20" s="1">
        <f t="shared" si="17"/>
        <v>8</v>
      </c>
      <c r="I20" s="63"/>
      <c r="J20" s="25">
        <f>+'ANEXO 1 - COTIZACIONES'!N20</f>
        <v>176406.35305899999</v>
      </c>
      <c r="K20" s="63"/>
      <c r="L20" s="25">
        <f>+'ANEXO 2 - HISTORICO'!O20</f>
        <v>154116.91</v>
      </c>
      <c r="M20" s="63"/>
      <c r="N20" s="25">
        <f t="shared" si="18"/>
        <v>165261.63152950001</v>
      </c>
      <c r="O20" s="27">
        <f t="shared" si="19"/>
        <v>31399.709990605003</v>
      </c>
      <c r="P20" s="27">
        <f t="shared" si="3"/>
        <v>196661.34152010502</v>
      </c>
      <c r="Q20" s="29">
        <f t="shared" si="20"/>
        <v>983306.70760052523</v>
      </c>
      <c r="S20" s="25">
        <f t="shared" si="21"/>
        <v>172533.143316798</v>
      </c>
      <c r="T20" s="27">
        <f t="shared" si="22"/>
        <v>32781.297230191623</v>
      </c>
      <c r="U20" s="27">
        <f t="shared" si="0"/>
        <v>205314.44054698962</v>
      </c>
      <c r="V20" s="29">
        <f t="shared" si="23"/>
        <v>20531444.054698963</v>
      </c>
      <c r="X20" s="25">
        <f t="shared" si="24"/>
        <v>177709.13761630194</v>
      </c>
      <c r="Y20" s="27">
        <f t="shared" si="25"/>
        <v>33764.73614709737</v>
      </c>
      <c r="Z20" s="27">
        <f t="shared" si="1"/>
        <v>211473.87376339932</v>
      </c>
      <c r="AA20" s="29">
        <f t="shared" si="26"/>
        <v>20090018.007522933</v>
      </c>
      <c r="AC20" s="29">
        <f t="shared" si="8"/>
        <v>41604768.769822426</v>
      </c>
    </row>
    <row r="21" spans="1:29" s="6" customFormat="1" ht="42" customHeight="1" x14ac:dyDescent="0.3">
      <c r="A21" s="75" t="s">
        <v>65</v>
      </c>
      <c r="B21" s="76" t="s">
        <v>66</v>
      </c>
      <c r="C21" s="2" t="s">
        <v>144</v>
      </c>
      <c r="D21" s="79">
        <v>37</v>
      </c>
      <c r="E21" s="127">
        <f>11/37</f>
        <v>0.29729729729729731</v>
      </c>
      <c r="F21" s="64">
        <v>4</v>
      </c>
      <c r="G21" s="127">
        <f>3+(26/37)</f>
        <v>3.7027027027027026</v>
      </c>
      <c r="H21" s="1">
        <f t="shared" si="17"/>
        <v>8</v>
      </c>
      <c r="I21" s="63"/>
      <c r="J21" s="25">
        <f>+'ANEXO 1 - COTIZACIONES'!N21</f>
        <v>178427.86989</v>
      </c>
      <c r="K21" s="63"/>
      <c r="L21" s="25">
        <f>+'ANEXO 2 - HISTORICO'!O21</f>
        <v>158194.45000000001</v>
      </c>
      <c r="M21" s="63"/>
      <c r="N21" s="25">
        <f t="shared" si="18"/>
        <v>168311.15994500002</v>
      </c>
      <c r="O21" s="27">
        <f t="shared" si="19"/>
        <v>31979.120389550004</v>
      </c>
      <c r="P21" s="27">
        <f t="shared" si="3"/>
        <v>200290.28033455001</v>
      </c>
      <c r="Q21" s="29">
        <f t="shared" si="20"/>
        <v>2203193.0836800504</v>
      </c>
      <c r="S21" s="25">
        <f t="shared" si="21"/>
        <v>175716.85098258001</v>
      </c>
      <c r="T21" s="27">
        <f t="shared" si="22"/>
        <v>33386.201686690205</v>
      </c>
      <c r="U21" s="27">
        <f t="shared" si="0"/>
        <v>209103.05266927023</v>
      </c>
      <c r="V21" s="29">
        <f t="shared" si="23"/>
        <v>30947251.795051992</v>
      </c>
      <c r="X21" s="25">
        <f t="shared" si="24"/>
        <v>180988.35651205742</v>
      </c>
      <c r="Y21" s="27">
        <f t="shared" si="25"/>
        <v>34387.787737290913</v>
      </c>
      <c r="Z21" s="27">
        <f t="shared" si="1"/>
        <v>215376.14424934832</v>
      </c>
      <c r="AA21" s="29">
        <f t="shared" si="26"/>
        <v>29506531.762160718</v>
      </c>
      <c r="AC21" s="29">
        <f t="shared" si="8"/>
        <v>62656976.640892759</v>
      </c>
    </row>
    <row r="22" spans="1:29" s="6" customFormat="1" ht="42" customHeight="1" x14ac:dyDescent="0.3">
      <c r="A22" s="75" t="s">
        <v>67</v>
      </c>
      <c r="B22" s="76" t="s">
        <v>68</v>
      </c>
      <c r="C22" s="2" t="s">
        <v>144</v>
      </c>
      <c r="D22" s="79">
        <v>18</v>
      </c>
      <c r="E22" s="127">
        <f>5/18</f>
        <v>0.27777777777777779</v>
      </c>
      <c r="F22" s="64">
        <v>4</v>
      </c>
      <c r="G22" s="127">
        <f>3+(13/18)</f>
        <v>3.7222222222222223</v>
      </c>
      <c r="H22" s="1">
        <f t="shared" si="17"/>
        <v>8</v>
      </c>
      <c r="I22" s="63"/>
      <c r="J22" s="25">
        <f>+'ANEXO 1 - COTIZACIONES'!N22</f>
        <v>178427.86443099999</v>
      </c>
      <c r="K22" s="63"/>
      <c r="L22" s="25">
        <f>+'ANEXO 2 - HISTORICO'!O22</f>
        <v>158194.44</v>
      </c>
      <c r="M22" s="63"/>
      <c r="N22" s="25">
        <f t="shared" si="18"/>
        <v>168311.15221550001</v>
      </c>
      <c r="O22" s="27">
        <f t="shared" si="19"/>
        <v>31979.118920945002</v>
      </c>
      <c r="P22" s="27">
        <f t="shared" ref="P22:P25" si="27">+O22+N22</f>
        <v>200290.27113644502</v>
      </c>
      <c r="Q22" s="29">
        <f t="shared" si="20"/>
        <v>1001451.3556822252</v>
      </c>
      <c r="S22" s="25">
        <f t="shared" si="21"/>
        <v>175716.84291298201</v>
      </c>
      <c r="T22" s="27">
        <f t="shared" si="22"/>
        <v>33386.200153466583</v>
      </c>
      <c r="U22" s="27">
        <f t="shared" ref="U22:U25" si="28">+T22+S22</f>
        <v>209103.04306644859</v>
      </c>
      <c r="V22" s="29">
        <f t="shared" si="23"/>
        <v>15055419.100784298</v>
      </c>
      <c r="X22" s="25">
        <f t="shared" si="24"/>
        <v>180988.34820037149</v>
      </c>
      <c r="Y22" s="27">
        <f t="shared" si="25"/>
        <v>34387.786158070587</v>
      </c>
      <c r="Z22" s="27">
        <f t="shared" ref="Z22:Z25" si="29">+Y22+X22</f>
        <v>215376.13435844207</v>
      </c>
      <c r="AA22" s="29">
        <f t="shared" si="26"/>
        <v>14430201.00201562</v>
      </c>
      <c r="AC22" s="29">
        <f t="shared" si="8"/>
        <v>30487071.458482143</v>
      </c>
    </row>
    <row r="23" spans="1:29" s="6" customFormat="1" ht="42" customHeight="1" x14ac:dyDescent="0.3">
      <c r="A23" s="75" t="s">
        <v>69</v>
      </c>
      <c r="B23" s="76" t="s">
        <v>70</v>
      </c>
      <c r="C23" s="2" t="s">
        <v>144</v>
      </c>
      <c r="D23" s="79">
        <v>48</v>
      </c>
      <c r="E23" s="64">
        <f>30/48</f>
        <v>0.625</v>
      </c>
      <c r="F23" s="64">
        <v>4</v>
      </c>
      <c r="G23" s="64">
        <f>3+(18/48)</f>
        <v>3.375</v>
      </c>
      <c r="H23" s="1">
        <f t="shared" si="17"/>
        <v>8</v>
      </c>
      <c r="I23" s="63"/>
      <c r="J23" s="25">
        <f>+'ANEXO 1 - COTIZACIONES'!N23</f>
        <v>178427.86443099999</v>
      </c>
      <c r="K23" s="63"/>
      <c r="L23" s="25">
        <f>+'ANEXO 2 - HISTORICO'!O23</f>
        <v>158194.44</v>
      </c>
      <c r="M23" s="63"/>
      <c r="N23" s="25">
        <f t="shared" si="18"/>
        <v>168311.15221550001</v>
      </c>
      <c r="O23" s="27">
        <f t="shared" si="19"/>
        <v>31979.118920945002</v>
      </c>
      <c r="P23" s="27">
        <f t="shared" si="27"/>
        <v>200290.27113644502</v>
      </c>
      <c r="Q23" s="29">
        <f t="shared" si="20"/>
        <v>6008708.1340933507</v>
      </c>
      <c r="S23" s="25">
        <f t="shared" si="21"/>
        <v>175716.84291298201</v>
      </c>
      <c r="T23" s="27">
        <f t="shared" si="22"/>
        <v>33386.200153466583</v>
      </c>
      <c r="U23" s="27">
        <f t="shared" si="28"/>
        <v>209103.04306644859</v>
      </c>
      <c r="V23" s="29">
        <f t="shared" si="23"/>
        <v>40147784.268758133</v>
      </c>
      <c r="X23" s="25">
        <f t="shared" si="24"/>
        <v>180988.34820037149</v>
      </c>
      <c r="Y23" s="27">
        <f t="shared" si="25"/>
        <v>34387.786158070587</v>
      </c>
      <c r="Z23" s="27">
        <f t="shared" si="29"/>
        <v>215376.13435844207</v>
      </c>
      <c r="AA23" s="29">
        <f t="shared" si="26"/>
        <v>34890933.766067617</v>
      </c>
      <c r="AC23" s="29">
        <f t="shared" si="8"/>
        <v>81047426.168919086</v>
      </c>
    </row>
    <row r="24" spans="1:29" s="6" customFormat="1" ht="42" customHeight="1" x14ac:dyDescent="0.3">
      <c r="A24" s="75" t="s">
        <v>71</v>
      </c>
      <c r="B24" s="76" t="s">
        <v>72</v>
      </c>
      <c r="C24" s="2" t="s">
        <v>144</v>
      </c>
      <c r="D24" s="79">
        <v>14</v>
      </c>
      <c r="E24" s="64">
        <v>0</v>
      </c>
      <c r="F24" s="64">
        <v>4</v>
      </c>
      <c r="G24" s="64">
        <f>3+(14/14)</f>
        <v>4</v>
      </c>
      <c r="H24" s="1">
        <f t="shared" si="17"/>
        <v>8</v>
      </c>
      <c r="I24" s="63"/>
      <c r="J24" s="25">
        <f>+'ANEXO 1 - COTIZACIONES'!N24</f>
        <v>179379.389967</v>
      </c>
      <c r="K24" s="63"/>
      <c r="L24" s="25">
        <f>+'ANEXO 2 - HISTORICO'!O24</f>
        <v>160113.74</v>
      </c>
      <c r="M24" s="63"/>
      <c r="N24" s="25">
        <f t="shared" si="18"/>
        <v>169746.56498349999</v>
      </c>
      <c r="O24" s="27">
        <f t="shared" si="19"/>
        <v>32251.847346865001</v>
      </c>
      <c r="P24" s="27">
        <f t="shared" si="27"/>
        <v>201998.41233036498</v>
      </c>
      <c r="Q24" s="29">
        <f t="shared" si="20"/>
        <v>0</v>
      </c>
      <c r="S24" s="25">
        <f t="shared" si="21"/>
        <v>177215.413842774</v>
      </c>
      <c r="T24" s="27">
        <f t="shared" si="22"/>
        <v>33670.928630127062</v>
      </c>
      <c r="U24" s="27">
        <f t="shared" si="28"/>
        <v>210886.34247290104</v>
      </c>
      <c r="V24" s="29">
        <f t="shared" si="23"/>
        <v>11809635.178482458</v>
      </c>
      <c r="X24" s="25">
        <f t="shared" si="24"/>
        <v>182531.87625805722</v>
      </c>
      <c r="Y24" s="27">
        <f t="shared" si="25"/>
        <v>34681.056489030874</v>
      </c>
      <c r="Z24" s="27">
        <f t="shared" si="29"/>
        <v>217212.93274708808</v>
      </c>
      <c r="AA24" s="29">
        <f t="shared" si="26"/>
        <v>12163924.233836932</v>
      </c>
      <c r="AC24" s="29">
        <f t="shared" si="8"/>
        <v>23973559.412319392</v>
      </c>
    </row>
    <row r="25" spans="1:29" s="6" customFormat="1" ht="42" customHeight="1" x14ac:dyDescent="0.3">
      <c r="A25" s="75" t="s">
        <v>73</v>
      </c>
      <c r="B25" s="76" t="s">
        <v>74</v>
      </c>
      <c r="C25" s="2" t="s">
        <v>144</v>
      </c>
      <c r="D25" s="79">
        <v>3</v>
      </c>
      <c r="E25" s="64">
        <v>0</v>
      </c>
      <c r="F25" s="64">
        <v>4</v>
      </c>
      <c r="G25" s="64">
        <f>3+(3/3)</f>
        <v>4</v>
      </c>
      <c r="H25" s="1">
        <f t="shared" si="17"/>
        <v>8</v>
      </c>
      <c r="I25" s="63"/>
      <c r="J25" s="25">
        <f>+'ANEXO 1 - COTIZACIONES'!N25</f>
        <v>179379.40088500001</v>
      </c>
      <c r="K25" s="63"/>
      <c r="L25" s="25">
        <f>+'ANEXO 2 - HISTORICO'!O25</f>
        <v>160113.76</v>
      </c>
      <c r="M25" s="63"/>
      <c r="N25" s="25">
        <f t="shared" si="18"/>
        <v>169746.58044250001</v>
      </c>
      <c r="O25" s="27">
        <f t="shared" si="19"/>
        <v>32251.850284075001</v>
      </c>
      <c r="P25" s="27">
        <f t="shared" si="27"/>
        <v>201998.43072657502</v>
      </c>
      <c r="Q25" s="29">
        <f t="shared" si="20"/>
        <v>0</v>
      </c>
      <c r="S25" s="25">
        <f t="shared" si="21"/>
        <v>177215.42998197002</v>
      </c>
      <c r="T25" s="27">
        <f t="shared" si="22"/>
        <v>33670.931696574306</v>
      </c>
      <c r="U25" s="27">
        <f t="shared" si="28"/>
        <v>210886.36167854432</v>
      </c>
      <c r="V25" s="29">
        <f t="shared" si="23"/>
        <v>2530636.3401425318</v>
      </c>
      <c r="X25" s="25">
        <f t="shared" si="24"/>
        <v>182531.89288142911</v>
      </c>
      <c r="Y25" s="27">
        <f t="shared" si="25"/>
        <v>34681.059647471535</v>
      </c>
      <c r="Z25" s="27">
        <f t="shared" si="29"/>
        <v>217212.95252890064</v>
      </c>
      <c r="AA25" s="29">
        <f t="shared" si="26"/>
        <v>2606555.4303468075</v>
      </c>
      <c r="AC25" s="29">
        <f t="shared" si="8"/>
        <v>5137191.7704893388</v>
      </c>
    </row>
    <row r="26" spans="1:29" s="6" customFormat="1" ht="42" customHeight="1" x14ac:dyDescent="0.3">
      <c r="A26" s="77" t="s">
        <v>75</v>
      </c>
      <c r="B26" s="74" t="s">
        <v>76</v>
      </c>
      <c r="C26" s="74"/>
      <c r="D26" s="74"/>
      <c r="E26" s="74"/>
      <c r="F26" s="74"/>
      <c r="G26" s="74"/>
      <c r="H26" s="74"/>
      <c r="I26" s="63"/>
      <c r="J26" s="74"/>
      <c r="K26" s="63"/>
      <c r="L26" s="74"/>
      <c r="M26" s="63"/>
      <c r="N26" s="74"/>
      <c r="O26" s="74"/>
      <c r="P26" s="74"/>
      <c r="Q26" s="74"/>
      <c r="S26" s="74"/>
      <c r="T26" s="74"/>
      <c r="U26" s="74"/>
      <c r="V26" s="74"/>
      <c r="X26" s="74"/>
      <c r="Y26" s="74"/>
      <c r="Z26" s="74"/>
      <c r="AA26" s="74"/>
      <c r="AC26" s="74"/>
    </row>
    <row r="27" spans="1:29" s="6" customFormat="1" ht="42" customHeight="1" x14ac:dyDescent="0.3">
      <c r="A27" s="75" t="s">
        <v>77</v>
      </c>
      <c r="B27" s="76" t="s">
        <v>78</v>
      </c>
      <c r="C27" s="2" t="s">
        <v>144</v>
      </c>
      <c r="D27" s="79">
        <v>3</v>
      </c>
      <c r="E27" s="64">
        <v>0</v>
      </c>
      <c r="F27" s="64">
        <v>4</v>
      </c>
      <c r="G27" s="64">
        <f>3+(3/3)</f>
        <v>4</v>
      </c>
      <c r="H27" s="1">
        <f t="shared" ref="H27:H32" si="30">E27+F27+G27</f>
        <v>8</v>
      </c>
      <c r="I27" s="63"/>
      <c r="J27" s="25">
        <f>+'ANEXO 1 - COTIZACIONES'!N27</f>
        <v>217000</v>
      </c>
      <c r="K27" s="63"/>
      <c r="L27" s="25">
        <f>+'ANEXO 2 - HISTORICO'!O27</f>
        <v>164911.59</v>
      </c>
      <c r="M27" s="63"/>
      <c r="N27" s="25">
        <f t="shared" ref="N27:N32" si="31">AVERAGE(J27,L27)</f>
        <v>190955.79499999998</v>
      </c>
      <c r="O27" s="27">
        <f t="shared" ref="O27:O32" si="32">N27*19%</f>
        <v>36281.601049999997</v>
      </c>
      <c r="P27" s="27">
        <f t="shared" ref="P27:P32" si="33">+O27+N27</f>
        <v>227237.39604999998</v>
      </c>
      <c r="Q27" s="29">
        <f t="shared" ref="Q27:Q32" si="34">+P27*E27*D27</f>
        <v>0</v>
      </c>
      <c r="S27" s="25">
        <f t="shared" ref="S27:S32" si="35">N27+(N27*4.4%)</f>
        <v>199357.84998</v>
      </c>
      <c r="T27" s="27">
        <f t="shared" ref="T27:T32" si="36">S27*19%</f>
        <v>37877.991496200004</v>
      </c>
      <c r="U27" s="27">
        <f t="shared" ref="U27:U32" si="37">+T27+S27</f>
        <v>237235.8414762</v>
      </c>
      <c r="V27" s="29">
        <f t="shared" ref="V27:V32" si="38">+U27*F27*D27</f>
        <v>2846830.0977143999</v>
      </c>
      <c r="X27" s="25">
        <f t="shared" ref="X27:X32" si="39">S27+(S27*3%)</f>
        <v>205338.5854794</v>
      </c>
      <c r="Y27" s="27">
        <f t="shared" ref="Y27:Y48" si="40">X27*19%</f>
        <v>39014.331241086002</v>
      </c>
      <c r="Z27" s="27">
        <f t="shared" ref="Z27:Z32" si="41">+Y27+X27</f>
        <v>244352.91672048601</v>
      </c>
      <c r="AA27" s="29">
        <f t="shared" ref="AA27:AA32" si="42">+Z27*G27*D27</f>
        <v>2932235.0006458322</v>
      </c>
      <c r="AC27" s="29">
        <f t="shared" si="8"/>
        <v>5779065.0983602321</v>
      </c>
    </row>
    <row r="28" spans="1:29" s="6" customFormat="1" ht="42" customHeight="1" x14ac:dyDescent="0.3">
      <c r="A28" s="75" t="s">
        <v>79</v>
      </c>
      <c r="B28" s="76" t="s">
        <v>80</v>
      </c>
      <c r="C28" s="2" t="s">
        <v>144</v>
      </c>
      <c r="D28" s="79">
        <v>14</v>
      </c>
      <c r="E28" s="127">
        <f>8/14</f>
        <v>0.5714285714285714</v>
      </c>
      <c r="F28" s="64">
        <v>4</v>
      </c>
      <c r="G28" s="127">
        <f>3+(6/14)</f>
        <v>3.4285714285714284</v>
      </c>
      <c r="H28" s="1">
        <f t="shared" si="30"/>
        <v>8</v>
      </c>
      <c r="I28" s="63"/>
      <c r="J28" s="25">
        <f>+'ANEXO 1 - COTIZACIONES'!N28</f>
        <v>217000</v>
      </c>
      <c r="K28" s="63"/>
      <c r="L28" s="25">
        <f>+'ANEXO 2 - HISTORICO'!O28</f>
        <v>164911.51999999999</v>
      </c>
      <c r="M28" s="63"/>
      <c r="N28" s="25">
        <f t="shared" si="31"/>
        <v>190955.76</v>
      </c>
      <c r="O28" s="27">
        <f t="shared" si="32"/>
        <v>36281.594400000002</v>
      </c>
      <c r="P28" s="27">
        <f t="shared" si="33"/>
        <v>227237.35440000001</v>
      </c>
      <c r="Q28" s="29">
        <f t="shared" si="34"/>
        <v>1817898.8352000001</v>
      </c>
      <c r="S28" s="25">
        <f t="shared" si="35"/>
        <v>199357.81344</v>
      </c>
      <c r="T28" s="27">
        <f t="shared" si="36"/>
        <v>37877.984553599999</v>
      </c>
      <c r="U28" s="27">
        <f t="shared" si="37"/>
        <v>237235.79799359999</v>
      </c>
      <c r="V28" s="29">
        <f t="shared" si="38"/>
        <v>13285204.6876416</v>
      </c>
      <c r="X28" s="25">
        <f t="shared" si="39"/>
        <v>205338.54784320001</v>
      </c>
      <c r="Y28" s="27">
        <f t="shared" si="40"/>
        <v>39014.324090208</v>
      </c>
      <c r="Z28" s="27">
        <f t="shared" si="41"/>
        <v>244352.87193340802</v>
      </c>
      <c r="AA28" s="29">
        <f t="shared" si="42"/>
        <v>11728937.852803584</v>
      </c>
      <c r="AC28" s="29">
        <f t="shared" si="8"/>
        <v>26832041.375645187</v>
      </c>
    </row>
    <row r="29" spans="1:29" s="6" customFormat="1" ht="42" customHeight="1" x14ac:dyDescent="0.3">
      <c r="A29" s="75" t="s">
        <v>81</v>
      </c>
      <c r="B29" s="76" t="s">
        <v>82</v>
      </c>
      <c r="C29" s="2" t="s">
        <v>144</v>
      </c>
      <c r="D29" s="79">
        <v>8</v>
      </c>
      <c r="E29" s="64">
        <f>2/D29</f>
        <v>0.25</v>
      </c>
      <c r="F29" s="64">
        <v>4</v>
      </c>
      <c r="G29" s="64">
        <f>3+(6/8)</f>
        <v>3.75</v>
      </c>
      <c r="H29" s="1">
        <f t="shared" si="30"/>
        <v>8</v>
      </c>
      <c r="I29" s="63"/>
      <c r="J29" s="25">
        <f>+'ANEXO 1 - COTIZACIONES'!N29</f>
        <v>217000</v>
      </c>
      <c r="K29" s="63"/>
      <c r="L29" s="25">
        <f>+'ANEXO 2 - HISTORICO'!O29</f>
        <v>168989.01</v>
      </c>
      <c r="M29" s="63"/>
      <c r="N29" s="25">
        <f t="shared" si="31"/>
        <v>192994.505</v>
      </c>
      <c r="O29" s="27">
        <f t="shared" si="32"/>
        <v>36668.955950000003</v>
      </c>
      <c r="P29" s="27">
        <f t="shared" si="33"/>
        <v>229663.46095000001</v>
      </c>
      <c r="Q29" s="29">
        <f t="shared" si="34"/>
        <v>459326.92190000002</v>
      </c>
      <c r="S29" s="25">
        <f t="shared" si="35"/>
        <v>201486.26321999999</v>
      </c>
      <c r="T29" s="27">
        <f t="shared" si="36"/>
        <v>38282.390011800002</v>
      </c>
      <c r="U29" s="27">
        <f t="shared" si="37"/>
        <v>239768.65323180001</v>
      </c>
      <c r="V29" s="29">
        <f t="shared" si="38"/>
        <v>7672596.9034176003</v>
      </c>
      <c r="X29" s="25">
        <f t="shared" si="39"/>
        <v>207530.85111659998</v>
      </c>
      <c r="Y29" s="27">
        <f t="shared" si="40"/>
        <v>39430.861712153994</v>
      </c>
      <c r="Z29" s="27">
        <f t="shared" si="41"/>
        <v>246961.71282875398</v>
      </c>
      <c r="AA29" s="29">
        <f t="shared" si="42"/>
        <v>7408851.3848626195</v>
      </c>
      <c r="AC29" s="29">
        <f t="shared" si="8"/>
        <v>15540775.210180219</v>
      </c>
    </row>
    <row r="30" spans="1:29" s="6" customFormat="1" ht="42" customHeight="1" x14ac:dyDescent="0.3">
      <c r="A30" s="75" t="s">
        <v>83</v>
      </c>
      <c r="B30" s="76" t="s">
        <v>84</v>
      </c>
      <c r="C30" s="2" t="s">
        <v>144</v>
      </c>
      <c r="D30" s="79">
        <v>3</v>
      </c>
      <c r="E30" s="64">
        <f>3/D30</f>
        <v>1</v>
      </c>
      <c r="F30" s="64">
        <v>4</v>
      </c>
      <c r="G30" s="64">
        <v>3</v>
      </c>
      <c r="H30" s="1">
        <f t="shared" si="30"/>
        <v>8</v>
      </c>
      <c r="I30" s="63"/>
      <c r="J30" s="25">
        <f>+'ANEXO 1 - COTIZACIONES'!N30</f>
        <v>217000</v>
      </c>
      <c r="K30" s="63"/>
      <c r="L30" s="25">
        <f>+'ANEXO 2 - HISTORICO'!O30</f>
        <v>168989.17</v>
      </c>
      <c r="M30" s="63"/>
      <c r="N30" s="25">
        <f t="shared" si="31"/>
        <v>192994.58500000002</v>
      </c>
      <c r="O30" s="27">
        <f t="shared" si="32"/>
        <v>36668.971150000005</v>
      </c>
      <c r="P30" s="27">
        <f t="shared" si="33"/>
        <v>229663.55615000002</v>
      </c>
      <c r="Q30" s="29">
        <f t="shared" si="34"/>
        <v>688990.66845</v>
      </c>
      <c r="S30" s="25">
        <f t="shared" si="35"/>
        <v>201486.34674000001</v>
      </c>
      <c r="T30" s="27">
        <f t="shared" si="36"/>
        <v>38282.405880600003</v>
      </c>
      <c r="U30" s="27">
        <f t="shared" si="37"/>
        <v>239768.75262060002</v>
      </c>
      <c r="V30" s="29">
        <f t="shared" si="38"/>
        <v>2877225.0314472001</v>
      </c>
      <c r="X30" s="25">
        <f t="shared" si="39"/>
        <v>207530.93714220001</v>
      </c>
      <c r="Y30" s="27">
        <f t="shared" si="40"/>
        <v>39430.878057018002</v>
      </c>
      <c r="Z30" s="27">
        <f t="shared" si="41"/>
        <v>246961.81519921802</v>
      </c>
      <c r="AA30" s="29">
        <f t="shared" si="42"/>
        <v>2222656.3367929622</v>
      </c>
      <c r="AC30" s="29">
        <f t="shared" si="8"/>
        <v>5788872.0366901625</v>
      </c>
    </row>
    <row r="31" spans="1:29" s="6" customFormat="1" ht="42" customHeight="1" x14ac:dyDescent="0.3">
      <c r="A31" s="75" t="s">
        <v>85</v>
      </c>
      <c r="B31" s="76" t="s">
        <v>86</v>
      </c>
      <c r="C31" s="2" t="s">
        <v>144</v>
      </c>
      <c r="D31" s="79">
        <v>4</v>
      </c>
      <c r="E31" s="64">
        <v>0</v>
      </c>
      <c r="F31" s="64">
        <v>4</v>
      </c>
      <c r="G31" s="64">
        <f>(3+(4/4))</f>
        <v>4</v>
      </c>
      <c r="H31" s="1">
        <f t="shared" si="30"/>
        <v>8</v>
      </c>
      <c r="I31" s="63"/>
      <c r="J31" s="25">
        <f>+'ANEXO 1 - COTIZACIONES'!N31</f>
        <v>217000</v>
      </c>
      <c r="K31" s="63"/>
      <c r="L31" s="25">
        <f>+'ANEXO 2 - HISTORICO'!O31</f>
        <v>168989.12</v>
      </c>
      <c r="M31" s="63"/>
      <c r="N31" s="25">
        <f t="shared" si="31"/>
        <v>192994.56</v>
      </c>
      <c r="O31" s="27">
        <f t="shared" si="32"/>
        <v>36668.966399999998</v>
      </c>
      <c r="P31" s="27">
        <f t="shared" si="33"/>
        <v>229663.5264</v>
      </c>
      <c r="Q31" s="29">
        <f t="shared" si="34"/>
        <v>0</v>
      </c>
      <c r="S31" s="25">
        <f t="shared" si="35"/>
        <v>201486.32063999999</v>
      </c>
      <c r="T31" s="27">
        <f t="shared" si="36"/>
        <v>38282.400921599998</v>
      </c>
      <c r="U31" s="27">
        <f t="shared" si="37"/>
        <v>239768.72156159999</v>
      </c>
      <c r="V31" s="29">
        <f t="shared" si="38"/>
        <v>3836299.5449855998</v>
      </c>
      <c r="X31" s="25">
        <f>S31+(S31*3%)</f>
        <v>207530.9102592</v>
      </c>
      <c r="Y31" s="27">
        <f t="shared" si="40"/>
        <v>39430.872949247998</v>
      </c>
      <c r="Z31" s="27">
        <f t="shared" si="41"/>
        <v>246961.783208448</v>
      </c>
      <c r="AA31" s="29">
        <f t="shared" si="42"/>
        <v>3951388.5313351681</v>
      </c>
      <c r="AC31" s="29">
        <f t="shared" si="8"/>
        <v>7787688.0763207674</v>
      </c>
    </row>
    <row r="32" spans="1:29" s="6" customFormat="1" ht="42" customHeight="1" x14ac:dyDescent="0.3">
      <c r="A32" s="75" t="s">
        <v>87</v>
      </c>
      <c r="B32" s="76" t="s">
        <v>88</v>
      </c>
      <c r="C32" s="2" t="s">
        <v>144</v>
      </c>
      <c r="D32" s="79">
        <v>4</v>
      </c>
      <c r="E32" s="64">
        <f>1/4</f>
        <v>0.25</v>
      </c>
      <c r="F32" s="64">
        <v>4</v>
      </c>
      <c r="G32" s="64">
        <f>3+(3/4)</f>
        <v>3.75</v>
      </c>
      <c r="H32" s="1">
        <f t="shared" si="30"/>
        <v>8</v>
      </c>
      <c r="I32" s="63"/>
      <c r="J32" s="25">
        <f>+'ANEXO 1 - COTIZACIONES'!N32</f>
        <v>217000</v>
      </c>
      <c r="K32" s="63"/>
      <c r="L32" s="25">
        <f>+'ANEXO 2 - HISTORICO'!O32</f>
        <v>168989.12</v>
      </c>
      <c r="M32" s="63"/>
      <c r="N32" s="25">
        <f t="shared" si="31"/>
        <v>192994.56</v>
      </c>
      <c r="O32" s="27">
        <f t="shared" si="32"/>
        <v>36668.966399999998</v>
      </c>
      <c r="P32" s="27">
        <f t="shared" si="33"/>
        <v>229663.5264</v>
      </c>
      <c r="Q32" s="29">
        <f t="shared" si="34"/>
        <v>229663.5264</v>
      </c>
      <c r="S32" s="25">
        <f t="shared" si="35"/>
        <v>201486.32063999999</v>
      </c>
      <c r="T32" s="27">
        <f t="shared" si="36"/>
        <v>38282.400921599998</v>
      </c>
      <c r="U32" s="27">
        <f t="shared" si="37"/>
        <v>239768.72156159999</v>
      </c>
      <c r="V32" s="29">
        <f t="shared" si="38"/>
        <v>3836299.5449855998</v>
      </c>
      <c r="X32" s="25">
        <f t="shared" si="39"/>
        <v>207530.9102592</v>
      </c>
      <c r="Y32" s="27">
        <f t="shared" si="40"/>
        <v>39430.872949247998</v>
      </c>
      <c r="Z32" s="27">
        <f t="shared" si="41"/>
        <v>246961.783208448</v>
      </c>
      <c r="AA32" s="29">
        <f t="shared" si="42"/>
        <v>3704426.7481267201</v>
      </c>
      <c r="AC32" s="29">
        <f t="shared" si="8"/>
        <v>7770389.8195123198</v>
      </c>
    </row>
    <row r="33" spans="1:29" s="6" customFormat="1" ht="42" customHeight="1" x14ac:dyDescent="0.3">
      <c r="A33" s="77" t="s">
        <v>89</v>
      </c>
      <c r="B33" s="74" t="s">
        <v>90</v>
      </c>
      <c r="C33" s="74"/>
      <c r="D33" s="74"/>
      <c r="E33" s="74"/>
      <c r="F33" s="74"/>
      <c r="G33" s="74"/>
      <c r="H33" s="74"/>
      <c r="I33" s="63"/>
      <c r="J33" s="74"/>
      <c r="K33" s="63"/>
      <c r="L33" s="74"/>
      <c r="M33" s="63"/>
      <c r="N33" s="74"/>
      <c r="O33" s="74"/>
      <c r="P33" s="74"/>
      <c r="Q33" s="74"/>
      <c r="S33" s="74"/>
      <c r="T33" s="74"/>
      <c r="U33" s="74"/>
      <c r="V33" s="74"/>
      <c r="X33" s="74"/>
      <c r="Y33" s="74"/>
      <c r="Z33" s="74"/>
      <c r="AA33" s="74"/>
      <c r="AC33" s="74"/>
    </row>
    <row r="34" spans="1:29" s="6" customFormat="1" ht="42" customHeight="1" x14ac:dyDescent="0.3">
      <c r="A34" s="75" t="s">
        <v>91</v>
      </c>
      <c r="B34" s="76" t="s">
        <v>92</v>
      </c>
      <c r="C34" s="2" t="s">
        <v>144</v>
      </c>
      <c r="D34" s="79">
        <v>137</v>
      </c>
      <c r="E34" s="127">
        <f>29/137</f>
        <v>0.21167883211678831</v>
      </c>
      <c r="F34" s="64">
        <v>4</v>
      </c>
      <c r="G34" s="127">
        <f>3+(108/137)</f>
        <v>3.7883211678832116</v>
      </c>
      <c r="H34" s="1">
        <f t="shared" ref="H34:H37" si="43">E34+F34+G34</f>
        <v>8</v>
      </c>
      <c r="I34" s="63"/>
      <c r="J34" s="25">
        <f>+'ANEXO 1 - COTIZACIONES'!N34</f>
        <v>121955.21729</v>
      </c>
      <c r="K34" s="63"/>
      <c r="L34" s="25">
        <f>+'ANEXO 2 - HISTORICO'!O34</f>
        <v>109839.95</v>
      </c>
      <c r="M34" s="63"/>
      <c r="N34" s="25">
        <f>AVERAGE(J34,L34)</f>
        <v>115897.58364500001</v>
      </c>
      <c r="O34" s="27">
        <f t="shared" ref="O34:O37" si="44">N34*19%</f>
        <v>22020.540892550001</v>
      </c>
      <c r="P34" s="27">
        <f t="shared" ref="P34:P37" si="45">+O34+N34</f>
        <v>137918.12453755</v>
      </c>
      <c r="Q34" s="29">
        <f>+P34*E34*D34</f>
        <v>3999625.6115889498</v>
      </c>
      <c r="S34" s="25">
        <f t="shared" ref="S34:S37" si="46">N34+(N34*4.4%)</f>
        <v>120997.07732538</v>
      </c>
      <c r="T34" s="27">
        <f t="shared" ref="T34:T37" si="47">S34*19%</f>
        <v>22989.444691822202</v>
      </c>
      <c r="U34" s="27">
        <f t="shared" ref="U34:U37" si="48">+T34+S34</f>
        <v>143986.52201720219</v>
      </c>
      <c r="V34" s="29">
        <f>+U34*F34*D34</f>
        <v>78904614.065426797</v>
      </c>
      <c r="X34" s="25">
        <f t="shared" ref="X34:X37" si="49">S34+(S34*3%)</f>
        <v>124626.9896451414</v>
      </c>
      <c r="Y34" s="27">
        <f t="shared" si="40"/>
        <v>23679.128032576864</v>
      </c>
      <c r="Z34" s="27">
        <f t="shared" ref="Z34:Z37" si="50">+Y34+X34</f>
        <v>148306.11767771826</v>
      </c>
      <c r="AA34" s="29">
        <f>+Z34*G34*D34</f>
        <v>76970875.074735776</v>
      </c>
      <c r="AC34" s="29">
        <f t="shared" si="8"/>
        <v>159875114.75175154</v>
      </c>
    </row>
    <row r="35" spans="1:29" s="6" customFormat="1" ht="42" customHeight="1" x14ac:dyDescent="0.3">
      <c r="A35" s="75" t="s">
        <v>93</v>
      </c>
      <c r="B35" s="76" t="s">
        <v>94</v>
      </c>
      <c r="C35" s="2" t="s">
        <v>144</v>
      </c>
      <c r="D35" s="79">
        <v>29</v>
      </c>
      <c r="E35" s="127">
        <f>15/D35</f>
        <v>0.51724137931034486</v>
      </c>
      <c r="F35" s="64">
        <v>4</v>
      </c>
      <c r="G35" s="127">
        <f>3+(14/29)</f>
        <v>3.4827586206896552</v>
      </c>
      <c r="H35" s="1">
        <f t="shared" si="43"/>
        <v>8</v>
      </c>
      <c r="I35" s="63"/>
      <c r="J35" s="25">
        <f>+'ANEXO 1 - COTIZACIONES'!N35</f>
        <v>121955.22274900001</v>
      </c>
      <c r="K35" s="63"/>
      <c r="L35" s="25">
        <f>+'ANEXO 2 - HISTORICO'!O35</f>
        <v>109839.96</v>
      </c>
      <c r="M35" s="63"/>
      <c r="N35" s="25">
        <f>AVERAGE(J35,L35)</f>
        <v>115897.59137450001</v>
      </c>
      <c r="O35" s="27">
        <f t="shared" si="44"/>
        <v>22020.542361155003</v>
      </c>
      <c r="P35" s="27">
        <f t="shared" si="45"/>
        <v>137918.13373565502</v>
      </c>
      <c r="Q35" s="29">
        <f>+P35*E35*D35</f>
        <v>2068772.0060348257</v>
      </c>
      <c r="S35" s="25">
        <f t="shared" si="46"/>
        <v>120997.08539497801</v>
      </c>
      <c r="T35" s="27">
        <f t="shared" si="47"/>
        <v>22989.446225045824</v>
      </c>
      <c r="U35" s="27">
        <f t="shared" si="48"/>
        <v>143986.53162002383</v>
      </c>
      <c r="V35" s="29">
        <f>+U35*F35*D35</f>
        <v>16702437.667922765</v>
      </c>
      <c r="X35" s="25">
        <f t="shared" si="49"/>
        <v>124626.99795682736</v>
      </c>
      <c r="Y35" s="27">
        <f t="shared" si="40"/>
        <v>23679.129611797198</v>
      </c>
      <c r="Z35" s="27">
        <f t="shared" si="50"/>
        <v>148306.12756862456</v>
      </c>
      <c r="AA35" s="29">
        <f>+Z35*G35*D35</f>
        <v>14978918.884431083</v>
      </c>
      <c r="AC35" s="29">
        <f t="shared" si="8"/>
        <v>33750128.558388673</v>
      </c>
    </row>
    <row r="36" spans="1:29" s="6" customFormat="1" ht="42" customHeight="1" x14ac:dyDescent="0.3">
      <c r="A36" s="75" t="s">
        <v>95</v>
      </c>
      <c r="B36" s="76" t="s">
        <v>96</v>
      </c>
      <c r="C36" s="2" t="s">
        <v>144</v>
      </c>
      <c r="D36" s="79">
        <v>10</v>
      </c>
      <c r="E36" s="64">
        <f>10/10</f>
        <v>1</v>
      </c>
      <c r="F36" s="64">
        <v>4</v>
      </c>
      <c r="G36" s="64">
        <v>3</v>
      </c>
      <c r="H36" s="1">
        <f t="shared" si="43"/>
        <v>8</v>
      </c>
      <c r="I36" s="63"/>
      <c r="J36" s="25">
        <f>+'ANEXO 1 - COTIZACIONES'!N36</f>
        <v>121955.228208</v>
      </c>
      <c r="K36" s="63"/>
      <c r="L36" s="25">
        <f>+'ANEXO 2 - HISTORICO'!O36</f>
        <v>109839.97</v>
      </c>
      <c r="M36" s="63"/>
      <c r="N36" s="25">
        <f>AVERAGE(J36,L36)</f>
        <v>115897.59910399999</v>
      </c>
      <c r="O36" s="27">
        <f t="shared" si="44"/>
        <v>22020.543829759998</v>
      </c>
      <c r="P36" s="27">
        <f t="shared" si="45"/>
        <v>137918.14293375998</v>
      </c>
      <c r="Q36" s="29">
        <f>+P36*E36*D36</f>
        <v>1379181.4293375998</v>
      </c>
      <c r="S36" s="25">
        <f t="shared" si="46"/>
        <v>120997.093464576</v>
      </c>
      <c r="T36" s="27">
        <f t="shared" si="47"/>
        <v>22989.447758269442</v>
      </c>
      <c r="U36" s="27">
        <f t="shared" si="48"/>
        <v>143986.54122284544</v>
      </c>
      <c r="V36" s="29">
        <f>+U36*F36*D36</f>
        <v>5759461.6489138175</v>
      </c>
      <c r="X36" s="25">
        <f t="shared" si="49"/>
        <v>124627.00626851327</v>
      </c>
      <c r="Y36" s="27">
        <f t="shared" si="40"/>
        <v>23679.131191017521</v>
      </c>
      <c r="Z36" s="27">
        <f t="shared" si="50"/>
        <v>148306.13745953079</v>
      </c>
      <c r="AA36" s="29">
        <f>+Z36*G36*D36</f>
        <v>4449184.1237859232</v>
      </c>
      <c r="AC36" s="29">
        <f t="shared" si="8"/>
        <v>11587827.20203734</v>
      </c>
    </row>
    <row r="37" spans="1:29" s="6" customFormat="1" ht="42" customHeight="1" x14ac:dyDescent="0.3">
      <c r="A37" s="75" t="s">
        <v>97</v>
      </c>
      <c r="B37" s="76" t="s">
        <v>98</v>
      </c>
      <c r="C37" s="2" t="s">
        <v>144</v>
      </c>
      <c r="D37" s="79">
        <v>9</v>
      </c>
      <c r="E37" s="127">
        <f>(1/9)</f>
        <v>0.1111111111111111</v>
      </c>
      <c r="F37" s="64">
        <v>4</v>
      </c>
      <c r="G37" s="127">
        <f>3+(8/9)</f>
        <v>3.8888888888888888</v>
      </c>
      <c r="H37" s="1">
        <f t="shared" si="43"/>
        <v>8</v>
      </c>
      <c r="I37" s="63"/>
      <c r="J37" s="25">
        <f>+'ANEXO 1 - COTIZACIONES'!N37</f>
        <v>121955.239126</v>
      </c>
      <c r="K37" s="63"/>
      <c r="L37" s="25">
        <f>+'ANEXO 2 - HISTORICO'!O37</f>
        <v>109839.99</v>
      </c>
      <c r="M37" s="63"/>
      <c r="N37" s="25">
        <f>AVERAGE(J37,L37)</f>
        <v>115897.61456300001</v>
      </c>
      <c r="O37" s="27">
        <f t="shared" si="44"/>
        <v>22020.546766970001</v>
      </c>
      <c r="P37" s="27">
        <f t="shared" si="45"/>
        <v>137918.16132997</v>
      </c>
      <c r="Q37" s="29">
        <f>+P37*E37*D37</f>
        <v>137918.16132997</v>
      </c>
      <c r="S37" s="25">
        <f t="shared" si="46"/>
        <v>120997.10960377201</v>
      </c>
      <c r="T37" s="27">
        <f t="shared" si="47"/>
        <v>22989.450824716681</v>
      </c>
      <c r="U37" s="27">
        <f t="shared" si="48"/>
        <v>143986.56042848871</v>
      </c>
      <c r="V37" s="29">
        <f>+U37*F37*D37</f>
        <v>5183516.1754255937</v>
      </c>
      <c r="X37" s="25">
        <f t="shared" si="49"/>
        <v>124627.02289188518</v>
      </c>
      <c r="Y37" s="27">
        <f t="shared" si="40"/>
        <v>23679.134349458185</v>
      </c>
      <c r="Z37" s="27">
        <f t="shared" si="50"/>
        <v>148306.15724134338</v>
      </c>
      <c r="AA37" s="29">
        <f>+Z37*G37*D37</f>
        <v>5190715.5034470186</v>
      </c>
      <c r="AC37" s="29">
        <f t="shared" si="8"/>
        <v>10512149.840202581</v>
      </c>
    </row>
    <row r="38" spans="1:29" s="6" customFormat="1" ht="42" customHeight="1" x14ac:dyDescent="0.3">
      <c r="A38" s="77" t="s">
        <v>99</v>
      </c>
      <c r="B38" s="74" t="s">
        <v>100</v>
      </c>
      <c r="C38" s="74"/>
      <c r="D38" s="74"/>
      <c r="E38" s="74"/>
      <c r="F38" s="74"/>
      <c r="G38" s="74"/>
      <c r="H38" s="74"/>
      <c r="I38" s="63"/>
      <c r="J38" s="74"/>
      <c r="K38" s="63"/>
      <c r="L38" s="74"/>
      <c r="M38" s="63"/>
      <c r="N38" s="74"/>
      <c r="O38" s="74"/>
      <c r="P38" s="74"/>
      <c r="Q38" s="74"/>
      <c r="S38" s="74"/>
      <c r="T38" s="74"/>
      <c r="U38" s="74"/>
      <c r="V38" s="74"/>
      <c r="X38" s="74"/>
      <c r="Y38" s="74"/>
      <c r="Z38" s="74"/>
      <c r="AA38" s="74"/>
      <c r="AC38" s="74"/>
    </row>
    <row r="39" spans="1:29" s="6" customFormat="1" ht="42" customHeight="1" x14ac:dyDescent="0.3">
      <c r="A39" s="75" t="s">
        <v>101</v>
      </c>
      <c r="B39" s="78" t="s">
        <v>102</v>
      </c>
      <c r="C39" s="2" t="s">
        <v>144</v>
      </c>
      <c r="D39" s="79">
        <v>7</v>
      </c>
      <c r="E39" s="64">
        <v>0</v>
      </c>
      <c r="F39" s="64">
        <v>4</v>
      </c>
      <c r="G39" s="64">
        <f>3+(7/7)</f>
        <v>4</v>
      </c>
      <c r="H39" s="1">
        <f t="shared" ref="H39:H45" si="51">E39+F39+G39</f>
        <v>8</v>
      </c>
      <c r="I39" s="63"/>
      <c r="J39" s="25">
        <f>+'ANEXO 1 - COTIZACIONES'!N39</f>
        <v>157578.320293</v>
      </c>
      <c r="K39" s="63"/>
      <c r="L39" s="25">
        <f>+'ANEXO 2 - HISTORICO'!O39</f>
        <v>151438.18</v>
      </c>
      <c r="M39" s="63"/>
      <c r="N39" s="25">
        <f t="shared" ref="N39:N45" si="52">AVERAGE(J39,L39)</f>
        <v>154508.25014650001</v>
      </c>
      <c r="O39" s="27">
        <f t="shared" ref="O39:O45" si="53">N39*19%</f>
        <v>29356.567527835003</v>
      </c>
      <c r="P39" s="27">
        <f t="shared" ref="P39:P45" si="54">+O39+N39</f>
        <v>183864.817674335</v>
      </c>
      <c r="Q39" s="29">
        <f t="shared" ref="Q39:Q45" si="55">+P39*E39*D39</f>
        <v>0</v>
      </c>
      <c r="S39" s="25">
        <f t="shared" ref="S39:S45" si="56">N39+(N39*4.4%)</f>
        <v>161306.613152946</v>
      </c>
      <c r="T39" s="27">
        <f t="shared" ref="T39:T45" si="57">S39*19%</f>
        <v>30648.256499059738</v>
      </c>
      <c r="U39" s="27">
        <f t="shared" ref="U39:U45" si="58">+T39+S39</f>
        <v>191954.86965200573</v>
      </c>
      <c r="V39" s="29">
        <f t="shared" ref="V39:V45" si="59">+U39*F39*D39</f>
        <v>5374736.3502561599</v>
      </c>
      <c r="X39" s="25">
        <f t="shared" ref="X39:X45" si="60">S39+(S39*3%)</f>
        <v>166145.81154753437</v>
      </c>
      <c r="Y39" s="27">
        <f t="shared" si="40"/>
        <v>31567.704194031528</v>
      </c>
      <c r="Z39" s="27">
        <f t="shared" ref="Z39:Z45" si="61">+Y39+X39</f>
        <v>197713.51574156591</v>
      </c>
      <c r="AA39" s="29">
        <f t="shared" ref="AA39:AA45" si="62">+Z39*G39*D39</f>
        <v>5535978.4407638451</v>
      </c>
      <c r="AC39" s="29">
        <f t="shared" si="8"/>
        <v>10910714.791020006</v>
      </c>
    </row>
    <row r="40" spans="1:29" s="6" customFormat="1" ht="42" customHeight="1" x14ac:dyDescent="0.3">
      <c r="A40" s="75" t="s">
        <v>103</v>
      </c>
      <c r="B40" s="78" t="s">
        <v>104</v>
      </c>
      <c r="C40" s="2" t="s">
        <v>144</v>
      </c>
      <c r="D40" s="79">
        <v>4</v>
      </c>
      <c r="E40" s="64">
        <v>0</v>
      </c>
      <c r="F40" s="64">
        <v>4</v>
      </c>
      <c r="G40" s="64">
        <f>3+(4/4)</f>
        <v>4</v>
      </c>
      <c r="H40" s="1">
        <f t="shared" si="51"/>
        <v>8</v>
      </c>
      <c r="I40" s="63"/>
      <c r="J40" s="25">
        <f>+'ANEXO 1 - COTIZACIONES'!N40</f>
        <v>135891.372829</v>
      </c>
      <c r="K40" s="63"/>
      <c r="L40" s="25">
        <f>+'ANEXO 2 - HISTORICO'!O40</f>
        <v>107694.1</v>
      </c>
      <c r="M40" s="63"/>
      <c r="N40" s="25">
        <f t="shared" si="52"/>
        <v>121792.7364145</v>
      </c>
      <c r="O40" s="27">
        <f t="shared" si="53"/>
        <v>23140.619918755001</v>
      </c>
      <c r="P40" s="27">
        <f t="shared" si="54"/>
        <v>144933.35633325501</v>
      </c>
      <c r="Q40" s="29">
        <f t="shared" si="55"/>
        <v>0</v>
      </c>
      <c r="S40" s="25">
        <f t="shared" si="56"/>
        <v>127151.61681673801</v>
      </c>
      <c r="T40" s="27">
        <f t="shared" si="57"/>
        <v>24158.807195180223</v>
      </c>
      <c r="U40" s="27">
        <f t="shared" si="58"/>
        <v>151310.42401191822</v>
      </c>
      <c r="V40" s="29">
        <f t="shared" si="59"/>
        <v>2420966.7841906915</v>
      </c>
      <c r="X40" s="25">
        <f t="shared" si="60"/>
        <v>130966.16532124014</v>
      </c>
      <c r="Y40" s="27">
        <f t="shared" si="40"/>
        <v>24883.571411035628</v>
      </c>
      <c r="Z40" s="27">
        <f t="shared" si="61"/>
        <v>155849.73673227578</v>
      </c>
      <c r="AA40" s="29">
        <f t="shared" si="62"/>
        <v>2493595.7877164125</v>
      </c>
      <c r="AC40" s="29">
        <f t="shared" si="8"/>
        <v>4914562.571907104</v>
      </c>
    </row>
    <row r="41" spans="1:29" s="6" customFormat="1" ht="42" customHeight="1" x14ac:dyDescent="0.3">
      <c r="A41" s="75" t="s">
        <v>105</v>
      </c>
      <c r="B41" s="78" t="s">
        <v>106</v>
      </c>
      <c r="C41" s="2" t="s">
        <v>144</v>
      </c>
      <c r="D41" s="79">
        <v>4</v>
      </c>
      <c r="E41" s="64">
        <v>0</v>
      </c>
      <c r="F41" s="64">
        <v>4</v>
      </c>
      <c r="G41" s="64">
        <f>3+(4/4)</f>
        <v>4</v>
      </c>
      <c r="H41" s="1">
        <f t="shared" si="51"/>
        <v>8</v>
      </c>
      <c r="I41" s="63"/>
      <c r="J41" s="25">
        <f>+'ANEXO 1 - COTIZACIONES'!N41</f>
        <v>132050.42042899999</v>
      </c>
      <c r="K41" s="63"/>
      <c r="L41" s="25">
        <f>+'ANEXO 2 - HISTORICO'!O41</f>
        <v>99946.64</v>
      </c>
      <c r="M41" s="63"/>
      <c r="N41" s="25">
        <f t="shared" si="52"/>
        <v>115998.5302145</v>
      </c>
      <c r="O41" s="27">
        <f t="shared" si="53"/>
        <v>22039.720740755001</v>
      </c>
      <c r="P41" s="27">
        <f t="shared" si="54"/>
        <v>138038.250955255</v>
      </c>
      <c r="Q41" s="29">
        <f t="shared" si="55"/>
        <v>0</v>
      </c>
      <c r="S41" s="25">
        <f t="shared" si="56"/>
        <v>121102.465543938</v>
      </c>
      <c r="T41" s="27">
        <f t="shared" si="57"/>
        <v>23009.468453348221</v>
      </c>
      <c r="U41" s="27">
        <f t="shared" si="58"/>
        <v>144111.93399728622</v>
      </c>
      <c r="V41" s="29">
        <f t="shared" si="59"/>
        <v>2305790.9439565795</v>
      </c>
      <c r="X41" s="25">
        <f t="shared" si="60"/>
        <v>124735.53951025615</v>
      </c>
      <c r="Y41" s="27">
        <f t="shared" si="40"/>
        <v>23699.752506948669</v>
      </c>
      <c r="Z41" s="27">
        <f t="shared" si="61"/>
        <v>148435.2920172048</v>
      </c>
      <c r="AA41" s="29">
        <f t="shared" si="62"/>
        <v>2374964.6722752769</v>
      </c>
      <c r="AC41" s="29">
        <f t="shared" si="8"/>
        <v>4680755.6162318569</v>
      </c>
    </row>
    <row r="42" spans="1:29" s="6" customFormat="1" ht="42" customHeight="1" x14ac:dyDescent="0.3">
      <c r="A42" s="75" t="s">
        <v>107</v>
      </c>
      <c r="B42" s="78" t="s">
        <v>108</v>
      </c>
      <c r="C42" s="2" t="s">
        <v>144</v>
      </c>
      <c r="D42" s="79">
        <v>9</v>
      </c>
      <c r="E42" s="64">
        <v>0</v>
      </c>
      <c r="F42" s="64">
        <v>4</v>
      </c>
      <c r="G42" s="64">
        <f>3+(9/9)</f>
        <v>4</v>
      </c>
      <c r="H42" s="1">
        <f t="shared" si="51"/>
        <v>8</v>
      </c>
      <c r="I42" s="63"/>
      <c r="J42" s="25">
        <f>+'ANEXO 1 - COTIZACIONES'!N42</f>
        <v>158184.90253700002</v>
      </c>
      <c r="K42" s="63"/>
      <c r="L42" s="25">
        <f>+'ANEXO 2 - HISTORICO'!O42</f>
        <v>152661.70000000001</v>
      </c>
      <c r="M42" s="63"/>
      <c r="N42" s="25">
        <f t="shared" si="52"/>
        <v>155423.30126850001</v>
      </c>
      <c r="O42" s="27">
        <f t="shared" si="53"/>
        <v>29530.427241015004</v>
      </c>
      <c r="P42" s="27">
        <f t="shared" si="54"/>
        <v>184953.72850951503</v>
      </c>
      <c r="Q42" s="29">
        <f t="shared" si="55"/>
        <v>0</v>
      </c>
      <c r="S42" s="25">
        <f t="shared" si="56"/>
        <v>162261.92652431401</v>
      </c>
      <c r="T42" s="27">
        <f t="shared" si="57"/>
        <v>30829.766039619662</v>
      </c>
      <c r="U42" s="27">
        <f t="shared" si="58"/>
        <v>193091.69256393367</v>
      </c>
      <c r="V42" s="29">
        <f t="shared" si="59"/>
        <v>6951300.9323016126</v>
      </c>
      <c r="X42" s="25">
        <f t="shared" si="60"/>
        <v>167129.78432004343</v>
      </c>
      <c r="Y42" s="27">
        <f t="shared" si="40"/>
        <v>31754.659020808253</v>
      </c>
      <c r="Z42" s="27">
        <f t="shared" si="61"/>
        <v>198884.44334085169</v>
      </c>
      <c r="AA42" s="29">
        <f t="shared" si="62"/>
        <v>7159839.9602706609</v>
      </c>
      <c r="AC42" s="29">
        <f t="shared" si="8"/>
        <v>14111140.892572273</v>
      </c>
    </row>
    <row r="43" spans="1:29" s="6" customFormat="1" ht="42" customHeight="1" x14ac:dyDescent="0.3">
      <c r="A43" s="75" t="s">
        <v>109</v>
      </c>
      <c r="B43" s="78" t="s">
        <v>110</v>
      </c>
      <c r="C43" s="2" t="s">
        <v>144</v>
      </c>
      <c r="D43" s="79">
        <v>3</v>
      </c>
      <c r="E43" s="64">
        <v>0</v>
      </c>
      <c r="F43" s="64">
        <v>4</v>
      </c>
      <c r="G43" s="64">
        <f>3+(3/3)</f>
        <v>4</v>
      </c>
      <c r="H43" s="1">
        <f t="shared" si="51"/>
        <v>8</v>
      </c>
      <c r="I43" s="63"/>
      <c r="J43" s="25">
        <f>+'ANEXO 1 - COTIZACIONES'!N43</f>
        <v>157578.39126</v>
      </c>
      <c r="K43" s="63"/>
      <c r="L43" s="25">
        <f>+'ANEXO 2 - HISTORICO'!O43</f>
        <v>151438.32</v>
      </c>
      <c r="M43" s="63"/>
      <c r="N43" s="25">
        <f t="shared" si="52"/>
        <v>154508.35563000001</v>
      </c>
      <c r="O43" s="27">
        <f t="shared" si="53"/>
        <v>29356.587569700001</v>
      </c>
      <c r="P43" s="27">
        <f t="shared" si="54"/>
        <v>183864.94319970001</v>
      </c>
      <c r="Q43" s="29">
        <f t="shared" si="55"/>
        <v>0</v>
      </c>
      <c r="S43" s="25">
        <f t="shared" si="56"/>
        <v>161306.72327772001</v>
      </c>
      <c r="T43" s="27">
        <f t="shared" si="57"/>
        <v>30648.277422766801</v>
      </c>
      <c r="U43" s="27">
        <f t="shared" si="58"/>
        <v>191955.00070048682</v>
      </c>
      <c r="V43" s="29">
        <f t="shared" si="59"/>
        <v>2303460.0084058419</v>
      </c>
      <c r="X43" s="25">
        <f t="shared" si="60"/>
        <v>166145.92497605161</v>
      </c>
      <c r="Y43" s="27">
        <f t="shared" si="40"/>
        <v>31567.725745449807</v>
      </c>
      <c r="Z43" s="27">
        <f t="shared" si="61"/>
        <v>197713.65072150141</v>
      </c>
      <c r="AA43" s="29">
        <f t="shared" si="62"/>
        <v>2372563.8086580168</v>
      </c>
      <c r="AC43" s="29">
        <f t="shared" si="8"/>
        <v>4676023.8170638587</v>
      </c>
    </row>
    <row r="44" spans="1:29" s="6" customFormat="1" ht="42" customHeight="1" x14ac:dyDescent="0.3">
      <c r="A44" s="75" t="s">
        <v>111</v>
      </c>
      <c r="B44" s="78" t="s">
        <v>112</v>
      </c>
      <c r="C44" s="2" t="s">
        <v>144</v>
      </c>
      <c r="D44" s="79">
        <v>6</v>
      </c>
      <c r="E44" s="64">
        <v>0</v>
      </c>
      <c r="F44" s="64">
        <v>4</v>
      </c>
      <c r="G44" s="64">
        <f>3+(6/6)</f>
        <v>4</v>
      </c>
      <c r="H44" s="1">
        <f t="shared" si="51"/>
        <v>8</v>
      </c>
      <c r="I44" s="63"/>
      <c r="J44" s="25">
        <f>+'ANEXO 1 - COTIZACIONES'!N44</f>
        <v>138379.885274</v>
      </c>
      <c r="K44" s="63"/>
      <c r="L44" s="25">
        <f>+'ANEXO 2 - HISTORICO'!O44</f>
        <v>112713.60000000001</v>
      </c>
      <c r="M44" s="63"/>
      <c r="N44" s="25">
        <f t="shared" si="52"/>
        <v>125546.742637</v>
      </c>
      <c r="O44" s="27">
        <f t="shared" si="53"/>
        <v>23853.881101030001</v>
      </c>
      <c r="P44" s="27">
        <f t="shared" si="54"/>
        <v>149400.62373803</v>
      </c>
      <c r="Q44" s="29">
        <f t="shared" si="55"/>
        <v>0</v>
      </c>
      <c r="S44" s="25">
        <f t="shared" si="56"/>
        <v>131070.79931302801</v>
      </c>
      <c r="T44" s="27">
        <f t="shared" si="57"/>
        <v>24903.451869475321</v>
      </c>
      <c r="U44" s="27">
        <f t="shared" si="58"/>
        <v>155974.25118250333</v>
      </c>
      <c r="V44" s="29">
        <f t="shared" si="59"/>
        <v>3743382.0283800801</v>
      </c>
      <c r="X44" s="25">
        <f t="shared" si="60"/>
        <v>135002.92329241885</v>
      </c>
      <c r="Y44" s="27">
        <f t="shared" si="40"/>
        <v>25650.555425559582</v>
      </c>
      <c r="Z44" s="27">
        <f t="shared" si="61"/>
        <v>160653.47871797843</v>
      </c>
      <c r="AA44" s="29">
        <f t="shared" si="62"/>
        <v>3855683.4892314821</v>
      </c>
      <c r="AC44" s="29">
        <f t="shared" si="8"/>
        <v>7599065.5176115623</v>
      </c>
    </row>
    <row r="45" spans="1:29" s="6" customFormat="1" ht="42" customHeight="1" x14ac:dyDescent="0.3">
      <c r="A45" s="75" t="s">
        <v>113</v>
      </c>
      <c r="B45" s="78" t="s">
        <v>114</v>
      </c>
      <c r="C45" s="2" t="s">
        <v>144</v>
      </c>
      <c r="D45" s="79">
        <v>5</v>
      </c>
      <c r="E45" s="64">
        <v>0</v>
      </c>
      <c r="F45" s="64">
        <v>4</v>
      </c>
      <c r="G45" s="64">
        <f>3+(5/5)</f>
        <v>4</v>
      </c>
      <c r="H45" s="1">
        <f t="shared" si="51"/>
        <v>8</v>
      </c>
      <c r="I45" s="63"/>
      <c r="J45" s="25">
        <f>+'ANEXO 1 - COTIZACIONES'!N45</f>
        <v>151039.169799</v>
      </c>
      <c r="K45" s="63"/>
      <c r="L45" s="25">
        <f>+'ANEXO 2 - HISTORICO'!O45</f>
        <v>138248.26</v>
      </c>
      <c r="M45" s="63"/>
      <c r="N45" s="25">
        <f t="shared" si="52"/>
        <v>144643.71489950002</v>
      </c>
      <c r="O45" s="27">
        <f t="shared" si="53"/>
        <v>27482.305830905003</v>
      </c>
      <c r="P45" s="27">
        <f t="shared" si="54"/>
        <v>172126.02073040503</v>
      </c>
      <c r="Q45" s="29">
        <f t="shared" si="55"/>
        <v>0</v>
      </c>
      <c r="S45" s="25">
        <f t="shared" si="56"/>
        <v>151008.03835507802</v>
      </c>
      <c r="T45" s="27">
        <f t="shared" si="57"/>
        <v>28691.527287464825</v>
      </c>
      <c r="U45" s="27">
        <f t="shared" si="58"/>
        <v>179699.56564254285</v>
      </c>
      <c r="V45" s="29">
        <f t="shared" si="59"/>
        <v>3593991.3128508572</v>
      </c>
      <c r="X45" s="25">
        <f t="shared" si="60"/>
        <v>155538.27950573037</v>
      </c>
      <c r="Y45" s="27">
        <f t="shared" si="40"/>
        <v>29552.273106088771</v>
      </c>
      <c r="Z45" s="27">
        <f t="shared" si="61"/>
        <v>185090.55261181915</v>
      </c>
      <c r="AA45" s="29">
        <f t="shared" si="62"/>
        <v>3701811.0522363828</v>
      </c>
      <c r="AC45" s="29">
        <f t="shared" si="8"/>
        <v>7295802.36508724</v>
      </c>
    </row>
    <row r="46" spans="1:29" s="6" customFormat="1" ht="42" customHeight="1" x14ac:dyDescent="0.3">
      <c r="A46" s="77" t="s">
        <v>115</v>
      </c>
      <c r="B46" s="74" t="s">
        <v>116</v>
      </c>
      <c r="C46" s="74"/>
      <c r="D46" s="74"/>
      <c r="E46" s="74"/>
      <c r="F46" s="74"/>
      <c r="G46" s="74"/>
      <c r="H46" s="74"/>
      <c r="I46" s="63"/>
      <c r="J46" s="74"/>
      <c r="K46" s="63"/>
      <c r="L46" s="74"/>
      <c r="M46" s="63"/>
      <c r="N46" s="74"/>
      <c r="O46" s="74"/>
      <c r="P46" s="74"/>
      <c r="Q46" s="74"/>
      <c r="S46" s="74"/>
      <c r="T46" s="74"/>
      <c r="U46" s="74"/>
      <c r="V46" s="74"/>
      <c r="X46" s="74"/>
      <c r="Y46" s="74"/>
      <c r="Z46" s="74"/>
      <c r="AA46" s="74"/>
      <c r="AC46" s="74"/>
    </row>
    <row r="47" spans="1:29" s="6" customFormat="1" ht="42" customHeight="1" x14ac:dyDescent="0.3">
      <c r="A47" s="75" t="s">
        <v>117</v>
      </c>
      <c r="B47" s="76" t="s">
        <v>118</v>
      </c>
      <c r="C47" s="2" t="s">
        <v>179</v>
      </c>
      <c r="D47" s="79">
        <v>1</v>
      </c>
      <c r="E47" s="64">
        <v>0</v>
      </c>
      <c r="F47" s="64">
        <v>4</v>
      </c>
      <c r="G47" s="64">
        <v>4</v>
      </c>
      <c r="H47" s="1">
        <f t="shared" ref="H47:H48" si="63">E47+F47+G47</f>
        <v>8</v>
      </c>
      <c r="I47" s="63"/>
      <c r="J47" s="25">
        <f>+'ANEXO 1 - COTIZACIONES'!N47</f>
        <v>542548.17210299999</v>
      </c>
      <c r="K47" s="63"/>
      <c r="L47" s="25">
        <f>+'ANEXO 2 - HISTORICO'!O47</f>
        <v>509407.18</v>
      </c>
      <c r="M47" s="63"/>
      <c r="N47" s="25">
        <f>AVERAGE(J47,L47)</f>
        <v>525977.67605150002</v>
      </c>
      <c r="O47" s="27">
        <f t="shared" ref="O47:O48" si="64">N47*19%</f>
        <v>99935.758449785004</v>
      </c>
      <c r="P47" s="27">
        <f t="shared" ref="P47:P48" si="65">+O47+N47</f>
        <v>625913.43450128497</v>
      </c>
      <c r="Q47" s="29">
        <f>+P47*E47*D47</f>
        <v>0</v>
      </c>
      <c r="S47" s="25">
        <f t="shared" ref="S47:S48" si="66">N47+(N47*4.4%)</f>
        <v>549120.693797766</v>
      </c>
      <c r="T47" s="27">
        <f t="shared" ref="T47:T48" si="67">S47*19%</f>
        <v>104332.93182157553</v>
      </c>
      <c r="U47" s="27">
        <f t="shared" ref="U47:U48" si="68">+T47+S47</f>
        <v>653453.6256193415</v>
      </c>
      <c r="V47" s="29">
        <f>+U47*F47*D47</f>
        <v>2613814.502477366</v>
      </c>
      <c r="X47" s="25">
        <f t="shared" ref="X47:X48" si="69">S47+(S47*3%)</f>
        <v>565594.31461169897</v>
      </c>
      <c r="Y47" s="27">
        <f t="shared" si="40"/>
        <v>107462.9197762228</v>
      </c>
      <c r="Z47" s="27">
        <f t="shared" ref="Z47:Z48" si="70">+Y47+X47</f>
        <v>673057.23438792175</v>
      </c>
      <c r="AA47" s="29">
        <f>+Z47*G47*D47</f>
        <v>2692228.937551687</v>
      </c>
      <c r="AC47" s="29">
        <f t="shared" si="8"/>
        <v>5306043.440029053</v>
      </c>
    </row>
    <row r="48" spans="1:29" s="6" customFormat="1" ht="42" customHeight="1" x14ac:dyDescent="0.3">
      <c r="A48" s="75" t="s">
        <v>119</v>
      </c>
      <c r="B48" s="76" t="s">
        <v>120</v>
      </c>
      <c r="C48" s="2" t="s">
        <v>179</v>
      </c>
      <c r="D48" s="79">
        <v>1</v>
      </c>
      <c r="E48" s="64">
        <v>0</v>
      </c>
      <c r="F48" s="64">
        <v>4</v>
      </c>
      <c r="G48" s="64">
        <v>4</v>
      </c>
      <c r="H48" s="1">
        <f t="shared" si="63"/>
        <v>8</v>
      </c>
      <c r="I48" s="63"/>
      <c r="J48" s="25">
        <f>+'ANEXO 1 - COTIZACIONES'!N48</f>
        <v>833035.53346100007</v>
      </c>
      <c r="K48" s="63"/>
      <c r="L48" s="25">
        <f>+'ANEXO 2 - HISTORICO'!O48</f>
        <v>772609.24</v>
      </c>
      <c r="M48" s="63"/>
      <c r="N48" s="25">
        <f>AVERAGE(J48,L48)</f>
        <v>802822.38673050003</v>
      </c>
      <c r="O48" s="27">
        <f t="shared" si="64"/>
        <v>152536.253478795</v>
      </c>
      <c r="P48" s="27">
        <f t="shared" si="65"/>
        <v>955358.64020929509</v>
      </c>
      <c r="Q48" s="29">
        <f>+P48*E48*D48</f>
        <v>0</v>
      </c>
      <c r="S48" s="25">
        <f t="shared" si="66"/>
        <v>838146.571746642</v>
      </c>
      <c r="T48" s="27">
        <f t="shared" si="67"/>
        <v>159247.84863186197</v>
      </c>
      <c r="U48" s="27">
        <f t="shared" si="68"/>
        <v>997394.42037850397</v>
      </c>
      <c r="V48" s="29">
        <f>+U48*F48*D48</f>
        <v>3989577.6815140159</v>
      </c>
      <c r="X48" s="25">
        <f t="shared" si="69"/>
        <v>863290.9688990413</v>
      </c>
      <c r="Y48" s="27">
        <f t="shared" si="40"/>
        <v>164025.28409081785</v>
      </c>
      <c r="Z48" s="27">
        <f t="shared" si="70"/>
        <v>1027316.2529898591</v>
      </c>
      <c r="AA48" s="29">
        <f>+Z48*G48*D48</f>
        <v>4109265.0119594363</v>
      </c>
      <c r="AC48" s="29">
        <f t="shared" si="8"/>
        <v>8098842.6934734527</v>
      </c>
    </row>
    <row r="49" spans="1:29" s="6" customFormat="1" ht="42" customHeight="1" x14ac:dyDescent="0.3">
      <c r="A49" s="73">
        <v>2</v>
      </c>
      <c r="B49" s="74" t="s">
        <v>121</v>
      </c>
      <c r="C49" s="74"/>
      <c r="D49" s="74"/>
      <c r="E49" s="74"/>
      <c r="F49" s="74"/>
      <c r="G49" s="74"/>
      <c r="H49" s="74"/>
      <c r="I49" s="63"/>
      <c r="J49" s="74"/>
      <c r="K49" s="63"/>
      <c r="L49" s="74"/>
      <c r="M49" s="63"/>
      <c r="N49" s="74"/>
      <c r="O49" s="74"/>
      <c r="P49" s="74"/>
      <c r="Q49" s="74"/>
      <c r="S49" s="74"/>
      <c r="T49" s="74"/>
      <c r="U49" s="74"/>
      <c r="V49" s="74"/>
      <c r="X49" s="74"/>
      <c r="Y49" s="74"/>
      <c r="Z49" s="74"/>
      <c r="AA49" s="74"/>
      <c r="AC49" s="74"/>
    </row>
    <row r="50" spans="1:29" s="6" customFormat="1" ht="42" customHeight="1" x14ac:dyDescent="0.3">
      <c r="A50" s="73" t="s">
        <v>122</v>
      </c>
      <c r="B50" s="74" t="s">
        <v>123</v>
      </c>
      <c r="C50" s="74"/>
      <c r="D50" s="74"/>
      <c r="E50" s="74"/>
      <c r="F50" s="74"/>
      <c r="G50" s="74"/>
      <c r="H50" s="74"/>
      <c r="I50" s="63"/>
      <c r="J50" s="74"/>
      <c r="K50" s="63"/>
      <c r="L50" s="74"/>
      <c r="M50" s="63"/>
      <c r="N50" s="74"/>
      <c r="O50" s="74"/>
      <c r="P50" s="74"/>
      <c r="Q50" s="74"/>
      <c r="S50" s="74"/>
      <c r="T50" s="74"/>
      <c r="U50" s="74"/>
      <c r="V50" s="74"/>
      <c r="X50" s="74"/>
      <c r="Y50" s="74"/>
      <c r="Z50" s="74"/>
      <c r="AA50" s="74"/>
      <c r="AC50" s="74"/>
    </row>
    <row r="51" spans="1:29" s="6" customFormat="1" ht="42" customHeight="1" x14ac:dyDescent="0.3">
      <c r="A51" s="75" t="s">
        <v>124</v>
      </c>
      <c r="B51" s="76" t="s">
        <v>125</v>
      </c>
      <c r="C51" s="2" t="s">
        <v>144</v>
      </c>
      <c r="D51" s="79">
        <v>1</v>
      </c>
      <c r="E51" s="64">
        <v>0</v>
      </c>
      <c r="F51" s="64">
        <v>4</v>
      </c>
      <c r="G51" s="64">
        <f>3+(1/1)</f>
        <v>4</v>
      </c>
      <c r="H51" s="1">
        <f t="shared" ref="H51:H52" si="71">E51+F51+G51</f>
        <v>8</v>
      </c>
      <c r="I51" s="63"/>
      <c r="J51" s="25">
        <f>+'ANEXO 1 - COTIZACIONES'!N51</f>
        <v>312500</v>
      </c>
      <c r="K51" s="63"/>
      <c r="L51" s="25">
        <f>+'ANEXO 2 - HISTORICO'!O51</f>
        <v>277907.36</v>
      </c>
      <c r="M51" s="63"/>
      <c r="N51" s="25">
        <f>AVERAGE(J51,L51)</f>
        <v>295203.68</v>
      </c>
      <c r="O51" s="27">
        <f t="shared" ref="O51:O52" si="72">N51*19%</f>
        <v>56088.699200000003</v>
      </c>
      <c r="P51" s="27">
        <f t="shared" ref="P51" si="73">+O51+N51</f>
        <v>351292.37919999997</v>
      </c>
      <c r="Q51" s="29">
        <f>+P51*E51*D51</f>
        <v>0</v>
      </c>
      <c r="S51" s="25">
        <f t="shared" ref="S51:S52" si="74">N51+(N51*4.4%)</f>
        <v>308192.64191999997</v>
      </c>
      <c r="T51" s="27">
        <f t="shared" ref="T51:T52" si="75">S51*19%</f>
        <v>58556.601964799993</v>
      </c>
      <c r="U51" s="27">
        <f t="shared" ref="U51:U52" si="76">+T51+S51</f>
        <v>366749.24388479994</v>
      </c>
      <c r="V51" s="29">
        <f>+U51*F51*D51</f>
        <v>1466996.9755391998</v>
      </c>
      <c r="X51" s="25">
        <f t="shared" ref="X51:X52" si="77">S51+(S51*3%)</f>
        <v>317438.42117759999</v>
      </c>
      <c r="Y51" s="27">
        <f t="shared" ref="Y51:Y52" si="78">X51*19%</f>
        <v>60313.300023743999</v>
      </c>
      <c r="Z51" s="27">
        <f t="shared" ref="Z51:Z52" si="79">+Y51+X51</f>
        <v>377751.72120134399</v>
      </c>
      <c r="AA51" s="29">
        <f>+Z51*G51*D51</f>
        <v>1511006.8848053759</v>
      </c>
      <c r="AC51" s="29">
        <f t="shared" ref="AC51:AC52" si="80">+AA51+V51+Q51</f>
        <v>2978003.8603445757</v>
      </c>
    </row>
    <row r="52" spans="1:29" s="6" customFormat="1" ht="42" customHeight="1" x14ac:dyDescent="0.3">
      <c r="A52" s="75" t="s">
        <v>126</v>
      </c>
      <c r="B52" s="76" t="s">
        <v>127</v>
      </c>
      <c r="C52" s="2" t="s">
        <v>144</v>
      </c>
      <c r="D52" s="79">
        <v>1</v>
      </c>
      <c r="E52" s="64">
        <v>0</v>
      </c>
      <c r="F52" s="64">
        <v>4</v>
      </c>
      <c r="G52" s="64">
        <f>3+(1/1)</f>
        <v>4</v>
      </c>
      <c r="H52" s="1">
        <f t="shared" si="71"/>
        <v>8</v>
      </c>
      <c r="I52" s="63"/>
      <c r="J52" s="25">
        <f>+'ANEXO 1 - COTIZACIONES'!N52</f>
        <v>312500</v>
      </c>
      <c r="K52" s="63"/>
      <c r="L52" s="25">
        <f>+'ANEXO 2 - HISTORICO'!O52</f>
        <v>277907.36</v>
      </c>
      <c r="M52" s="63"/>
      <c r="N52" s="25">
        <f>AVERAGE(J52,L52)</f>
        <v>295203.68</v>
      </c>
      <c r="O52" s="27">
        <f t="shared" si="72"/>
        <v>56088.699200000003</v>
      </c>
      <c r="P52" s="27">
        <f t="shared" ref="P52" si="81">+O52+N52</f>
        <v>351292.37919999997</v>
      </c>
      <c r="Q52" s="29">
        <f>+P52*E52*D52</f>
        <v>0</v>
      </c>
      <c r="S52" s="25">
        <f t="shared" si="74"/>
        <v>308192.64191999997</v>
      </c>
      <c r="T52" s="27">
        <f t="shared" si="75"/>
        <v>58556.601964799993</v>
      </c>
      <c r="U52" s="27">
        <f t="shared" si="76"/>
        <v>366749.24388479994</v>
      </c>
      <c r="V52" s="29">
        <f>+U52*F52*D52</f>
        <v>1466996.9755391998</v>
      </c>
      <c r="X52" s="25">
        <f t="shared" si="77"/>
        <v>317438.42117759999</v>
      </c>
      <c r="Y52" s="27">
        <f t="shared" si="78"/>
        <v>60313.300023743999</v>
      </c>
      <c r="Z52" s="27">
        <f t="shared" si="79"/>
        <v>377751.72120134399</v>
      </c>
      <c r="AA52" s="29">
        <f>+Z52*G52*D52</f>
        <v>1511006.8848053759</v>
      </c>
      <c r="AC52" s="29">
        <f t="shared" si="80"/>
        <v>2978003.8603445757</v>
      </c>
    </row>
    <row r="53" spans="1:29" s="6" customFormat="1" ht="42" customHeight="1" x14ac:dyDescent="0.3">
      <c r="A53" s="77" t="s">
        <v>128</v>
      </c>
      <c r="B53" s="74" t="s">
        <v>129</v>
      </c>
      <c r="C53" s="74"/>
      <c r="D53" s="74"/>
      <c r="E53" s="74"/>
      <c r="F53" s="74"/>
      <c r="G53" s="74"/>
      <c r="H53" s="74"/>
      <c r="I53" s="63"/>
      <c r="J53" s="74"/>
      <c r="K53" s="63"/>
      <c r="L53" s="74"/>
      <c r="M53" s="63"/>
      <c r="N53" s="74"/>
      <c r="O53" s="74"/>
      <c r="P53" s="74"/>
      <c r="Q53" s="74"/>
      <c r="S53" s="74"/>
      <c r="T53" s="74"/>
      <c r="U53" s="74"/>
      <c r="V53" s="74"/>
      <c r="X53" s="74"/>
      <c r="Y53" s="74"/>
      <c r="Z53" s="74"/>
      <c r="AA53" s="74"/>
      <c r="AC53" s="74"/>
    </row>
    <row r="54" spans="1:29" s="6" customFormat="1" ht="42" customHeight="1" x14ac:dyDescent="0.3">
      <c r="A54" s="75" t="s">
        <v>130</v>
      </c>
      <c r="B54" s="76" t="s">
        <v>131</v>
      </c>
      <c r="C54" s="2" t="s">
        <v>144</v>
      </c>
      <c r="D54" s="79">
        <v>4</v>
      </c>
      <c r="E54" s="64">
        <v>0</v>
      </c>
      <c r="F54" s="64">
        <v>4</v>
      </c>
      <c r="G54" s="64">
        <f>3+(4/4)</f>
        <v>4</v>
      </c>
      <c r="H54" s="1">
        <f>E54+F54+G54</f>
        <v>8</v>
      </c>
      <c r="I54" s="63"/>
      <c r="J54" s="25">
        <f>+'ANEXO 1 - COTIZACIONES'!N54</f>
        <v>204379.40088500001</v>
      </c>
      <c r="K54" s="63"/>
      <c r="L54" s="25">
        <f>+'ANEXO 2 - HISTORICO'!O54</f>
        <v>227831.81</v>
      </c>
      <c r="M54" s="63"/>
      <c r="N54" s="25">
        <f>AVERAGE(J54,L54)</f>
        <v>216105.6054425</v>
      </c>
      <c r="O54" s="27">
        <f>N54*19%</f>
        <v>41060.065034075</v>
      </c>
      <c r="P54" s="27">
        <f t="shared" ref="P54" si="82">+O54+N54</f>
        <v>257165.670476575</v>
      </c>
      <c r="Q54" s="29">
        <f>+P54*E54*D54</f>
        <v>0</v>
      </c>
      <c r="S54" s="25">
        <f>N54+(N54*4.4%)</f>
        <v>225614.25208197001</v>
      </c>
      <c r="T54" s="27">
        <f>S54*19%</f>
        <v>42866.707895574305</v>
      </c>
      <c r="U54" s="27">
        <f t="shared" ref="U54" si="83">+T54+S54</f>
        <v>268480.95997754432</v>
      </c>
      <c r="V54" s="29">
        <f>+U54*F54*D54</f>
        <v>4295695.3596407091</v>
      </c>
      <c r="X54" s="25">
        <f t="shared" ref="X54" si="84">S54+(S54*3%)</f>
        <v>232382.67964442912</v>
      </c>
      <c r="Y54" s="27">
        <f t="shared" ref="Y54" si="85">X54*19%</f>
        <v>44152.709132441538</v>
      </c>
      <c r="Z54" s="27">
        <f t="shared" ref="Z54" si="86">+Y54+X54</f>
        <v>276535.38877687068</v>
      </c>
      <c r="AA54" s="29">
        <f>+Z54*G54*D54</f>
        <v>4424566.2204299308</v>
      </c>
      <c r="AC54" s="29">
        <f t="shared" ref="AC54" si="87">+AA54+V54+Q54</f>
        <v>8720261.5800706409</v>
      </c>
    </row>
    <row r="55" spans="1:29" s="6" customFormat="1" ht="42" customHeight="1" x14ac:dyDescent="0.3">
      <c r="A55" s="77" t="s">
        <v>132</v>
      </c>
      <c r="B55" s="74" t="s">
        <v>133</v>
      </c>
      <c r="C55" s="74"/>
      <c r="D55" s="74"/>
      <c r="E55" s="74"/>
      <c r="F55" s="74"/>
      <c r="G55" s="74"/>
      <c r="H55" s="74"/>
      <c r="I55" s="63"/>
      <c r="J55" s="74"/>
      <c r="K55" s="63"/>
      <c r="L55" s="74"/>
      <c r="M55" s="63"/>
      <c r="N55" s="74"/>
      <c r="O55" s="74"/>
      <c r="P55" s="74"/>
      <c r="Q55" s="74"/>
      <c r="S55" s="74"/>
      <c r="T55" s="74"/>
      <c r="U55" s="74"/>
      <c r="V55" s="74"/>
      <c r="X55" s="74"/>
      <c r="Y55" s="74"/>
      <c r="Z55" s="74"/>
      <c r="AA55" s="74"/>
      <c r="AC55" s="74"/>
    </row>
    <row r="56" spans="1:29" s="6" customFormat="1" ht="42" customHeight="1" x14ac:dyDescent="0.3">
      <c r="A56" s="75" t="s">
        <v>134</v>
      </c>
      <c r="B56" s="76" t="s">
        <v>135</v>
      </c>
      <c r="C56" s="2" t="s">
        <v>144</v>
      </c>
      <c r="D56" s="79">
        <v>18</v>
      </c>
      <c r="E56" s="64">
        <v>0</v>
      </c>
      <c r="F56" s="64">
        <v>4</v>
      </c>
      <c r="G56" s="64">
        <f>3+(18/18)</f>
        <v>4</v>
      </c>
      <c r="H56" s="1">
        <f t="shared" ref="H56:H58" si="88">E56+F56+G56</f>
        <v>8</v>
      </c>
      <c r="I56" s="63"/>
      <c r="J56" s="25">
        <f>+'ANEXO 1 - COTIZACIONES'!N56</f>
        <v>129455.228208</v>
      </c>
      <c r="K56" s="63"/>
      <c r="L56" s="25">
        <f>+'ANEXO 2 - HISTORICO'!O56</f>
        <v>172775.9</v>
      </c>
      <c r="M56" s="63"/>
      <c r="N56" s="25">
        <f>AVERAGE(J56,L56)</f>
        <v>151115.56410399999</v>
      </c>
      <c r="O56" s="27">
        <f t="shared" ref="O56:O58" si="89">N56*19%</f>
        <v>28711.95717976</v>
      </c>
      <c r="P56" s="27">
        <f t="shared" ref="P56:P58" si="90">+O56+N56</f>
        <v>179827.52128376</v>
      </c>
      <c r="Q56" s="29">
        <f>+P56*E56*D56</f>
        <v>0</v>
      </c>
      <c r="S56" s="25">
        <f t="shared" ref="S56:S58" si="91">N56+(N56*4.4%)</f>
        <v>157764.648924576</v>
      </c>
      <c r="T56" s="27">
        <f t="shared" ref="T56:T58" si="92">S56*19%</f>
        <v>29975.28329566944</v>
      </c>
      <c r="U56" s="27">
        <f t="shared" ref="U56:U58" si="93">+T56+S56</f>
        <v>187739.93222024545</v>
      </c>
      <c r="V56" s="29">
        <f>+U56*F56*D56</f>
        <v>13517275.119857673</v>
      </c>
      <c r="X56" s="25">
        <f t="shared" ref="X56:X58" si="94">S56+(S56*3%)</f>
        <v>162497.58839231328</v>
      </c>
      <c r="Y56" s="27">
        <f t="shared" ref="Y56:Y58" si="95">X56*19%</f>
        <v>30874.541794539524</v>
      </c>
      <c r="Z56" s="27">
        <f t="shared" ref="Z56:Z58" si="96">+Y56+X56</f>
        <v>193372.1301868528</v>
      </c>
      <c r="AA56" s="29">
        <f>+Z56*G56*D56</f>
        <v>13922793.373453401</v>
      </c>
      <c r="AC56" s="29">
        <f t="shared" ref="AC56:AC58" si="97">+AA56+V56+Q56</f>
        <v>27440068.493311074</v>
      </c>
    </row>
    <row r="57" spans="1:29" s="6" customFormat="1" ht="42" customHeight="1" x14ac:dyDescent="0.3">
      <c r="A57" s="75" t="s">
        <v>136</v>
      </c>
      <c r="B57" s="76" t="s">
        <v>137</v>
      </c>
      <c r="C57" s="2" t="s">
        <v>144</v>
      </c>
      <c r="D57" s="79">
        <v>1</v>
      </c>
      <c r="E57" s="64">
        <v>0</v>
      </c>
      <c r="F57" s="64">
        <v>4</v>
      </c>
      <c r="G57" s="64">
        <f>3+(1/1)</f>
        <v>4</v>
      </c>
      <c r="H57" s="1">
        <f t="shared" si="88"/>
        <v>8</v>
      </c>
      <c r="I57" s="63"/>
      <c r="J57" s="25">
        <f>+'ANEXO 1 - COTIZACIONES'!N57</f>
        <v>129455.228208</v>
      </c>
      <c r="K57" s="63"/>
      <c r="L57" s="25">
        <f>+'ANEXO 2 - HISTORICO'!O57</f>
        <v>172775.9</v>
      </c>
      <c r="M57" s="63"/>
      <c r="N57" s="25">
        <f>AVERAGE(J57,L57)</f>
        <v>151115.56410399999</v>
      </c>
      <c r="O57" s="27">
        <f t="shared" si="89"/>
        <v>28711.95717976</v>
      </c>
      <c r="P57" s="27">
        <f t="shared" si="90"/>
        <v>179827.52128376</v>
      </c>
      <c r="Q57" s="29">
        <f>+P57*E57*D57</f>
        <v>0</v>
      </c>
      <c r="S57" s="25">
        <f t="shared" si="91"/>
        <v>157764.648924576</v>
      </c>
      <c r="T57" s="27">
        <f t="shared" si="92"/>
        <v>29975.28329566944</v>
      </c>
      <c r="U57" s="27">
        <f t="shared" si="93"/>
        <v>187739.93222024545</v>
      </c>
      <c r="V57" s="29">
        <f>+U57*F57*D57</f>
        <v>750959.7288809818</v>
      </c>
      <c r="X57" s="25">
        <f t="shared" si="94"/>
        <v>162497.58839231328</v>
      </c>
      <c r="Y57" s="27">
        <f t="shared" si="95"/>
        <v>30874.541794539524</v>
      </c>
      <c r="Z57" s="27">
        <f t="shared" si="96"/>
        <v>193372.1301868528</v>
      </c>
      <c r="AA57" s="29">
        <f>+Z57*G57*D57</f>
        <v>773488.52074741118</v>
      </c>
      <c r="AC57" s="29">
        <f t="shared" si="97"/>
        <v>1524448.249628393</v>
      </c>
    </row>
    <row r="58" spans="1:29" s="6" customFormat="1" ht="42" customHeight="1" x14ac:dyDescent="0.3">
      <c r="A58" s="75" t="s">
        <v>138</v>
      </c>
      <c r="B58" s="76" t="s">
        <v>139</v>
      </c>
      <c r="C58" s="2" t="s">
        <v>144</v>
      </c>
      <c r="D58" s="79">
        <v>1</v>
      </c>
      <c r="E58" s="64">
        <v>0</v>
      </c>
      <c r="F58" s="64">
        <v>4</v>
      </c>
      <c r="G58" s="64">
        <f>3+(1/1)</f>
        <v>4</v>
      </c>
      <c r="H58" s="1">
        <f t="shared" si="88"/>
        <v>8</v>
      </c>
      <c r="I58" s="63"/>
      <c r="J58" s="25">
        <f>+'ANEXO 1 - COTIZACIONES'!N58</f>
        <v>129455.228208</v>
      </c>
      <c r="K58" s="63"/>
      <c r="L58" s="25">
        <f>+'ANEXO 2 - HISTORICO'!O58</f>
        <v>172775.9</v>
      </c>
      <c r="M58" s="63"/>
      <c r="N58" s="25">
        <f>AVERAGE(J58,L58)</f>
        <v>151115.56410399999</v>
      </c>
      <c r="O58" s="27">
        <f t="shared" si="89"/>
        <v>28711.95717976</v>
      </c>
      <c r="P58" s="27">
        <f t="shared" si="90"/>
        <v>179827.52128376</v>
      </c>
      <c r="Q58" s="29">
        <f>+P58*E58*D58</f>
        <v>0</v>
      </c>
      <c r="S58" s="25">
        <f t="shared" si="91"/>
        <v>157764.648924576</v>
      </c>
      <c r="T58" s="27">
        <f t="shared" si="92"/>
        <v>29975.28329566944</v>
      </c>
      <c r="U58" s="27">
        <f t="shared" si="93"/>
        <v>187739.93222024545</v>
      </c>
      <c r="V58" s="29">
        <f>+U58*F58*D58</f>
        <v>750959.7288809818</v>
      </c>
      <c r="X58" s="25">
        <f t="shared" si="94"/>
        <v>162497.58839231328</v>
      </c>
      <c r="Y58" s="27">
        <f t="shared" si="95"/>
        <v>30874.541794539524</v>
      </c>
      <c r="Z58" s="27">
        <f t="shared" si="96"/>
        <v>193372.1301868528</v>
      </c>
      <c r="AA58" s="29">
        <f>+Z58*G58*D58</f>
        <v>773488.52074741118</v>
      </c>
      <c r="AC58" s="29">
        <f t="shared" si="97"/>
        <v>1524448.249628393</v>
      </c>
    </row>
    <row r="59" spans="1:29" s="6" customFormat="1" ht="42" customHeight="1" x14ac:dyDescent="0.3">
      <c r="A59" s="77" t="s">
        <v>140</v>
      </c>
      <c r="B59" s="74" t="s">
        <v>141</v>
      </c>
      <c r="C59" s="74"/>
      <c r="D59" s="74"/>
      <c r="E59" s="74"/>
      <c r="F59" s="74"/>
      <c r="G59" s="74"/>
      <c r="H59" s="74"/>
      <c r="I59" s="63"/>
      <c r="J59" s="74"/>
      <c r="K59" s="63"/>
      <c r="L59" s="74"/>
      <c r="M59" s="63"/>
      <c r="N59" s="74"/>
      <c r="O59" s="74"/>
      <c r="P59" s="74"/>
      <c r="Q59" s="74"/>
      <c r="S59" s="74"/>
      <c r="T59" s="74"/>
      <c r="U59" s="74"/>
      <c r="V59" s="74"/>
      <c r="X59" s="74"/>
      <c r="Y59" s="74"/>
      <c r="Z59" s="74"/>
      <c r="AA59" s="74"/>
      <c r="AC59" s="74"/>
    </row>
    <row r="60" spans="1:29" s="6" customFormat="1" ht="42" customHeight="1" x14ac:dyDescent="0.3">
      <c r="A60" s="75" t="s">
        <v>142</v>
      </c>
      <c r="B60" s="76" t="s">
        <v>143</v>
      </c>
      <c r="C60" s="2" t="s">
        <v>144</v>
      </c>
      <c r="D60" s="79">
        <v>1</v>
      </c>
      <c r="E60" s="64">
        <v>0</v>
      </c>
      <c r="F60" s="64">
        <v>4</v>
      </c>
      <c r="G60" s="64">
        <f>3+(1/1)</f>
        <v>4</v>
      </c>
      <c r="H60" s="1">
        <f>E60+F60+G60</f>
        <v>8</v>
      </c>
      <c r="I60" s="63"/>
      <c r="J60" s="25">
        <f>+'ANEXO 1 - COTIZACIONES'!N60</f>
        <v>220000</v>
      </c>
      <c r="K60" s="63"/>
      <c r="L60" s="25">
        <f>+'ANEXO 2 - HISTORICO'!O60</f>
        <v>166744.53</v>
      </c>
      <c r="M60" s="63"/>
      <c r="N60" s="25">
        <f>AVERAGE(J60,L60)</f>
        <v>193372.26500000001</v>
      </c>
      <c r="O60" s="27">
        <f>N60*19%</f>
        <v>36740.730350000005</v>
      </c>
      <c r="P60" s="27">
        <f t="shared" ref="P60" si="98">+O60+N60</f>
        <v>230112.99535000001</v>
      </c>
      <c r="Q60" s="29">
        <f>+P60*E60*D60</f>
        <v>0</v>
      </c>
      <c r="S60" s="25">
        <f>N60+(N60*4.4%)</f>
        <v>201880.64466000002</v>
      </c>
      <c r="T60" s="27">
        <f>S60*19%</f>
        <v>38357.322485400007</v>
      </c>
      <c r="U60" s="27">
        <f t="shared" ref="U60" si="99">+T60+S60</f>
        <v>240237.96714540003</v>
      </c>
      <c r="V60" s="29">
        <f>+U60*F60*D60</f>
        <v>960951.86858160014</v>
      </c>
      <c r="X60" s="25">
        <f t="shared" ref="X60" si="100">S60+(S60*3%)</f>
        <v>207937.06399980001</v>
      </c>
      <c r="Y60" s="27">
        <f t="shared" ref="Y60" si="101">X60*19%</f>
        <v>39508.042159962002</v>
      </c>
      <c r="Z60" s="27">
        <f t="shared" ref="Z60" si="102">+Y60+X60</f>
        <v>247445.10615976201</v>
      </c>
      <c r="AA60" s="29">
        <f>+Z60*G60*D60</f>
        <v>989780.42463904805</v>
      </c>
      <c r="AC60" s="29">
        <f t="shared" ref="AC60" si="103">+AA60+V60+Q60</f>
        <v>1950732.2932206481</v>
      </c>
    </row>
    <row r="61" spans="1:29" s="6" customFormat="1" ht="42" customHeight="1" x14ac:dyDescent="0.3">
      <c r="A61" s="198" t="s">
        <v>9</v>
      </c>
      <c r="B61" s="199"/>
      <c r="C61" s="199"/>
      <c r="D61" s="199"/>
      <c r="E61" s="199"/>
      <c r="F61" s="199"/>
      <c r="G61" s="199"/>
      <c r="H61" s="200"/>
      <c r="I61" s="12"/>
      <c r="J61" s="10"/>
      <c r="K61" s="12"/>
      <c r="L61" s="10"/>
      <c r="M61" s="12"/>
      <c r="N61" s="10"/>
      <c r="O61" s="10"/>
      <c r="P61" s="10"/>
      <c r="Q61" s="33">
        <f>SUM(Q7:Q60)</f>
        <v>29732385.38665707</v>
      </c>
      <c r="S61" s="10"/>
      <c r="T61" s="10"/>
      <c r="U61" s="10"/>
      <c r="V61" s="33">
        <f>SUM(V7:V60)</f>
        <v>413238418.98468214</v>
      </c>
      <c r="X61" s="10"/>
      <c r="Y61" s="10"/>
      <c r="Z61" s="10"/>
      <c r="AA61" s="33">
        <f>SUM(AA7:AA60)</f>
        <v>393663742.90024251</v>
      </c>
      <c r="AC61" s="33">
        <f>SUM(AC7:AC60)</f>
        <v>836634547.27158165</v>
      </c>
    </row>
    <row r="62" spans="1:29" ht="30" customHeight="1" x14ac:dyDescent="0.2">
      <c r="A62" s="151" t="s">
        <v>10</v>
      </c>
      <c r="B62" s="151"/>
      <c r="C62" s="151"/>
      <c r="D62" s="151"/>
      <c r="E62" s="151"/>
      <c r="F62" s="151"/>
      <c r="G62" s="151"/>
      <c r="H62" s="151"/>
      <c r="I62" s="53"/>
      <c r="J62" s="125" t="s">
        <v>32</v>
      </c>
      <c r="K62" s="53"/>
      <c r="L62" s="125" t="s">
        <v>18</v>
      </c>
      <c r="M62" s="53"/>
      <c r="N62" s="57"/>
      <c r="O62" s="58"/>
      <c r="P62" s="58"/>
      <c r="Q62" s="56"/>
      <c r="S62" s="57"/>
      <c r="T62" s="58"/>
      <c r="U62" s="58"/>
      <c r="V62" s="56"/>
      <c r="X62" s="57"/>
      <c r="Y62" s="58"/>
      <c r="Z62" s="58"/>
      <c r="AA62" s="56"/>
      <c r="AC62" s="54"/>
    </row>
    <row r="63" spans="1:29" ht="49.5" customHeight="1" x14ac:dyDescent="0.2">
      <c r="A63" s="43" t="s">
        <v>11</v>
      </c>
      <c r="B63" s="152" t="s">
        <v>12</v>
      </c>
      <c r="C63" s="152"/>
      <c r="D63" s="152"/>
      <c r="E63" s="152"/>
      <c r="F63" s="152"/>
      <c r="G63" s="44" t="s">
        <v>14</v>
      </c>
      <c r="H63" s="44" t="s">
        <v>13</v>
      </c>
      <c r="I63" s="50"/>
      <c r="J63" s="48" t="s">
        <v>19</v>
      </c>
      <c r="K63" s="50"/>
      <c r="L63" s="48" t="s">
        <v>19</v>
      </c>
      <c r="M63" s="50"/>
      <c r="N63" s="44" t="s">
        <v>5</v>
      </c>
      <c r="O63" s="44" t="s">
        <v>6</v>
      </c>
      <c r="P63" s="44" t="s">
        <v>15</v>
      </c>
      <c r="Q63" s="44" t="s">
        <v>8</v>
      </c>
      <c r="S63" s="44" t="s">
        <v>5</v>
      </c>
      <c r="T63" s="44" t="s">
        <v>6</v>
      </c>
      <c r="U63" s="44" t="s">
        <v>15</v>
      </c>
      <c r="V63" s="44" t="s">
        <v>8</v>
      </c>
      <c r="X63" s="44" t="s">
        <v>5</v>
      </c>
      <c r="Y63" s="44" t="s">
        <v>6</v>
      </c>
      <c r="Z63" s="44" t="s">
        <v>15</v>
      </c>
      <c r="AA63" s="44" t="s">
        <v>8</v>
      </c>
      <c r="AC63" s="44" t="s">
        <v>8</v>
      </c>
    </row>
    <row r="64" spans="1:29" s="6" customFormat="1" ht="44.25" customHeight="1" x14ac:dyDescent="0.3">
      <c r="A64" s="101">
        <v>1</v>
      </c>
      <c r="B64" s="143" t="s">
        <v>145</v>
      </c>
      <c r="C64" s="144"/>
      <c r="D64" s="144"/>
      <c r="E64" s="144"/>
      <c r="F64" s="145"/>
      <c r="G64" s="20" t="s">
        <v>16</v>
      </c>
      <c r="H64" s="20">
        <v>1</v>
      </c>
      <c r="I64" s="13"/>
      <c r="J64" s="25">
        <f>+'ANEXO 1 - COTIZACIONES'!N64</f>
        <v>1281603.4067460001</v>
      </c>
      <c r="K64" s="13"/>
      <c r="L64" s="25">
        <f>+'ANEXO 2 - HISTORICO'!O64</f>
        <v>1172279.03</v>
      </c>
      <c r="M64" s="13"/>
      <c r="N64" s="25">
        <f t="shared" ref="N64:N96" si="104">AVERAGE(J64,L64)</f>
        <v>1226941.2183730002</v>
      </c>
      <c r="O64" s="27">
        <f t="shared" ref="O64:O101" si="105">N64*19%</f>
        <v>233118.83149087004</v>
      </c>
      <c r="P64" s="27">
        <f>+O64+N64</f>
        <v>1460060.0498638703</v>
      </c>
      <c r="Q64" s="29">
        <f t="shared" ref="Q64:Q101" si="106">+P64*H64</f>
        <v>1460060.0498638703</v>
      </c>
      <c r="S64" s="25">
        <f t="shared" ref="S64:S101" si="107">N64+(N64*4.4%)</f>
        <v>1280926.6319814122</v>
      </c>
      <c r="T64" s="27">
        <f t="shared" ref="T64:T101" si="108">S64*19%</f>
        <v>243376.0600764683</v>
      </c>
      <c r="U64" s="27">
        <f t="shared" ref="U64:U91" si="109">+T64+S64</f>
        <v>1524302.6920578806</v>
      </c>
      <c r="V64" s="29">
        <f t="shared" ref="V64:V101" si="110">+U64*H64</f>
        <v>1524302.6920578806</v>
      </c>
      <c r="X64" s="25">
        <f t="shared" ref="X64:X101" si="111">S64+(S64*3%)</f>
        <v>1319354.4309408546</v>
      </c>
      <c r="Y64" s="27">
        <f t="shared" ref="Y64:Y101" si="112">X64*19%</f>
        <v>250677.34187876238</v>
      </c>
      <c r="Z64" s="27">
        <f>+Y64+X64</f>
        <v>1570031.7728196171</v>
      </c>
      <c r="AA64" s="29">
        <f t="shared" ref="AA64:AA85" si="113">+Z64*H64</f>
        <v>1570031.7728196171</v>
      </c>
      <c r="AC64" s="29">
        <f>+AA64+V64+Q64</f>
        <v>4554394.5147413677</v>
      </c>
    </row>
    <row r="65" spans="1:29" s="6" customFormat="1" ht="44.25" customHeight="1" x14ac:dyDescent="0.3">
      <c r="A65" s="101">
        <v>2</v>
      </c>
      <c r="B65" s="143" t="s">
        <v>146</v>
      </c>
      <c r="C65" s="144"/>
      <c r="D65" s="144"/>
      <c r="E65" s="144"/>
      <c r="F65" s="145"/>
      <c r="G65" s="20" t="s">
        <v>16</v>
      </c>
      <c r="H65" s="20">
        <v>1</v>
      </c>
      <c r="I65" s="13"/>
      <c r="J65" s="25">
        <f>+'ANEXO 1 - COTIZACIONES'!N65</f>
        <v>274804.74343649996</v>
      </c>
      <c r="K65" s="13"/>
      <c r="L65" s="25">
        <f>+'ANEXO 2 - HISTORICO'!O65</f>
        <v>245446.39999999999</v>
      </c>
      <c r="M65" s="13"/>
      <c r="N65" s="25">
        <f t="shared" si="104"/>
        <v>260125.57171824999</v>
      </c>
      <c r="O65" s="27">
        <f t="shared" si="105"/>
        <v>49423.858626467496</v>
      </c>
      <c r="P65" s="27">
        <f t="shared" ref="P65:P91" si="114">+O65+N65</f>
        <v>309549.43034471746</v>
      </c>
      <c r="Q65" s="29">
        <f t="shared" si="106"/>
        <v>309549.43034471746</v>
      </c>
      <c r="S65" s="25">
        <f t="shared" si="107"/>
        <v>271571.09687385301</v>
      </c>
      <c r="T65" s="27">
        <f t="shared" si="108"/>
        <v>51598.508406032073</v>
      </c>
      <c r="U65" s="27">
        <f t="shared" si="109"/>
        <v>323169.60527988506</v>
      </c>
      <c r="V65" s="29">
        <f t="shared" si="110"/>
        <v>323169.60527988506</v>
      </c>
      <c r="X65" s="25">
        <f t="shared" si="111"/>
        <v>279718.22978006862</v>
      </c>
      <c r="Y65" s="27">
        <f t="shared" si="112"/>
        <v>53146.463658213041</v>
      </c>
      <c r="Z65" s="27">
        <f t="shared" ref="Z65:Z91" si="115">+Y65+X65</f>
        <v>332864.69343828165</v>
      </c>
      <c r="AA65" s="29">
        <f t="shared" si="113"/>
        <v>332864.69343828165</v>
      </c>
      <c r="AC65" s="29">
        <f t="shared" ref="AC65:AC101" si="116">+AA65+V65+Q65</f>
        <v>965583.72906288423</v>
      </c>
    </row>
    <row r="66" spans="1:29" s="6" customFormat="1" ht="44.25" customHeight="1" x14ac:dyDescent="0.3">
      <c r="A66" s="101">
        <v>3</v>
      </c>
      <c r="B66" s="143" t="s">
        <v>147</v>
      </c>
      <c r="C66" s="144"/>
      <c r="D66" s="144"/>
      <c r="E66" s="144"/>
      <c r="F66" s="145"/>
      <c r="G66" s="20" t="s">
        <v>16</v>
      </c>
      <c r="H66" s="20">
        <v>1</v>
      </c>
      <c r="I66" s="13"/>
      <c r="J66" s="25">
        <f>+'ANEXO 1 - COTIZACIONES'!N66</f>
        <v>309293.37343649997</v>
      </c>
      <c r="K66" s="13"/>
      <c r="L66" s="25">
        <f>+'ANEXO 2 - HISTORICO'!O66</f>
        <v>278479.94</v>
      </c>
      <c r="M66" s="13"/>
      <c r="N66" s="25">
        <f t="shared" si="104"/>
        <v>293886.65671825001</v>
      </c>
      <c r="O66" s="27">
        <f t="shared" si="105"/>
        <v>55838.464776467503</v>
      </c>
      <c r="P66" s="27">
        <f t="shared" si="114"/>
        <v>349725.12149471755</v>
      </c>
      <c r="Q66" s="29">
        <f t="shared" si="106"/>
        <v>349725.12149471755</v>
      </c>
      <c r="S66" s="25">
        <f t="shared" si="107"/>
        <v>306817.66961385304</v>
      </c>
      <c r="T66" s="27">
        <f t="shared" si="108"/>
        <v>58295.357226632077</v>
      </c>
      <c r="U66" s="27">
        <f t="shared" si="109"/>
        <v>365113.02684048511</v>
      </c>
      <c r="V66" s="29">
        <f t="shared" si="110"/>
        <v>365113.02684048511</v>
      </c>
      <c r="X66" s="25">
        <f t="shared" si="111"/>
        <v>316022.19970226864</v>
      </c>
      <c r="Y66" s="27">
        <f t="shared" si="112"/>
        <v>60044.217943431046</v>
      </c>
      <c r="Z66" s="27">
        <f t="shared" si="115"/>
        <v>376066.41764569969</v>
      </c>
      <c r="AA66" s="29">
        <f t="shared" si="113"/>
        <v>376066.41764569969</v>
      </c>
      <c r="AC66" s="29">
        <f t="shared" si="116"/>
        <v>1090904.5659809024</v>
      </c>
    </row>
    <row r="67" spans="1:29" s="6" customFormat="1" ht="58.5" customHeight="1" x14ac:dyDescent="0.3">
      <c r="A67" s="101">
        <v>4</v>
      </c>
      <c r="B67" s="143" t="s">
        <v>148</v>
      </c>
      <c r="C67" s="144"/>
      <c r="D67" s="144"/>
      <c r="E67" s="144"/>
      <c r="F67" s="145"/>
      <c r="G67" s="20" t="s">
        <v>16</v>
      </c>
      <c r="H67" s="20">
        <v>1</v>
      </c>
      <c r="I67" s="13"/>
      <c r="J67" s="25">
        <f>+'ANEXO 1 - COTIZACIONES'!N67</f>
        <v>374774.42343650002</v>
      </c>
      <c r="K67" s="13"/>
      <c r="L67" s="25">
        <f>+'ANEXO 2 - HISTORICO'!O67</f>
        <v>333535.84999999998</v>
      </c>
      <c r="M67" s="13"/>
      <c r="N67" s="25">
        <f t="shared" si="104"/>
        <v>354155.13671825</v>
      </c>
      <c r="O67" s="27">
        <f t="shared" si="105"/>
        <v>67289.475976467496</v>
      </c>
      <c r="P67" s="27">
        <f t="shared" si="114"/>
        <v>421444.61269471748</v>
      </c>
      <c r="Q67" s="29">
        <f t="shared" si="106"/>
        <v>421444.61269471748</v>
      </c>
      <c r="S67" s="25">
        <f t="shared" si="107"/>
        <v>369737.96273385303</v>
      </c>
      <c r="T67" s="27">
        <f t="shared" si="108"/>
        <v>70250.212919432073</v>
      </c>
      <c r="U67" s="27">
        <f t="shared" si="109"/>
        <v>439988.17565328511</v>
      </c>
      <c r="V67" s="29">
        <f t="shared" si="110"/>
        <v>439988.17565328511</v>
      </c>
      <c r="X67" s="25">
        <f t="shared" si="111"/>
        <v>380830.10161586863</v>
      </c>
      <c r="Y67" s="27">
        <f t="shared" si="112"/>
        <v>72357.719307015039</v>
      </c>
      <c r="Z67" s="27">
        <f t="shared" si="115"/>
        <v>453187.82092288369</v>
      </c>
      <c r="AA67" s="29">
        <f t="shared" si="113"/>
        <v>453187.82092288369</v>
      </c>
      <c r="AC67" s="29">
        <f t="shared" si="116"/>
        <v>1314620.6092708863</v>
      </c>
    </row>
    <row r="68" spans="1:29" s="6" customFormat="1" ht="44.25" customHeight="1" x14ac:dyDescent="0.3">
      <c r="A68" s="101">
        <v>5</v>
      </c>
      <c r="B68" s="143" t="s">
        <v>149</v>
      </c>
      <c r="C68" s="144"/>
      <c r="D68" s="144"/>
      <c r="E68" s="144"/>
      <c r="F68" s="145"/>
      <c r="G68" s="20" t="s">
        <v>16</v>
      </c>
      <c r="H68" s="20">
        <v>1</v>
      </c>
      <c r="I68" s="13"/>
      <c r="J68" s="25">
        <f>+'ANEXO 1 - COTIZACIONES'!N68</f>
        <v>442503.57843650004</v>
      </c>
      <c r="K68" s="13"/>
      <c r="L68" s="25">
        <f>+'ANEXO 2 - HISTORICO'!O68</f>
        <v>394097.35</v>
      </c>
      <c r="M68" s="13"/>
      <c r="N68" s="25">
        <f t="shared" si="104"/>
        <v>418300.46421825001</v>
      </c>
      <c r="O68" s="27">
        <f t="shared" si="105"/>
        <v>79477.088201467501</v>
      </c>
      <c r="P68" s="27">
        <f t="shared" si="114"/>
        <v>497777.55241971754</v>
      </c>
      <c r="Q68" s="29">
        <f t="shared" si="106"/>
        <v>497777.55241971754</v>
      </c>
      <c r="S68" s="25">
        <f t="shared" si="107"/>
        <v>436705.68464385299</v>
      </c>
      <c r="T68" s="27">
        <f t="shared" si="108"/>
        <v>82974.080082332075</v>
      </c>
      <c r="U68" s="27">
        <f t="shared" si="109"/>
        <v>519679.76472618507</v>
      </c>
      <c r="V68" s="29">
        <f t="shared" si="110"/>
        <v>519679.76472618507</v>
      </c>
      <c r="X68" s="25">
        <f t="shared" si="111"/>
        <v>449806.85518316861</v>
      </c>
      <c r="Y68" s="27">
        <f t="shared" si="112"/>
        <v>85463.302484802043</v>
      </c>
      <c r="Z68" s="27">
        <f t="shared" si="115"/>
        <v>535270.15766797063</v>
      </c>
      <c r="AA68" s="29">
        <f t="shared" si="113"/>
        <v>535270.15766797063</v>
      </c>
      <c r="AC68" s="29">
        <f t="shared" si="116"/>
        <v>1552727.4748138734</v>
      </c>
    </row>
    <row r="69" spans="1:29" s="6" customFormat="1" ht="44.25" customHeight="1" x14ac:dyDescent="0.3">
      <c r="A69" s="101">
        <v>6</v>
      </c>
      <c r="B69" s="143" t="s">
        <v>150</v>
      </c>
      <c r="C69" s="144"/>
      <c r="D69" s="144"/>
      <c r="E69" s="144"/>
      <c r="F69" s="145"/>
      <c r="G69" s="20" t="s">
        <v>16</v>
      </c>
      <c r="H69" s="20">
        <v>1</v>
      </c>
      <c r="I69" s="13"/>
      <c r="J69" s="25">
        <f>+'ANEXO 1 - COTIZACIONES'!N69</f>
        <v>526780.83843649994</v>
      </c>
      <c r="K69" s="13"/>
      <c r="L69" s="25">
        <f>+'ANEXO 2 - HISTORICO'!O69</f>
        <v>460164.44</v>
      </c>
      <c r="M69" s="13"/>
      <c r="N69" s="25">
        <f t="shared" si="104"/>
        <v>493472.63921824994</v>
      </c>
      <c r="O69" s="27">
        <f t="shared" si="105"/>
        <v>93759.801451467487</v>
      </c>
      <c r="P69" s="27">
        <f t="shared" si="114"/>
        <v>587232.44066971738</v>
      </c>
      <c r="Q69" s="29">
        <f t="shared" si="106"/>
        <v>587232.44066971738</v>
      </c>
      <c r="S69" s="25">
        <f t="shared" si="107"/>
        <v>515185.43534385297</v>
      </c>
      <c r="T69" s="27">
        <f t="shared" si="108"/>
        <v>97885.232715332066</v>
      </c>
      <c r="U69" s="27">
        <f t="shared" si="109"/>
        <v>613070.66805918503</v>
      </c>
      <c r="V69" s="29">
        <f t="shared" si="110"/>
        <v>613070.66805918503</v>
      </c>
      <c r="X69" s="25">
        <f t="shared" si="111"/>
        <v>530640.99840416852</v>
      </c>
      <c r="Y69" s="27">
        <f t="shared" si="112"/>
        <v>100821.78969679202</v>
      </c>
      <c r="Z69" s="27">
        <f t="shared" si="115"/>
        <v>631462.78810096055</v>
      </c>
      <c r="AA69" s="29">
        <f t="shared" si="113"/>
        <v>631462.78810096055</v>
      </c>
      <c r="AC69" s="29">
        <f t="shared" si="116"/>
        <v>1831765.8968298631</v>
      </c>
    </row>
    <row r="70" spans="1:29" s="6" customFormat="1" ht="44.25" customHeight="1" x14ac:dyDescent="0.3">
      <c r="A70" s="101">
        <v>7</v>
      </c>
      <c r="B70" s="143" t="s">
        <v>151</v>
      </c>
      <c r="C70" s="144"/>
      <c r="D70" s="144"/>
      <c r="E70" s="144"/>
      <c r="F70" s="145"/>
      <c r="G70" s="20" t="s">
        <v>16</v>
      </c>
      <c r="H70" s="20">
        <v>1</v>
      </c>
      <c r="I70" s="13"/>
      <c r="J70" s="25">
        <f>+'ANEXO 1 - COTIZACIONES'!N70</f>
        <v>110342.4953825</v>
      </c>
      <c r="K70" s="13"/>
      <c r="L70" s="25">
        <f>+'ANEXO 2 - HISTORICO'!O70</f>
        <v>97704.97</v>
      </c>
      <c r="M70" s="13"/>
      <c r="N70" s="25">
        <f t="shared" si="104"/>
        <v>104023.73269125</v>
      </c>
      <c r="O70" s="27">
        <f t="shared" si="105"/>
        <v>19764.509211337499</v>
      </c>
      <c r="P70" s="27">
        <f t="shared" si="114"/>
        <v>123788.2419025875</v>
      </c>
      <c r="Q70" s="29">
        <f t="shared" si="106"/>
        <v>123788.2419025875</v>
      </c>
      <c r="S70" s="25">
        <f t="shared" si="107"/>
        <v>108600.77692966499</v>
      </c>
      <c r="T70" s="27">
        <f t="shared" si="108"/>
        <v>20634.14761663635</v>
      </c>
      <c r="U70" s="27">
        <f t="shared" si="109"/>
        <v>129234.92454630134</v>
      </c>
      <c r="V70" s="29">
        <f t="shared" si="110"/>
        <v>129234.92454630134</v>
      </c>
      <c r="X70" s="25">
        <f t="shared" si="111"/>
        <v>111858.80023755494</v>
      </c>
      <c r="Y70" s="27">
        <f t="shared" si="112"/>
        <v>21253.172045135438</v>
      </c>
      <c r="Z70" s="27">
        <f t="shared" si="115"/>
        <v>133111.97228269037</v>
      </c>
      <c r="AA70" s="29">
        <f t="shared" si="113"/>
        <v>133111.97228269037</v>
      </c>
      <c r="AC70" s="29">
        <f t="shared" si="116"/>
        <v>386135.13873157918</v>
      </c>
    </row>
    <row r="71" spans="1:29" s="6" customFormat="1" ht="44.25" customHeight="1" x14ac:dyDescent="0.3">
      <c r="A71" s="101">
        <v>8</v>
      </c>
      <c r="B71" s="143" t="s">
        <v>152</v>
      </c>
      <c r="C71" s="144"/>
      <c r="D71" s="144"/>
      <c r="E71" s="144"/>
      <c r="F71" s="145"/>
      <c r="G71" s="20" t="s">
        <v>16</v>
      </c>
      <c r="H71" s="20">
        <v>1</v>
      </c>
      <c r="I71" s="13"/>
      <c r="J71" s="25">
        <f>+'ANEXO 1 - COTIZACIONES'!N71</f>
        <v>110342.4953825</v>
      </c>
      <c r="K71" s="13"/>
      <c r="L71" s="25">
        <f>+'ANEXO 2 - HISTORICO'!O71</f>
        <v>97704.97</v>
      </c>
      <c r="M71" s="13"/>
      <c r="N71" s="25">
        <f t="shared" si="104"/>
        <v>104023.73269125</v>
      </c>
      <c r="O71" s="27">
        <f t="shared" si="105"/>
        <v>19764.509211337499</v>
      </c>
      <c r="P71" s="27">
        <f t="shared" si="114"/>
        <v>123788.2419025875</v>
      </c>
      <c r="Q71" s="29">
        <f t="shared" si="106"/>
        <v>123788.2419025875</v>
      </c>
      <c r="S71" s="25">
        <f t="shared" si="107"/>
        <v>108600.77692966499</v>
      </c>
      <c r="T71" s="27">
        <f t="shared" si="108"/>
        <v>20634.14761663635</v>
      </c>
      <c r="U71" s="27">
        <f t="shared" si="109"/>
        <v>129234.92454630134</v>
      </c>
      <c r="V71" s="29">
        <f t="shared" si="110"/>
        <v>129234.92454630134</v>
      </c>
      <c r="X71" s="25">
        <f t="shared" si="111"/>
        <v>111858.80023755494</v>
      </c>
      <c r="Y71" s="27">
        <f t="shared" si="112"/>
        <v>21253.172045135438</v>
      </c>
      <c r="Z71" s="27">
        <f t="shared" si="115"/>
        <v>133111.97228269037</v>
      </c>
      <c r="AA71" s="29">
        <f t="shared" si="113"/>
        <v>133111.97228269037</v>
      </c>
      <c r="AC71" s="29">
        <f t="shared" si="116"/>
        <v>386135.13873157918</v>
      </c>
    </row>
    <row r="72" spans="1:29" s="6" customFormat="1" ht="44.25" customHeight="1" x14ac:dyDescent="0.3">
      <c r="A72" s="101">
        <v>9</v>
      </c>
      <c r="B72" s="143" t="s">
        <v>153</v>
      </c>
      <c r="C72" s="144"/>
      <c r="D72" s="144"/>
      <c r="E72" s="144"/>
      <c r="F72" s="145"/>
      <c r="G72" s="20" t="s">
        <v>16</v>
      </c>
      <c r="H72" s="20">
        <v>1</v>
      </c>
      <c r="I72" s="13"/>
      <c r="J72" s="25">
        <f>+'ANEXO 1 - COTIZACIONES'!N72</f>
        <v>110342.4953825</v>
      </c>
      <c r="K72" s="13"/>
      <c r="L72" s="25">
        <f>+'ANEXO 2 - HISTORICO'!O72</f>
        <v>97704.97</v>
      </c>
      <c r="M72" s="13"/>
      <c r="N72" s="25">
        <f t="shared" si="104"/>
        <v>104023.73269125</v>
      </c>
      <c r="O72" s="27">
        <f t="shared" si="105"/>
        <v>19764.509211337499</v>
      </c>
      <c r="P72" s="27">
        <f t="shared" si="114"/>
        <v>123788.2419025875</v>
      </c>
      <c r="Q72" s="29">
        <f t="shared" si="106"/>
        <v>123788.2419025875</v>
      </c>
      <c r="S72" s="25">
        <f t="shared" si="107"/>
        <v>108600.77692966499</v>
      </c>
      <c r="T72" s="27">
        <f t="shared" si="108"/>
        <v>20634.14761663635</v>
      </c>
      <c r="U72" s="27">
        <f t="shared" si="109"/>
        <v>129234.92454630134</v>
      </c>
      <c r="V72" s="29">
        <f t="shared" si="110"/>
        <v>129234.92454630134</v>
      </c>
      <c r="X72" s="25">
        <f t="shared" si="111"/>
        <v>111858.80023755494</v>
      </c>
      <c r="Y72" s="27">
        <f t="shared" si="112"/>
        <v>21253.172045135438</v>
      </c>
      <c r="Z72" s="27">
        <f t="shared" si="115"/>
        <v>133111.97228269037</v>
      </c>
      <c r="AA72" s="29">
        <f t="shared" si="113"/>
        <v>133111.97228269037</v>
      </c>
      <c r="AC72" s="29">
        <f t="shared" si="116"/>
        <v>386135.13873157918</v>
      </c>
    </row>
    <row r="73" spans="1:29" s="6" customFormat="1" ht="44.25" customHeight="1" x14ac:dyDescent="0.3">
      <c r="A73" s="101">
        <v>10</v>
      </c>
      <c r="B73" s="143" t="s">
        <v>154</v>
      </c>
      <c r="C73" s="144"/>
      <c r="D73" s="144"/>
      <c r="E73" s="144"/>
      <c r="F73" s="145"/>
      <c r="G73" s="20" t="s">
        <v>16</v>
      </c>
      <c r="H73" s="20">
        <v>1</v>
      </c>
      <c r="I73" s="13"/>
      <c r="J73" s="25">
        <f>+'ANEXO 1 - COTIZACIONES'!N73</f>
        <v>110629.95267500001</v>
      </c>
      <c r="K73" s="13"/>
      <c r="L73" s="25">
        <f>+'ANEXO 2 - HISTORICO'!O73</f>
        <v>98192.21</v>
      </c>
      <c r="M73" s="13"/>
      <c r="N73" s="25">
        <f t="shared" si="104"/>
        <v>104411.08133750001</v>
      </c>
      <c r="O73" s="27">
        <f t="shared" si="105"/>
        <v>19838.105454125001</v>
      </c>
      <c r="P73" s="27">
        <f t="shared" si="114"/>
        <v>124249.18679162502</v>
      </c>
      <c r="Q73" s="29">
        <f t="shared" si="106"/>
        <v>124249.18679162502</v>
      </c>
      <c r="S73" s="25">
        <f t="shared" si="107"/>
        <v>109005.16891635001</v>
      </c>
      <c r="T73" s="27">
        <f t="shared" si="108"/>
        <v>20710.982094106501</v>
      </c>
      <c r="U73" s="27">
        <f t="shared" si="109"/>
        <v>129716.15101045651</v>
      </c>
      <c r="V73" s="29">
        <f t="shared" si="110"/>
        <v>129716.15101045651</v>
      </c>
      <c r="X73" s="25">
        <f t="shared" si="111"/>
        <v>112275.32398384051</v>
      </c>
      <c r="Y73" s="27">
        <f t="shared" si="112"/>
        <v>21332.311556929697</v>
      </c>
      <c r="Z73" s="27">
        <f t="shared" si="115"/>
        <v>133607.63554077022</v>
      </c>
      <c r="AA73" s="29">
        <f t="shared" si="113"/>
        <v>133607.63554077022</v>
      </c>
      <c r="AC73" s="29">
        <f t="shared" si="116"/>
        <v>387572.97334285174</v>
      </c>
    </row>
    <row r="74" spans="1:29" s="6" customFormat="1" ht="44.25" customHeight="1" x14ac:dyDescent="0.3">
      <c r="A74" s="101">
        <v>11</v>
      </c>
      <c r="B74" s="143" t="s">
        <v>155</v>
      </c>
      <c r="C74" s="144"/>
      <c r="D74" s="144"/>
      <c r="E74" s="144"/>
      <c r="F74" s="145"/>
      <c r="G74" s="20" t="s">
        <v>16</v>
      </c>
      <c r="H74" s="20">
        <v>1</v>
      </c>
      <c r="I74" s="13"/>
      <c r="J74" s="25">
        <f>+'ANEXO 1 - COTIZACIONES'!N74</f>
        <v>110342.4953825</v>
      </c>
      <c r="K74" s="13"/>
      <c r="L74" s="25">
        <f>+'ANEXO 2 - HISTORICO'!O74</f>
        <v>97704.97</v>
      </c>
      <c r="M74" s="13"/>
      <c r="N74" s="25">
        <f t="shared" si="104"/>
        <v>104023.73269125</v>
      </c>
      <c r="O74" s="27">
        <f t="shared" si="105"/>
        <v>19764.509211337499</v>
      </c>
      <c r="P74" s="27">
        <f t="shared" si="114"/>
        <v>123788.2419025875</v>
      </c>
      <c r="Q74" s="29">
        <f t="shared" si="106"/>
        <v>123788.2419025875</v>
      </c>
      <c r="S74" s="25">
        <f t="shared" si="107"/>
        <v>108600.77692966499</v>
      </c>
      <c r="T74" s="27">
        <f t="shared" si="108"/>
        <v>20634.14761663635</v>
      </c>
      <c r="U74" s="27">
        <f t="shared" si="109"/>
        <v>129234.92454630134</v>
      </c>
      <c r="V74" s="29">
        <f t="shared" si="110"/>
        <v>129234.92454630134</v>
      </c>
      <c r="X74" s="25">
        <f t="shared" si="111"/>
        <v>111858.80023755494</v>
      </c>
      <c r="Y74" s="27">
        <f t="shared" si="112"/>
        <v>21253.172045135438</v>
      </c>
      <c r="Z74" s="27">
        <f t="shared" si="115"/>
        <v>133111.97228269037</v>
      </c>
      <c r="AA74" s="29">
        <f t="shared" si="113"/>
        <v>133111.97228269037</v>
      </c>
      <c r="AC74" s="29">
        <f t="shared" si="116"/>
        <v>386135.13873157918</v>
      </c>
    </row>
    <row r="75" spans="1:29" s="6" customFormat="1" ht="44.25" customHeight="1" x14ac:dyDescent="0.3">
      <c r="A75" s="101">
        <v>12</v>
      </c>
      <c r="B75" s="143" t="s">
        <v>156</v>
      </c>
      <c r="C75" s="144"/>
      <c r="D75" s="144"/>
      <c r="E75" s="144"/>
      <c r="F75" s="145"/>
      <c r="G75" s="20" t="s">
        <v>16</v>
      </c>
      <c r="H75" s="20">
        <v>1</v>
      </c>
      <c r="I75" s="13"/>
      <c r="J75" s="25">
        <f>+'ANEXO 1 - COTIZACIONES'!N75</f>
        <v>110342.4953825</v>
      </c>
      <c r="K75" s="13"/>
      <c r="L75" s="25">
        <f>+'ANEXO 2 - HISTORICO'!O75</f>
        <v>97704.97</v>
      </c>
      <c r="M75" s="13"/>
      <c r="N75" s="25">
        <f t="shared" si="104"/>
        <v>104023.73269125</v>
      </c>
      <c r="O75" s="27">
        <f t="shared" si="105"/>
        <v>19764.509211337499</v>
      </c>
      <c r="P75" s="27">
        <f t="shared" si="114"/>
        <v>123788.2419025875</v>
      </c>
      <c r="Q75" s="29">
        <f t="shared" si="106"/>
        <v>123788.2419025875</v>
      </c>
      <c r="S75" s="25">
        <f t="shared" si="107"/>
        <v>108600.77692966499</v>
      </c>
      <c r="T75" s="27">
        <f t="shared" si="108"/>
        <v>20634.14761663635</v>
      </c>
      <c r="U75" s="27">
        <f t="shared" si="109"/>
        <v>129234.92454630134</v>
      </c>
      <c r="V75" s="29">
        <f t="shared" si="110"/>
        <v>129234.92454630134</v>
      </c>
      <c r="X75" s="25">
        <f t="shared" si="111"/>
        <v>111858.80023755494</v>
      </c>
      <c r="Y75" s="27">
        <f t="shared" si="112"/>
        <v>21253.172045135438</v>
      </c>
      <c r="Z75" s="27">
        <f t="shared" si="115"/>
        <v>133111.97228269037</v>
      </c>
      <c r="AA75" s="29">
        <f t="shared" si="113"/>
        <v>133111.97228269037</v>
      </c>
      <c r="AC75" s="29">
        <f t="shared" si="116"/>
        <v>386135.13873157918</v>
      </c>
    </row>
    <row r="76" spans="1:29" s="6" customFormat="1" ht="44.25" customHeight="1" x14ac:dyDescent="0.3">
      <c r="A76" s="101">
        <v>13</v>
      </c>
      <c r="B76" s="143" t="s">
        <v>157</v>
      </c>
      <c r="C76" s="144"/>
      <c r="D76" s="144"/>
      <c r="E76" s="144"/>
      <c r="F76" s="145"/>
      <c r="G76" s="20" t="s">
        <v>16</v>
      </c>
      <c r="H76" s="20">
        <v>1</v>
      </c>
      <c r="I76" s="13"/>
      <c r="J76" s="25">
        <f>+'ANEXO 1 - COTIZACIONES'!N76</f>
        <v>111157.12011650001</v>
      </c>
      <c r="K76" s="13"/>
      <c r="L76" s="25">
        <f>+'ANEXO 2 - HISTORICO'!O76</f>
        <v>99085.77</v>
      </c>
      <c r="M76" s="13"/>
      <c r="N76" s="25">
        <f t="shared" si="104"/>
        <v>105121.44505825001</v>
      </c>
      <c r="O76" s="27">
        <f t="shared" si="105"/>
        <v>19973.074561067504</v>
      </c>
      <c r="P76" s="27">
        <f t="shared" si="114"/>
        <v>125094.51961931752</v>
      </c>
      <c r="Q76" s="29">
        <f t="shared" si="106"/>
        <v>125094.51961931752</v>
      </c>
      <c r="S76" s="25">
        <f t="shared" si="107"/>
        <v>109746.78864081301</v>
      </c>
      <c r="T76" s="27">
        <f t="shared" si="108"/>
        <v>20851.889841754473</v>
      </c>
      <c r="U76" s="27">
        <f t="shared" si="109"/>
        <v>130598.67848256748</v>
      </c>
      <c r="V76" s="29">
        <f t="shared" si="110"/>
        <v>130598.67848256748</v>
      </c>
      <c r="X76" s="25">
        <f t="shared" si="111"/>
        <v>113039.19230003741</v>
      </c>
      <c r="Y76" s="27">
        <f t="shared" si="112"/>
        <v>21477.446537007108</v>
      </c>
      <c r="Z76" s="27">
        <f t="shared" si="115"/>
        <v>134516.63883704451</v>
      </c>
      <c r="AA76" s="29">
        <f t="shared" si="113"/>
        <v>134516.63883704451</v>
      </c>
      <c r="AC76" s="29">
        <f t="shared" si="116"/>
        <v>390209.83693892951</v>
      </c>
    </row>
    <row r="77" spans="1:29" s="6" customFormat="1" ht="44.25" customHeight="1" x14ac:dyDescent="0.3">
      <c r="A77" s="101">
        <v>14</v>
      </c>
      <c r="B77" s="143" t="s">
        <v>158</v>
      </c>
      <c r="C77" s="144"/>
      <c r="D77" s="144"/>
      <c r="E77" s="144"/>
      <c r="F77" s="145"/>
      <c r="G77" s="20" t="s">
        <v>16</v>
      </c>
      <c r="H77" s="20">
        <v>1</v>
      </c>
      <c r="I77" s="13"/>
      <c r="J77" s="25">
        <f>+'ANEXO 1 - COTIZACIONES'!N77</f>
        <v>111157.12011650001</v>
      </c>
      <c r="K77" s="13"/>
      <c r="L77" s="25">
        <f>+'ANEXO 2 - HISTORICO'!O77</f>
        <v>99085.77</v>
      </c>
      <c r="M77" s="13"/>
      <c r="N77" s="25">
        <f t="shared" si="104"/>
        <v>105121.44505825001</v>
      </c>
      <c r="O77" s="27">
        <f t="shared" si="105"/>
        <v>19973.074561067504</v>
      </c>
      <c r="P77" s="27">
        <f t="shared" si="114"/>
        <v>125094.51961931752</v>
      </c>
      <c r="Q77" s="29">
        <f t="shared" si="106"/>
        <v>125094.51961931752</v>
      </c>
      <c r="S77" s="25">
        <f t="shared" si="107"/>
        <v>109746.78864081301</v>
      </c>
      <c r="T77" s="27">
        <f t="shared" si="108"/>
        <v>20851.889841754473</v>
      </c>
      <c r="U77" s="27">
        <f t="shared" si="109"/>
        <v>130598.67848256748</v>
      </c>
      <c r="V77" s="29">
        <f t="shared" si="110"/>
        <v>130598.67848256748</v>
      </c>
      <c r="X77" s="25">
        <f t="shared" si="111"/>
        <v>113039.19230003741</v>
      </c>
      <c r="Y77" s="27">
        <f t="shared" si="112"/>
        <v>21477.446537007108</v>
      </c>
      <c r="Z77" s="27">
        <f t="shared" si="115"/>
        <v>134516.63883704451</v>
      </c>
      <c r="AA77" s="29">
        <f t="shared" si="113"/>
        <v>134516.63883704451</v>
      </c>
      <c r="AC77" s="29">
        <f t="shared" si="116"/>
        <v>390209.83693892951</v>
      </c>
    </row>
    <row r="78" spans="1:29" s="6" customFormat="1" ht="44.25" customHeight="1" x14ac:dyDescent="0.3">
      <c r="A78" s="101">
        <v>15</v>
      </c>
      <c r="B78" s="143" t="s">
        <v>159</v>
      </c>
      <c r="C78" s="144"/>
      <c r="D78" s="144"/>
      <c r="E78" s="144"/>
      <c r="F78" s="145"/>
      <c r="G78" s="20" t="s">
        <v>16</v>
      </c>
      <c r="H78" s="20">
        <v>1</v>
      </c>
      <c r="I78" s="13"/>
      <c r="J78" s="25">
        <f>+'ANEXO 1 - COTIZACIONES'!N78</f>
        <v>136746.15852150001</v>
      </c>
      <c r="K78" s="13"/>
      <c r="L78" s="25">
        <f>+'ANEXO 2 - HISTORICO'!O78</f>
        <v>125848.45</v>
      </c>
      <c r="M78" s="13"/>
      <c r="N78" s="25">
        <f t="shared" si="104"/>
        <v>131297.30426075001</v>
      </c>
      <c r="O78" s="27">
        <f t="shared" si="105"/>
        <v>24946.487809542501</v>
      </c>
      <c r="P78" s="27">
        <f t="shared" si="114"/>
        <v>156243.79207029252</v>
      </c>
      <c r="Q78" s="29">
        <f t="shared" si="106"/>
        <v>156243.79207029252</v>
      </c>
      <c r="S78" s="25">
        <f t="shared" si="107"/>
        <v>137074.38564822302</v>
      </c>
      <c r="T78" s="27">
        <f t="shared" si="108"/>
        <v>26044.133273162373</v>
      </c>
      <c r="U78" s="27">
        <f t="shared" si="109"/>
        <v>163118.5189213854</v>
      </c>
      <c r="V78" s="29">
        <f t="shared" si="110"/>
        <v>163118.5189213854</v>
      </c>
      <c r="X78" s="25">
        <f t="shared" si="111"/>
        <v>141186.6172176697</v>
      </c>
      <c r="Y78" s="27">
        <f t="shared" si="112"/>
        <v>26825.457271357242</v>
      </c>
      <c r="Z78" s="27">
        <f t="shared" si="115"/>
        <v>168012.07448902694</v>
      </c>
      <c r="AA78" s="29">
        <f t="shared" si="113"/>
        <v>168012.07448902694</v>
      </c>
      <c r="AC78" s="29">
        <f t="shared" si="116"/>
        <v>487374.38548070483</v>
      </c>
    </row>
    <row r="79" spans="1:29" s="6" customFormat="1" ht="44.25" customHeight="1" x14ac:dyDescent="0.3">
      <c r="A79" s="101">
        <v>16</v>
      </c>
      <c r="B79" s="143" t="s">
        <v>160</v>
      </c>
      <c r="C79" s="144"/>
      <c r="D79" s="144"/>
      <c r="E79" s="144"/>
      <c r="F79" s="145"/>
      <c r="G79" s="20" t="s">
        <v>16</v>
      </c>
      <c r="H79" s="20">
        <v>1</v>
      </c>
      <c r="I79" s="13"/>
      <c r="J79" s="25">
        <f>+'ANEXO 1 - COTIZACIONES'!N79</f>
        <v>123065.46507199999</v>
      </c>
      <c r="K79" s="13"/>
      <c r="L79" s="25">
        <f>+'ANEXO 2 - HISTORICO'!O79</f>
        <v>102659.45</v>
      </c>
      <c r="M79" s="13"/>
      <c r="N79" s="25">
        <f t="shared" si="104"/>
        <v>112862.457536</v>
      </c>
      <c r="O79" s="27">
        <f t="shared" si="105"/>
        <v>21443.866931839999</v>
      </c>
      <c r="P79" s="27">
        <f t="shared" si="114"/>
        <v>134306.32446783999</v>
      </c>
      <c r="Q79" s="29">
        <f t="shared" si="106"/>
        <v>134306.32446783999</v>
      </c>
      <c r="S79" s="25">
        <f t="shared" si="107"/>
        <v>117828.405667584</v>
      </c>
      <c r="T79" s="27">
        <f t="shared" si="108"/>
        <v>22387.39707684096</v>
      </c>
      <c r="U79" s="27">
        <f t="shared" si="109"/>
        <v>140215.80274442496</v>
      </c>
      <c r="V79" s="29">
        <f t="shared" si="110"/>
        <v>140215.80274442496</v>
      </c>
      <c r="X79" s="25">
        <f t="shared" si="111"/>
        <v>121363.25783761151</v>
      </c>
      <c r="Y79" s="27">
        <f t="shared" si="112"/>
        <v>23059.018989146189</v>
      </c>
      <c r="Z79" s="27">
        <f t="shared" si="115"/>
        <v>144422.2768267577</v>
      </c>
      <c r="AA79" s="29">
        <f t="shared" si="113"/>
        <v>144422.2768267577</v>
      </c>
      <c r="AC79" s="29">
        <f t="shared" si="116"/>
        <v>418944.40403902263</v>
      </c>
    </row>
    <row r="80" spans="1:29" s="6" customFormat="1" ht="44.25" customHeight="1" x14ac:dyDescent="0.3">
      <c r="A80" s="101">
        <v>17</v>
      </c>
      <c r="B80" s="143" t="s">
        <v>161</v>
      </c>
      <c r="C80" s="144"/>
      <c r="D80" s="144"/>
      <c r="E80" s="144"/>
      <c r="F80" s="145"/>
      <c r="G80" s="20" t="s">
        <v>16</v>
      </c>
      <c r="H80" s="20">
        <v>1</v>
      </c>
      <c r="I80" s="13"/>
      <c r="J80" s="25">
        <f>+'ANEXO 1 - COTIZACIONES'!N80</f>
        <v>179804.22510899999</v>
      </c>
      <c r="K80" s="13"/>
      <c r="L80" s="25">
        <f>+'ANEXO 2 - HISTORICO'!O80</f>
        <v>158703.06</v>
      </c>
      <c r="M80" s="13"/>
      <c r="N80" s="25">
        <f t="shared" si="104"/>
        <v>169253.64255449999</v>
      </c>
      <c r="O80" s="27">
        <f t="shared" si="105"/>
        <v>32158.192085355</v>
      </c>
      <c r="P80" s="27">
        <f t="shared" si="114"/>
        <v>201411.83463985499</v>
      </c>
      <c r="Q80" s="29">
        <f t="shared" si="106"/>
        <v>201411.83463985499</v>
      </c>
      <c r="S80" s="25">
        <f t="shared" si="107"/>
        <v>176700.802826898</v>
      </c>
      <c r="T80" s="27">
        <f t="shared" si="108"/>
        <v>33573.152537110618</v>
      </c>
      <c r="U80" s="27">
        <f t="shared" si="109"/>
        <v>210273.95536400861</v>
      </c>
      <c r="V80" s="29">
        <f t="shared" si="110"/>
        <v>210273.95536400861</v>
      </c>
      <c r="X80" s="25">
        <f t="shared" si="111"/>
        <v>182001.82691170493</v>
      </c>
      <c r="Y80" s="27">
        <f t="shared" si="112"/>
        <v>34580.347113223936</v>
      </c>
      <c r="Z80" s="27">
        <f t="shared" si="115"/>
        <v>216582.17402492889</v>
      </c>
      <c r="AA80" s="29">
        <f t="shared" si="113"/>
        <v>216582.17402492889</v>
      </c>
      <c r="AC80" s="29">
        <f t="shared" si="116"/>
        <v>628267.96402879246</v>
      </c>
    </row>
    <row r="81" spans="1:29" s="6" customFormat="1" ht="44.25" customHeight="1" x14ac:dyDescent="0.3">
      <c r="A81" s="101">
        <v>18</v>
      </c>
      <c r="B81" s="143" t="s">
        <v>162</v>
      </c>
      <c r="C81" s="144"/>
      <c r="D81" s="144"/>
      <c r="E81" s="144"/>
      <c r="F81" s="145"/>
      <c r="G81" s="20" t="s">
        <v>16</v>
      </c>
      <c r="H81" s="20">
        <v>1</v>
      </c>
      <c r="I81" s="13"/>
      <c r="J81" s="25">
        <f>+'ANEXO 1 - COTIZACIONES'!N81</f>
        <v>179804.22510899999</v>
      </c>
      <c r="K81" s="13"/>
      <c r="L81" s="25">
        <f>+'ANEXO 2 - HISTORICO'!O81</f>
        <v>158703.06</v>
      </c>
      <c r="M81" s="13"/>
      <c r="N81" s="25">
        <f t="shared" si="104"/>
        <v>169253.64255449999</v>
      </c>
      <c r="O81" s="27">
        <f t="shared" si="105"/>
        <v>32158.192085355</v>
      </c>
      <c r="P81" s="27">
        <f t="shared" si="114"/>
        <v>201411.83463985499</v>
      </c>
      <c r="Q81" s="29">
        <f t="shared" si="106"/>
        <v>201411.83463985499</v>
      </c>
      <c r="S81" s="25">
        <f t="shared" si="107"/>
        <v>176700.802826898</v>
      </c>
      <c r="T81" s="27">
        <f t="shared" si="108"/>
        <v>33573.152537110618</v>
      </c>
      <c r="U81" s="27">
        <f t="shared" si="109"/>
        <v>210273.95536400861</v>
      </c>
      <c r="V81" s="29">
        <f t="shared" si="110"/>
        <v>210273.95536400861</v>
      </c>
      <c r="X81" s="25">
        <f t="shared" si="111"/>
        <v>182001.82691170493</v>
      </c>
      <c r="Y81" s="27">
        <f t="shared" si="112"/>
        <v>34580.347113223936</v>
      </c>
      <c r="Z81" s="27">
        <f t="shared" si="115"/>
        <v>216582.17402492889</v>
      </c>
      <c r="AA81" s="29">
        <f t="shared" si="113"/>
        <v>216582.17402492889</v>
      </c>
      <c r="AC81" s="29">
        <f t="shared" si="116"/>
        <v>628267.96402879246</v>
      </c>
    </row>
    <row r="82" spans="1:29" s="6" customFormat="1" ht="44.25" customHeight="1" x14ac:dyDescent="0.3">
      <c r="A82" s="101">
        <v>19</v>
      </c>
      <c r="B82" s="143" t="s">
        <v>163</v>
      </c>
      <c r="C82" s="144"/>
      <c r="D82" s="144"/>
      <c r="E82" s="144"/>
      <c r="F82" s="145"/>
      <c r="G82" s="20" t="s">
        <v>16</v>
      </c>
      <c r="H82" s="20">
        <v>1</v>
      </c>
      <c r="I82" s="13"/>
      <c r="J82" s="25">
        <f>+'ANEXO 1 - COTIZACIONES'!N82</f>
        <v>179804.22510899999</v>
      </c>
      <c r="K82" s="13"/>
      <c r="L82" s="25">
        <f>+'ANEXO 2 - HISTORICO'!O82</f>
        <v>158703.06</v>
      </c>
      <c r="M82" s="13"/>
      <c r="N82" s="25">
        <f t="shared" si="104"/>
        <v>169253.64255449999</v>
      </c>
      <c r="O82" s="27">
        <f t="shared" si="105"/>
        <v>32158.192085355</v>
      </c>
      <c r="P82" s="27">
        <f t="shared" si="114"/>
        <v>201411.83463985499</v>
      </c>
      <c r="Q82" s="29">
        <f t="shared" si="106"/>
        <v>201411.83463985499</v>
      </c>
      <c r="S82" s="25">
        <f t="shared" si="107"/>
        <v>176700.802826898</v>
      </c>
      <c r="T82" s="27">
        <f t="shared" si="108"/>
        <v>33573.152537110618</v>
      </c>
      <c r="U82" s="27">
        <f t="shared" si="109"/>
        <v>210273.95536400861</v>
      </c>
      <c r="V82" s="29">
        <f t="shared" si="110"/>
        <v>210273.95536400861</v>
      </c>
      <c r="X82" s="25">
        <f t="shared" si="111"/>
        <v>182001.82691170493</v>
      </c>
      <c r="Y82" s="27">
        <f t="shared" si="112"/>
        <v>34580.347113223936</v>
      </c>
      <c r="Z82" s="27">
        <f t="shared" si="115"/>
        <v>216582.17402492889</v>
      </c>
      <c r="AA82" s="29">
        <f t="shared" si="113"/>
        <v>216582.17402492889</v>
      </c>
      <c r="AC82" s="29">
        <f t="shared" si="116"/>
        <v>628267.96402879246</v>
      </c>
    </row>
    <row r="83" spans="1:29" s="6" customFormat="1" ht="44.25" customHeight="1" x14ac:dyDescent="0.3">
      <c r="A83" s="101">
        <v>20</v>
      </c>
      <c r="B83" s="143" t="s">
        <v>164</v>
      </c>
      <c r="C83" s="144"/>
      <c r="D83" s="144"/>
      <c r="E83" s="144"/>
      <c r="F83" s="145"/>
      <c r="G83" s="20" t="s">
        <v>16</v>
      </c>
      <c r="H83" s="20">
        <v>1</v>
      </c>
      <c r="I83" s="13"/>
      <c r="J83" s="25">
        <f>+'ANEXO 1 - COTIZACIONES'!N83</f>
        <v>179804.22510899999</v>
      </c>
      <c r="K83" s="13"/>
      <c r="L83" s="25">
        <f>+'ANEXO 2 - HISTORICO'!O83</f>
        <v>158703.06</v>
      </c>
      <c r="M83" s="13"/>
      <c r="N83" s="25">
        <f t="shared" si="104"/>
        <v>169253.64255449999</v>
      </c>
      <c r="O83" s="27">
        <f t="shared" si="105"/>
        <v>32158.192085355</v>
      </c>
      <c r="P83" s="27">
        <f t="shared" si="114"/>
        <v>201411.83463985499</v>
      </c>
      <c r="Q83" s="29">
        <f t="shared" si="106"/>
        <v>201411.83463985499</v>
      </c>
      <c r="S83" s="25">
        <f t="shared" si="107"/>
        <v>176700.802826898</v>
      </c>
      <c r="T83" s="27">
        <f t="shared" si="108"/>
        <v>33573.152537110618</v>
      </c>
      <c r="U83" s="27">
        <f t="shared" si="109"/>
        <v>210273.95536400861</v>
      </c>
      <c r="V83" s="29">
        <f t="shared" si="110"/>
        <v>210273.95536400861</v>
      </c>
      <c r="X83" s="25">
        <f t="shared" si="111"/>
        <v>182001.82691170493</v>
      </c>
      <c r="Y83" s="27">
        <f t="shared" si="112"/>
        <v>34580.347113223936</v>
      </c>
      <c r="Z83" s="27">
        <f t="shared" si="115"/>
        <v>216582.17402492889</v>
      </c>
      <c r="AA83" s="29">
        <f t="shared" si="113"/>
        <v>216582.17402492889</v>
      </c>
      <c r="AC83" s="29">
        <f t="shared" si="116"/>
        <v>628267.96402879246</v>
      </c>
    </row>
    <row r="84" spans="1:29" s="6" customFormat="1" ht="44.25" customHeight="1" x14ac:dyDescent="0.3">
      <c r="A84" s="101">
        <v>21</v>
      </c>
      <c r="B84" s="143" t="s">
        <v>165</v>
      </c>
      <c r="C84" s="144"/>
      <c r="D84" s="144"/>
      <c r="E84" s="144"/>
      <c r="F84" s="145"/>
      <c r="G84" s="20" t="s">
        <v>16</v>
      </c>
      <c r="H84" s="20">
        <v>1</v>
      </c>
      <c r="I84" s="13"/>
      <c r="J84" s="25">
        <f>+'ANEXO 1 - COTIZACIONES'!N84</f>
        <v>179804.22510899999</v>
      </c>
      <c r="K84" s="13"/>
      <c r="L84" s="25">
        <f>+'ANEXO 2 - HISTORICO'!O84</f>
        <v>158703.06</v>
      </c>
      <c r="M84" s="13"/>
      <c r="N84" s="25">
        <f t="shared" si="104"/>
        <v>169253.64255449999</v>
      </c>
      <c r="O84" s="27">
        <f t="shared" si="105"/>
        <v>32158.192085355</v>
      </c>
      <c r="P84" s="27">
        <f t="shared" si="114"/>
        <v>201411.83463985499</v>
      </c>
      <c r="Q84" s="29">
        <f t="shared" si="106"/>
        <v>201411.83463985499</v>
      </c>
      <c r="S84" s="25">
        <f t="shared" si="107"/>
        <v>176700.802826898</v>
      </c>
      <c r="T84" s="27">
        <f t="shared" si="108"/>
        <v>33573.152537110618</v>
      </c>
      <c r="U84" s="27">
        <f t="shared" si="109"/>
        <v>210273.95536400861</v>
      </c>
      <c r="V84" s="29">
        <f t="shared" si="110"/>
        <v>210273.95536400861</v>
      </c>
      <c r="X84" s="25">
        <f t="shared" si="111"/>
        <v>182001.82691170493</v>
      </c>
      <c r="Y84" s="27">
        <f t="shared" si="112"/>
        <v>34580.347113223936</v>
      </c>
      <c r="Z84" s="27">
        <f t="shared" si="115"/>
        <v>216582.17402492889</v>
      </c>
      <c r="AA84" s="29">
        <f t="shared" si="113"/>
        <v>216582.17402492889</v>
      </c>
      <c r="AC84" s="29">
        <f t="shared" si="116"/>
        <v>628267.96402879246</v>
      </c>
    </row>
    <row r="85" spans="1:29" s="6" customFormat="1" ht="44.25" customHeight="1" x14ac:dyDescent="0.3">
      <c r="A85" s="101">
        <v>22</v>
      </c>
      <c r="B85" s="143" t="s">
        <v>166</v>
      </c>
      <c r="C85" s="144"/>
      <c r="D85" s="144"/>
      <c r="E85" s="144"/>
      <c r="F85" s="145"/>
      <c r="G85" s="20" t="s">
        <v>16</v>
      </c>
      <c r="H85" s="20">
        <v>1</v>
      </c>
      <c r="I85" s="13"/>
      <c r="J85" s="25">
        <f>+'ANEXO 1 - COTIZACIONES'!N85</f>
        <v>674545</v>
      </c>
      <c r="K85" s="13"/>
      <c r="L85" s="25">
        <f>+'ANEXO 2 - HISTORICO'!O85</f>
        <v>992134.45</v>
      </c>
      <c r="M85" s="13"/>
      <c r="N85" s="25">
        <f t="shared" si="104"/>
        <v>833339.72499999998</v>
      </c>
      <c r="O85" s="27">
        <f t="shared" si="105"/>
        <v>158334.54775</v>
      </c>
      <c r="P85" s="27">
        <f t="shared" si="114"/>
        <v>991674.27275</v>
      </c>
      <c r="Q85" s="29">
        <f t="shared" si="106"/>
        <v>991674.27275</v>
      </c>
      <c r="S85" s="25">
        <f t="shared" si="107"/>
        <v>870006.67290000001</v>
      </c>
      <c r="T85" s="27">
        <f t="shared" si="108"/>
        <v>165301.26785100001</v>
      </c>
      <c r="U85" s="27">
        <f t="shared" si="109"/>
        <v>1035307.9407510001</v>
      </c>
      <c r="V85" s="29">
        <f t="shared" si="110"/>
        <v>1035307.9407510001</v>
      </c>
      <c r="X85" s="25">
        <f t="shared" si="111"/>
        <v>896106.87308699999</v>
      </c>
      <c r="Y85" s="27">
        <f t="shared" si="112"/>
        <v>170260.30588653</v>
      </c>
      <c r="Z85" s="27">
        <f t="shared" si="115"/>
        <v>1066367.17897353</v>
      </c>
      <c r="AA85" s="29">
        <f t="shared" si="113"/>
        <v>1066367.17897353</v>
      </c>
      <c r="AC85" s="29">
        <f t="shared" si="116"/>
        <v>3093349.3924745298</v>
      </c>
    </row>
    <row r="86" spans="1:29" s="6" customFormat="1" ht="44.25" customHeight="1" x14ac:dyDescent="0.3">
      <c r="A86" s="101">
        <v>23</v>
      </c>
      <c r="B86" s="143" t="s">
        <v>167</v>
      </c>
      <c r="C86" s="144"/>
      <c r="D86" s="144"/>
      <c r="E86" s="144"/>
      <c r="F86" s="145"/>
      <c r="G86" s="20" t="s">
        <v>16</v>
      </c>
      <c r="H86" s="20">
        <v>1</v>
      </c>
      <c r="I86" s="13"/>
      <c r="J86" s="25">
        <f>+'ANEXO 1 - COTIZACIONES'!N86</f>
        <v>751200</v>
      </c>
      <c r="K86" s="13"/>
      <c r="L86" s="25">
        <f>+'ANEXO 2 - HISTORICO'!O86</f>
        <v>1037647.51</v>
      </c>
      <c r="M86" s="13"/>
      <c r="N86" s="25">
        <f t="shared" si="104"/>
        <v>894423.755</v>
      </c>
      <c r="O86" s="27">
        <f t="shared" si="105"/>
        <v>169940.51345</v>
      </c>
      <c r="P86" s="27">
        <f t="shared" si="114"/>
        <v>1064364.2684500001</v>
      </c>
      <c r="Q86" s="29">
        <f t="shared" si="106"/>
        <v>1064364.2684500001</v>
      </c>
      <c r="S86" s="25">
        <f t="shared" si="107"/>
        <v>933778.40021999995</v>
      </c>
      <c r="T86" s="27">
        <f t="shared" si="108"/>
        <v>177417.89604180001</v>
      </c>
      <c r="U86" s="27">
        <f t="shared" si="109"/>
        <v>1111196.2962618</v>
      </c>
      <c r="V86" s="29">
        <f t="shared" si="110"/>
        <v>1111196.2962618</v>
      </c>
      <c r="X86" s="25">
        <f t="shared" si="111"/>
        <v>961791.75222659996</v>
      </c>
      <c r="Y86" s="27">
        <f t="shared" si="112"/>
        <v>182740.432923054</v>
      </c>
      <c r="Z86" s="27">
        <f t="shared" si="115"/>
        <v>1144532.185149654</v>
      </c>
      <c r="AA86" s="29">
        <f>+Z86*H86</f>
        <v>1144532.185149654</v>
      </c>
      <c r="AC86" s="29">
        <f t="shared" si="116"/>
        <v>3320092.7498614546</v>
      </c>
    </row>
    <row r="87" spans="1:29" s="6" customFormat="1" ht="44.25" customHeight="1" x14ac:dyDescent="0.3">
      <c r="A87" s="101">
        <v>24</v>
      </c>
      <c r="B87" s="143" t="s">
        <v>193</v>
      </c>
      <c r="C87" s="144"/>
      <c r="D87" s="144"/>
      <c r="E87" s="144"/>
      <c r="F87" s="145"/>
      <c r="G87" s="20" t="s">
        <v>16</v>
      </c>
      <c r="H87" s="20">
        <v>1</v>
      </c>
      <c r="I87" s="13"/>
      <c r="J87" s="25">
        <f>+'ANEXO 1 - COTIZACIONES'!N87</f>
        <v>1497792</v>
      </c>
      <c r="K87" s="13"/>
      <c r="L87" s="25">
        <f>+'ANEXO 2 - HISTORICO'!O87</f>
        <v>0</v>
      </c>
      <c r="M87" s="13"/>
      <c r="N87" s="25">
        <f>AVERAGE(J87)</f>
        <v>1497792</v>
      </c>
      <c r="O87" s="27">
        <f t="shared" si="105"/>
        <v>284580.47999999998</v>
      </c>
      <c r="P87" s="27">
        <f t="shared" ref="P87:P90" si="117">+O87+N87</f>
        <v>1782372.48</v>
      </c>
      <c r="Q87" s="29">
        <f t="shared" si="106"/>
        <v>1782372.48</v>
      </c>
      <c r="S87" s="25">
        <f t="shared" si="107"/>
        <v>1563694.848</v>
      </c>
      <c r="T87" s="27">
        <f t="shared" si="108"/>
        <v>297102.02111999999</v>
      </c>
      <c r="U87" s="27">
        <f t="shared" ref="U87:U90" si="118">+T87+S87</f>
        <v>1860796.8691199999</v>
      </c>
      <c r="V87" s="29">
        <f t="shared" si="110"/>
        <v>1860796.8691199999</v>
      </c>
      <c r="X87" s="25">
        <f t="shared" si="111"/>
        <v>1610605.6934400001</v>
      </c>
      <c r="Y87" s="27">
        <f t="shared" si="112"/>
        <v>306015.08175360004</v>
      </c>
      <c r="Z87" s="27">
        <f t="shared" si="115"/>
        <v>1916620.7751936</v>
      </c>
      <c r="AA87" s="29">
        <f t="shared" ref="AA87:AA90" si="119">+Z87*H87</f>
        <v>1916620.7751936</v>
      </c>
      <c r="AC87" s="29">
        <f t="shared" si="116"/>
        <v>5559790.1243136004</v>
      </c>
    </row>
    <row r="88" spans="1:29" s="6" customFormat="1" ht="44.25" customHeight="1" x14ac:dyDescent="0.3">
      <c r="A88" s="101">
        <v>25</v>
      </c>
      <c r="B88" s="143" t="s">
        <v>194</v>
      </c>
      <c r="C88" s="144"/>
      <c r="D88" s="144"/>
      <c r="E88" s="144"/>
      <c r="F88" s="145"/>
      <c r="G88" s="20" t="s">
        <v>16</v>
      </c>
      <c r="H88" s="20">
        <v>1</v>
      </c>
      <c r="I88" s="13"/>
      <c r="J88" s="25">
        <f>+'ANEXO 1 - COTIZACIONES'!N88</f>
        <v>2373580</v>
      </c>
      <c r="K88" s="13"/>
      <c r="L88" s="25">
        <f>+'ANEXO 2 - HISTORICO'!O88</f>
        <v>0</v>
      </c>
      <c r="M88" s="13"/>
      <c r="N88" s="25">
        <f>AVERAGE(J88)</f>
        <v>2373580</v>
      </c>
      <c r="O88" s="27">
        <f t="shared" si="105"/>
        <v>450980.2</v>
      </c>
      <c r="P88" s="27">
        <f t="shared" si="117"/>
        <v>2824560.2</v>
      </c>
      <c r="Q88" s="29">
        <f t="shared" si="106"/>
        <v>2824560.2</v>
      </c>
      <c r="S88" s="25">
        <f t="shared" si="107"/>
        <v>2478017.52</v>
      </c>
      <c r="T88" s="27">
        <f t="shared" si="108"/>
        <v>470823.32880000002</v>
      </c>
      <c r="U88" s="27">
        <f t="shared" si="118"/>
        <v>2948840.8487999998</v>
      </c>
      <c r="V88" s="29">
        <f t="shared" si="110"/>
        <v>2948840.8487999998</v>
      </c>
      <c r="X88" s="25">
        <f t="shared" si="111"/>
        <v>2552358.0455999998</v>
      </c>
      <c r="Y88" s="27">
        <f t="shared" si="112"/>
        <v>484948.02866399998</v>
      </c>
      <c r="Z88" s="27">
        <f t="shared" si="115"/>
        <v>3037306.0742639997</v>
      </c>
      <c r="AA88" s="29">
        <f t="shared" si="119"/>
        <v>3037306.0742639997</v>
      </c>
      <c r="AC88" s="29">
        <f t="shared" si="116"/>
        <v>8810707.1230640002</v>
      </c>
    </row>
    <row r="89" spans="1:29" s="6" customFormat="1" ht="44.25" customHeight="1" x14ac:dyDescent="0.3">
      <c r="A89" s="101">
        <v>26</v>
      </c>
      <c r="B89" s="143" t="s">
        <v>195</v>
      </c>
      <c r="C89" s="144"/>
      <c r="D89" s="144"/>
      <c r="E89" s="144"/>
      <c r="F89" s="145"/>
      <c r="G89" s="20" t="s">
        <v>16</v>
      </c>
      <c r="H89" s="20">
        <v>1</v>
      </c>
      <c r="I89" s="13"/>
      <c r="J89" s="25">
        <f>+'ANEXO 1 - COTIZACIONES'!N89</f>
        <v>716550</v>
      </c>
      <c r="K89" s="13"/>
      <c r="L89" s="25">
        <f>+'ANEXO 2 - HISTORICO'!O89</f>
        <v>0</v>
      </c>
      <c r="M89" s="13"/>
      <c r="N89" s="25">
        <f>AVERAGE(J89)</f>
        <v>716550</v>
      </c>
      <c r="O89" s="27">
        <f t="shared" si="105"/>
        <v>136144.5</v>
      </c>
      <c r="P89" s="27">
        <f t="shared" si="117"/>
        <v>852694.5</v>
      </c>
      <c r="Q89" s="29">
        <f t="shared" si="106"/>
        <v>852694.5</v>
      </c>
      <c r="S89" s="25">
        <f t="shared" si="107"/>
        <v>748078.2</v>
      </c>
      <c r="T89" s="27">
        <f t="shared" si="108"/>
        <v>142134.85799999998</v>
      </c>
      <c r="U89" s="27">
        <f t="shared" si="118"/>
        <v>890213.05799999996</v>
      </c>
      <c r="V89" s="29">
        <f t="shared" si="110"/>
        <v>890213.05799999996</v>
      </c>
      <c r="X89" s="25">
        <f t="shared" si="111"/>
        <v>770520.54599999997</v>
      </c>
      <c r="Y89" s="27">
        <f t="shared" si="112"/>
        <v>146398.90374000001</v>
      </c>
      <c r="Z89" s="27">
        <f t="shared" si="115"/>
        <v>916919.44973999995</v>
      </c>
      <c r="AA89" s="29">
        <f t="shared" si="119"/>
        <v>916919.44973999995</v>
      </c>
      <c r="AC89" s="29">
        <f t="shared" si="116"/>
        <v>2659827.0077399998</v>
      </c>
    </row>
    <row r="90" spans="1:29" s="6" customFormat="1" ht="44.25" customHeight="1" x14ac:dyDescent="0.3">
      <c r="A90" s="101">
        <v>27</v>
      </c>
      <c r="B90" s="143" t="s">
        <v>196</v>
      </c>
      <c r="C90" s="144"/>
      <c r="D90" s="144"/>
      <c r="E90" s="144"/>
      <c r="F90" s="145"/>
      <c r="G90" s="20" t="s">
        <v>16</v>
      </c>
      <c r="H90" s="20">
        <v>1</v>
      </c>
      <c r="I90" s="13"/>
      <c r="J90" s="25">
        <f>+'ANEXO 1 - COTIZACIONES'!N90</f>
        <v>766550</v>
      </c>
      <c r="K90" s="13"/>
      <c r="L90" s="25">
        <f>+'ANEXO 2 - HISTORICO'!O90</f>
        <v>0</v>
      </c>
      <c r="M90" s="13"/>
      <c r="N90" s="25">
        <f>AVERAGE(J90)</f>
        <v>766550</v>
      </c>
      <c r="O90" s="27">
        <f t="shared" si="105"/>
        <v>145644.5</v>
      </c>
      <c r="P90" s="27">
        <f t="shared" si="117"/>
        <v>912194.5</v>
      </c>
      <c r="Q90" s="29">
        <f t="shared" si="106"/>
        <v>912194.5</v>
      </c>
      <c r="S90" s="25">
        <f t="shared" si="107"/>
        <v>800278.2</v>
      </c>
      <c r="T90" s="27">
        <f t="shared" si="108"/>
        <v>152052.85800000001</v>
      </c>
      <c r="U90" s="27">
        <f t="shared" si="118"/>
        <v>952331.05799999996</v>
      </c>
      <c r="V90" s="29">
        <f t="shared" si="110"/>
        <v>952331.05799999996</v>
      </c>
      <c r="X90" s="25">
        <f t="shared" si="111"/>
        <v>824286.54599999997</v>
      </c>
      <c r="Y90" s="27">
        <f t="shared" si="112"/>
        <v>156614.44373999999</v>
      </c>
      <c r="Z90" s="27">
        <f t="shared" si="115"/>
        <v>980900.98973999999</v>
      </c>
      <c r="AA90" s="29">
        <f t="shared" si="119"/>
        <v>980900.98973999999</v>
      </c>
      <c r="AC90" s="29">
        <f t="shared" si="116"/>
        <v>2845426.5477399998</v>
      </c>
    </row>
    <row r="91" spans="1:29" s="6" customFormat="1" ht="44.25" customHeight="1" x14ac:dyDescent="0.3">
      <c r="A91" s="101">
        <v>28</v>
      </c>
      <c r="B91" s="143" t="s">
        <v>168</v>
      </c>
      <c r="C91" s="144"/>
      <c r="D91" s="144"/>
      <c r="E91" s="144"/>
      <c r="F91" s="145"/>
      <c r="G91" s="20" t="s">
        <v>16</v>
      </c>
      <c r="H91" s="20">
        <v>1</v>
      </c>
      <c r="I91" s="13"/>
      <c r="J91" s="25">
        <f>+'ANEXO 1 - COTIZACIONES'!N91</f>
        <v>23927358.964644499</v>
      </c>
      <c r="K91" s="13"/>
      <c r="L91" s="25">
        <f>+'ANEXO 2 - HISTORICO'!O91</f>
        <v>20254357.91</v>
      </c>
      <c r="M91" s="13"/>
      <c r="N91" s="25">
        <f t="shared" si="104"/>
        <v>22090858.437322251</v>
      </c>
      <c r="O91" s="27">
        <f t="shared" si="105"/>
        <v>4197263.1030912278</v>
      </c>
      <c r="P91" s="27">
        <f t="shared" si="114"/>
        <v>26288121.54041348</v>
      </c>
      <c r="Q91" s="29">
        <f t="shared" si="106"/>
        <v>26288121.54041348</v>
      </c>
      <c r="S91" s="25">
        <f t="shared" si="107"/>
        <v>23062856.20856443</v>
      </c>
      <c r="T91" s="27">
        <f t="shared" si="108"/>
        <v>4381942.6796272416</v>
      </c>
      <c r="U91" s="27">
        <f t="shared" si="109"/>
        <v>27444798.88819167</v>
      </c>
      <c r="V91" s="29">
        <f t="shared" si="110"/>
        <v>27444798.88819167</v>
      </c>
      <c r="X91" s="25">
        <f t="shared" si="111"/>
        <v>23754741.894821364</v>
      </c>
      <c r="Y91" s="27">
        <f t="shared" si="112"/>
        <v>4513400.9600160597</v>
      </c>
      <c r="Z91" s="27">
        <f t="shared" si="115"/>
        <v>28268142.854837425</v>
      </c>
      <c r="AA91" s="29">
        <f t="shared" ref="AA91:AA101" si="120">+Z91*H91</f>
        <v>28268142.854837425</v>
      </c>
      <c r="AC91" s="29">
        <f t="shared" si="116"/>
        <v>82001063.283442572</v>
      </c>
    </row>
    <row r="92" spans="1:29" s="6" customFormat="1" ht="44.25" customHeight="1" x14ac:dyDescent="0.3">
      <c r="A92" s="101">
        <v>29</v>
      </c>
      <c r="B92" s="143" t="s">
        <v>169</v>
      </c>
      <c r="C92" s="144"/>
      <c r="D92" s="144"/>
      <c r="E92" s="144"/>
      <c r="F92" s="145"/>
      <c r="G92" s="20" t="s">
        <v>16</v>
      </c>
      <c r="H92" s="20">
        <v>1</v>
      </c>
      <c r="I92" s="13"/>
      <c r="J92" s="25">
        <f>+'ANEXO 1 - COTIZACIONES'!N92</f>
        <v>17733756.230155498</v>
      </c>
      <c r="K92" s="13"/>
      <c r="L92" s="25">
        <f>+'ANEXO 2 - HISTORICO'!O92</f>
        <v>14914035</v>
      </c>
      <c r="M92" s="13"/>
      <c r="N92" s="25">
        <f t="shared" si="104"/>
        <v>16323895.615077749</v>
      </c>
      <c r="O92" s="27">
        <f t="shared" si="105"/>
        <v>3101540.1668647723</v>
      </c>
      <c r="P92" s="27">
        <f t="shared" ref="P92:P101" si="121">+O92+N92</f>
        <v>19425435.78194252</v>
      </c>
      <c r="Q92" s="29">
        <f t="shared" si="106"/>
        <v>19425435.78194252</v>
      </c>
      <c r="S92" s="25">
        <f t="shared" si="107"/>
        <v>17042147.02214117</v>
      </c>
      <c r="T92" s="27">
        <f t="shared" si="108"/>
        <v>3238007.9342068224</v>
      </c>
      <c r="U92" s="27">
        <f t="shared" ref="U92:U95" si="122">+T92+S92</f>
        <v>20280154.956347991</v>
      </c>
      <c r="V92" s="29">
        <f t="shared" si="110"/>
        <v>20280154.956347991</v>
      </c>
      <c r="X92" s="25">
        <f t="shared" si="111"/>
        <v>17553411.432805404</v>
      </c>
      <c r="Y92" s="27">
        <f t="shared" si="112"/>
        <v>3335148.1722330269</v>
      </c>
      <c r="Z92" s="27">
        <f t="shared" ref="Z92:Z95" si="123">+Y92+X92</f>
        <v>20888559.605038431</v>
      </c>
      <c r="AA92" s="29">
        <f t="shared" si="120"/>
        <v>20888559.605038431</v>
      </c>
      <c r="AC92" s="29">
        <f t="shared" si="116"/>
        <v>60594150.343328938</v>
      </c>
    </row>
    <row r="93" spans="1:29" s="6" customFormat="1" ht="44.25" customHeight="1" x14ac:dyDescent="0.3">
      <c r="A93" s="101">
        <v>30</v>
      </c>
      <c r="B93" s="143" t="s">
        <v>170</v>
      </c>
      <c r="C93" s="144"/>
      <c r="D93" s="144"/>
      <c r="E93" s="144"/>
      <c r="F93" s="145"/>
      <c r="G93" s="20" t="s">
        <v>16</v>
      </c>
      <c r="H93" s="20">
        <v>1</v>
      </c>
      <c r="I93" s="13"/>
      <c r="J93" s="25">
        <f>+'ANEXO 1 - COTIZACIONES'!N93</f>
        <v>904026.02827499993</v>
      </c>
      <c r="K93" s="13"/>
      <c r="L93" s="25">
        <f>+'ANEXO 2 - HISTORICO'!O93</f>
        <v>806871.86</v>
      </c>
      <c r="M93" s="13"/>
      <c r="N93" s="25">
        <f t="shared" si="104"/>
        <v>855448.9441374999</v>
      </c>
      <c r="O93" s="27">
        <f t="shared" si="105"/>
        <v>162535.29938612497</v>
      </c>
      <c r="P93" s="27">
        <f t="shared" si="121"/>
        <v>1017984.2435236248</v>
      </c>
      <c r="Q93" s="29">
        <f t="shared" si="106"/>
        <v>1017984.2435236248</v>
      </c>
      <c r="S93" s="25">
        <f t="shared" si="107"/>
        <v>893088.69767954992</v>
      </c>
      <c r="T93" s="27">
        <f t="shared" si="108"/>
        <v>169686.85255911449</v>
      </c>
      <c r="U93" s="27">
        <f t="shared" si="122"/>
        <v>1062775.5502386645</v>
      </c>
      <c r="V93" s="29">
        <f t="shared" si="110"/>
        <v>1062775.5502386645</v>
      </c>
      <c r="X93" s="25">
        <f t="shared" si="111"/>
        <v>919881.35860993643</v>
      </c>
      <c r="Y93" s="27">
        <f t="shared" si="112"/>
        <v>174777.45813588792</v>
      </c>
      <c r="Z93" s="27">
        <f t="shared" si="123"/>
        <v>1094658.8167458244</v>
      </c>
      <c r="AA93" s="29">
        <f t="shared" si="120"/>
        <v>1094658.8167458244</v>
      </c>
      <c r="AC93" s="29">
        <f t="shared" si="116"/>
        <v>3175418.6105081136</v>
      </c>
    </row>
    <row r="94" spans="1:29" s="6" customFormat="1" ht="44.25" customHeight="1" x14ac:dyDescent="0.3">
      <c r="A94" s="101">
        <v>31</v>
      </c>
      <c r="B94" s="143" t="s">
        <v>171</v>
      </c>
      <c r="C94" s="144"/>
      <c r="D94" s="144"/>
      <c r="E94" s="144"/>
      <c r="F94" s="145"/>
      <c r="G94" s="20" t="s">
        <v>16</v>
      </c>
      <c r="H94" s="20">
        <v>1</v>
      </c>
      <c r="I94" s="13"/>
      <c r="J94" s="25">
        <f>+'ANEXO 1 - COTIZACIONES'!N94</f>
        <v>904026.02827499993</v>
      </c>
      <c r="K94" s="13"/>
      <c r="L94" s="25">
        <f>+'ANEXO 2 - HISTORICO'!O94</f>
        <v>806871.86</v>
      </c>
      <c r="M94" s="13"/>
      <c r="N94" s="25">
        <f t="shared" si="104"/>
        <v>855448.9441374999</v>
      </c>
      <c r="O94" s="27">
        <f t="shared" si="105"/>
        <v>162535.29938612497</v>
      </c>
      <c r="P94" s="27">
        <f t="shared" si="121"/>
        <v>1017984.2435236248</v>
      </c>
      <c r="Q94" s="29">
        <f t="shared" si="106"/>
        <v>1017984.2435236248</v>
      </c>
      <c r="S94" s="25">
        <f t="shared" si="107"/>
        <v>893088.69767954992</v>
      </c>
      <c r="T94" s="27">
        <f t="shared" si="108"/>
        <v>169686.85255911449</v>
      </c>
      <c r="U94" s="27">
        <f t="shared" si="122"/>
        <v>1062775.5502386645</v>
      </c>
      <c r="V94" s="29">
        <f t="shared" si="110"/>
        <v>1062775.5502386645</v>
      </c>
      <c r="X94" s="25">
        <f t="shared" si="111"/>
        <v>919881.35860993643</v>
      </c>
      <c r="Y94" s="27">
        <f t="shared" si="112"/>
        <v>174777.45813588792</v>
      </c>
      <c r="Z94" s="27">
        <f t="shared" si="123"/>
        <v>1094658.8167458244</v>
      </c>
      <c r="AA94" s="29">
        <f t="shared" si="120"/>
        <v>1094658.8167458244</v>
      </c>
      <c r="AC94" s="29">
        <f t="shared" si="116"/>
        <v>3175418.6105081136</v>
      </c>
    </row>
    <row r="95" spans="1:29" s="6" customFormat="1" ht="44.25" customHeight="1" x14ac:dyDescent="0.3">
      <c r="A95" s="101">
        <v>32</v>
      </c>
      <c r="B95" s="143" t="s">
        <v>172</v>
      </c>
      <c r="C95" s="144"/>
      <c r="D95" s="144"/>
      <c r="E95" s="144"/>
      <c r="F95" s="145"/>
      <c r="G95" s="20" t="s">
        <v>16</v>
      </c>
      <c r="H95" s="20">
        <v>1</v>
      </c>
      <c r="I95" s="13"/>
      <c r="J95" s="25">
        <f>+'ANEXO 1 - COTIZACIONES'!N95</f>
        <v>918367.83730000001</v>
      </c>
      <c r="K95" s="13"/>
      <c r="L95" s="25">
        <f>+'ANEXO 2 - HISTORICO'!O95</f>
        <v>805247.72</v>
      </c>
      <c r="M95" s="13"/>
      <c r="N95" s="25">
        <f t="shared" si="104"/>
        <v>861807.77864999999</v>
      </c>
      <c r="O95" s="27">
        <f t="shared" si="105"/>
        <v>163743.47794350001</v>
      </c>
      <c r="P95" s="27">
        <f t="shared" si="121"/>
        <v>1025551.2565935</v>
      </c>
      <c r="Q95" s="29">
        <f t="shared" si="106"/>
        <v>1025551.2565935</v>
      </c>
      <c r="S95" s="25">
        <f t="shared" si="107"/>
        <v>899727.32091060001</v>
      </c>
      <c r="T95" s="27">
        <f t="shared" si="108"/>
        <v>170948.19097301402</v>
      </c>
      <c r="U95" s="27">
        <f t="shared" si="122"/>
        <v>1070675.5118836141</v>
      </c>
      <c r="V95" s="29">
        <f t="shared" si="110"/>
        <v>1070675.5118836141</v>
      </c>
      <c r="X95" s="25">
        <f t="shared" si="111"/>
        <v>926719.14053791796</v>
      </c>
      <c r="Y95" s="27">
        <f t="shared" si="112"/>
        <v>176076.63670220441</v>
      </c>
      <c r="Z95" s="27">
        <f t="shared" si="123"/>
        <v>1102795.7772401224</v>
      </c>
      <c r="AA95" s="29">
        <f t="shared" si="120"/>
        <v>1102795.7772401224</v>
      </c>
      <c r="AC95" s="29">
        <f t="shared" si="116"/>
        <v>3199022.5457172366</v>
      </c>
    </row>
    <row r="96" spans="1:29" s="6" customFormat="1" ht="44.25" customHeight="1" thickBot="1" x14ac:dyDescent="0.35">
      <c r="A96" s="102">
        <v>33</v>
      </c>
      <c r="B96" s="153" t="s">
        <v>173</v>
      </c>
      <c r="C96" s="154"/>
      <c r="D96" s="154"/>
      <c r="E96" s="154"/>
      <c r="F96" s="155"/>
      <c r="G96" s="20" t="s">
        <v>16</v>
      </c>
      <c r="H96" s="20">
        <v>1</v>
      </c>
      <c r="I96" s="13"/>
      <c r="J96" s="25">
        <f>+'ANEXO 1 - COTIZACIONES'!N96</f>
        <v>664884.00761700002</v>
      </c>
      <c r="K96" s="13"/>
      <c r="L96" s="25">
        <f>+'ANEXO 2 - HISTORICO'!O96</f>
        <v>540513.57999999996</v>
      </c>
      <c r="M96" s="13"/>
      <c r="N96" s="25">
        <f t="shared" si="104"/>
        <v>602698.79380850005</v>
      </c>
      <c r="O96" s="27">
        <f t="shared" si="105"/>
        <v>114512.77082361501</v>
      </c>
      <c r="P96" s="27">
        <f t="shared" si="121"/>
        <v>717211.56463211507</v>
      </c>
      <c r="Q96" s="29">
        <f t="shared" si="106"/>
        <v>717211.56463211507</v>
      </c>
      <c r="S96" s="25">
        <f t="shared" si="107"/>
        <v>629217.54073607409</v>
      </c>
      <c r="T96" s="27">
        <f t="shared" si="108"/>
        <v>119551.33273985409</v>
      </c>
      <c r="U96" s="27">
        <f t="shared" ref="U96:U105" si="124">+T96+S96</f>
        <v>748768.87347592821</v>
      </c>
      <c r="V96" s="29">
        <f t="shared" si="110"/>
        <v>748768.87347592821</v>
      </c>
      <c r="X96" s="25">
        <f t="shared" si="111"/>
        <v>648094.0669581563</v>
      </c>
      <c r="Y96" s="27">
        <f t="shared" si="112"/>
        <v>123137.87272204969</v>
      </c>
      <c r="Z96" s="27">
        <f t="shared" ref="Z96:Z105" si="125">+Y96+X96</f>
        <v>771231.93968020601</v>
      </c>
      <c r="AA96" s="29">
        <f t="shared" si="120"/>
        <v>771231.93968020601</v>
      </c>
      <c r="AC96" s="29">
        <f t="shared" si="116"/>
        <v>2237212.3777882494</v>
      </c>
    </row>
    <row r="97" spans="1:29" s="6" customFormat="1" ht="44.25" customHeight="1" x14ac:dyDescent="0.3">
      <c r="A97" s="124">
        <v>34</v>
      </c>
      <c r="B97" s="143" t="s">
        <v>197</v>
      </c>
      <c r="C97" s="144"/>
      <c r="D97" s="144"/>
      <c r="E97" s="144"/>
      <c r="F97" s="145"/>
      <c r="G97" s="20" t="s">
        <v>16</v>
      </c>
      <c r="H97" s="20">
        <v>1</v>
      </c>
      <c r="I97" s="13"/>
      <c r="J97" s="25">
        <f>+'ANEXO 1 - COTIZACIONES'!N97</f>
        <v>1056649.3900000001</v>
      </c>
      <c r="K97" s="13"/>
      <c r="L97" s="25">
        <f>+'ANEXO 2 - HISTORICO'!O97</f>
        <v>0</v>
      </c>
      <c r="M97" s="13"/>
      <c r="N97" s="25">
        <f t="shared" ref="N97:N105" si="126">AVERAGE(J97)</f>
        <v>1056649.3900000001</v>
      </c>
      <c r="O97" s="27">
        <f t="shared" si="105"/>
        <v>200763.38410000002</v>
      </c>
      <c r="P97" s="27">
        <f t="shared" si="121"/>
        <v>1257412.7741</v>
      </c>
      <c r="Q97" s="29">
        <f t="shared" si="106"/>
        <v>1257412.7741</v>
      </c>
      <c r="S97" s="25">
        <f t="shared" si="107"/>
        <v>1103141.96316</v>
      </c>
      <c r="T97" s="27">
        <f t="shared" si="108"/>
        <v>209596.9730004</v>
      </c>
      <c r="U97" s="27">
        <f t="shared" si="124"/>
        <v>1312738.9361604</v>
      </c>
      <c r="V97" s="29">
        <f t="shared" si="110"/>
        <v>1312738.9361604</v>
      </c>
      <c r="X97" s="25">
        <f t="shared" si="111"/>
        <v>1136236.2220548</v>
      </c>
      <c r="Y97" s="27">
        <f t="shared" si="112"/>
        <v>215884.882190412</v>
      </c>
      <c r="Z97" s="27">
        <f t="shared" si="125"/>
        <v>1352121.1042452119</v>
      </c>
      <c r="AA97" s="29">
        <f t="shared" si="120"/>
        <v>1352121.1042452119</v>
      </c>
      <c r="AC97" s="29">
        <f t="shared" si="116"/>
        <v>3922272.814505612</v>
      </c>
    </row>
    <row r="98" spans="1:29" s="6" customFormat="1" ht="44.25" customHeight="1" x14ac:dyDescent="0.3">
      <c r="A98" s="124">
        <v>35</v>
      </c>
      <c r="B98" s="143" t="s">
        <v>198</v>
      </c>
      <c r="C98" s="144"/>
      <c r="D98" s="144"/>
      <c r="E98" s="144"/>
      <c r="F98" s="145"/>
      <c r="G98" s="20" t="s">
        <v>16</v>
      </c>
      <c r="H98" s="20">
        <v>1</v>
      </c>
      <c r="I98" s="13"/>
      <c r="J98" s="25">
        <f>+'ANEXO 1 - COTIZACIONES'!N98</f>
        <v>75285.475000000006</v>
      </c>
      <c r="K98" s="13"/>
      <c r="L98" s="25">
        <f>+'ANEXO 2 - HISTORICO'!O98</f>
        <v>0</v>
      </c>
      <c r="M98" s="13"/>
      <c r="N98" s="25">
        <f t="shared" si="126"/>
        <v>75285.475000000006</v>
      </c>
      <c r="O98" s="27">
        <f t="shared" si="105"/>
        <v>14304.240250000001</v>
      </c>
      <c r="P98" s="27">
        <f t="shared" si="121"/>
        <v>89589.715250000008</v>
      </c>
      <c r="Q98" s="29">
        <f t="shared" si="106"/>
        <v>89589.715250000008</v>
      </c>
      <c r="S98" s="25">
        <f t="shared" si="107"/>
        <v>78598.035900000003</v>
      </c>
      <c r="T98" s="27">
        <f t="shared" si="108"/>
        <v>14933.626821</v>
      </c>
      <c r="U98" s="27">
        <f t="shared" si="124"/>
        <v>93531.662721000001</v>
      </c>
      <c r="V98" s="29">
        <f t="shared" si="110"/>
        <v>93531.662721000001</v>
      </c>
      <c r="X98" s="25">
        <f t="shared" si="111"/>
        <v>80955.976976999998</v>
      </c>
      <c r="Y98" s="27">
        <f t="shared" si="112"/>
        <v>15381.635625630001</v>
      </c>
      <c r="Z98" s="27">
        <f t="shared" si="125"/>
        <v>96337.612602630004</v>
      </c>
      <c r="AA98" s="29">
        <f t="shared" si="120"/>
        <v>96337.612602630004</v>
      </c>
      <c r="AC98" s="29">
        <f t="shared" si="116"/>
        <v>279458.99057363003</v>
      </c>
    </row>
    <row r="99" spans="1:29" s="6" customFormat="1" ht="44.25" customHeight="1" x14ac:dyDescent="0.3">
      <c r="A99" s="124">
        <v>36</v>
      </c>
      <c r="B99" s="143" t="s">
        <v>199</v>
      </c>
      <c r="C99" s="144"/>
      <c r="D99" s="144"/>
      <c r="E99" s="144"/>
      <c r="F99" s="145"/>
      <c r="G99" s="20" t="s">
        <v>16</v>
      </c>
      <c r="H99" s="20">
        <v>1</v>
      </c>
      <c r="I99" s="13"/>
      <c r="J99" s="25">
        <f>+'ANEXO 1 - COTIZACIONES'!N99</f>
        <v>333352.51500000001</v>
      </c>
      <c r="K99" s="13"/>
      <c r="L99" s="25">
        <f>+'ANEXO 2 - HISTORICO'!O99</f>
        <v>0</v>
      </c>
      <c r="M99" s="13"/>
      <c r="N99" s="25">
        <f t="shared" si="126"/>
        <v>333352.51500000001</v>
      </c>
      <c r="O99" s="27">
        <f t="shared" si="105"/>
        <v>63336.977850000003</v>
      </c>
      <c r="P99" s="27">
        <f t="shared" si="121"/>
        <v>396689.49285000004</v>
      </c>
      <c r="Q99" s="29">
        <f t="shared" si="106"/>
        <v>396689.49285000004</v>
      </c>
      <c r="S99" s="25">
        <f t="shared" si="107"/>
        <v>348020.02566000004</v>
      </c>
      <c r="T99" s="27">
        <f t="shared" si="108"/>
        <v>66123.804875400005</v>
      </c>
      <c r="U99" s="27">
        <f t="shared" si="124"/>
        <v>414143.83053540008</v>
      </c>
      <c r="V99" s="29">
        <f t="shared" si="110"/>
        <v>414143.83053540008</v>
      </c>
      <c r="X99" s="25">
        <f t="shared" si="111"/>
        <v>358460.62642980006</v>
      </c>
      <c r="Y99" s="27">
        <f t="shared" si="112"/>
        <v>68107.51902166201</v>
      </c>
      <c r="Z99" s="27">
        <f t="shared" si="125"/>
        <v>426568.14545146207</v>
      </c>
      <c r="AA99" s="29">
        <f t="shared" si="120"/>
        <v>426568.14545146207</v>
      </c>
      <c r="AC99" s="29">
        <f t="shared" si="116"/>
        <v>1237401.4688368621</v>
      </c>
    </row>
    <row r="100" spans="1:29" s="6" customFormat="1" ht="44.25" customHeight="1" x14ac:dyDescent="0.3">
      <c r="A100" s="124">
        <v>37</v>
      </c>
      <c r="B100" s="143" t="s">
        <v>200</v>
      </c>
      <c r="C100" s="144"/>
      <c r="D100" s="144"/>
      <c r="E100" s="144"/>
      <c r="F100" s="145"/>
      <c r="G100" s="20" t="s">
        <v>16</v>
      </c>
      <c r="H100" s="20">
        <v>1</v>
      </c>
      <c r="I100" s="13"/>
      <c r="J100" s="25">
        <f>+'ANEXO 1 - COTIZACIONES'!N100</f>
        <v>346358.93</v>
      </c>
      <c r="K100" s="13"/>
      <c r="L100" s="25">
        <f>+'ANEXO 2 - HISTORICO'!O100</f>
        <v>0</v>
      </c>
      <c r="M100" s="13"/>
      <c r="N100" s="25">
        <f t="shared" si="126"/>
        <v>346358.93</v>
      </c>
      <c r="O100" s="27">
        <f t="shared" si="105"/>
        <v>65808.1967</v>
      </c>
      <c r="P100" s="27">
        <f t="shared" si="121"/>
        <v>412167.12670000002</v>
      </c>
      <c r="Q100" s="29">
        <f t="shared" si="106"/>
        <v>412167.12670000002</v>
      </c>
      <c r="S100" s="25">
        <f t="shared" si="107"/>
        <v>361598.72291999997</v>
      </c>
      <c r="T100" s="27">
        <f t="shared" si="108"/>
        <v>68703.757354799993</v>
      </c>
      <c r="U100" s="27">
        <f t="shared" si="124"/>
        <v>430302.48027479998</v>
      </c>
      <c r="V100" s="29">
        <f t="shared" si="110"/>
        <v>430302.48027479998</v>
      </c>
      <c r="X100" s="25">
        <f t="shared" si="111"/>
        <v>372446.68460759998</v>
      </c>
      <c r="Y100" s="27">
        <f t="shared" si="112"/>
        <v>70764.870075443992</v>
      </c>
      <c r="Z100" s="27">
        <f t="shared" si="125"/>
        <v>443211.55468304397</v>
      </c>
      <c r="AA100" s="29">
        <f t="shared" si="120"/>
        <v>443211.55468304397</v>
      </c>
      <c r="AC100" s="29">
        <f t="shared" si="116"/>
        <v>1285681.161657844</v>
      </c>
    </row>
    <row r="101" spans="1:29" s="6" customFormat="1" ht="44.25" customHeight="1" x14ac:dyDescent="0.3">
      <c r="A101" s="124">
        <v>38</v>
      </c>
      <c r="B101" s="143" t="s">
        <v>201</v>
      </c>
      <c r="C101" s="144"/>
      <c r="D101" s="144"/>
      <c r="E101" s="144"/>
      <c r="F101" s="145"/>
      <c r="G101" s="20" t="s">
        <v>16</v>
      </c>
      <c r="H101" s="20">
        <v>1</v>
      </c>
      <c r="I101" s="13"/>
      <c r="J101" s="25">
        <f>+'ANEXO 1 - COTIZACIONES'!N101</f>
        <v>512423.20499999996</v>
      </c>
      <c r="K101" s="13"/>
      <c r="L101" s="25">
        <f>+'ANEXO 2 - HISTORICO'!O101</f>
        <v>0</v>
      </c>
      <c r="M101" s="13"/>
      <c r="N101" s="25">
        <f t="shared" si="126"/>
        <v>512423.20499999996</v>
      </c>
      <c r="O101" s="27">
        <f t="shared" si="105"/>
        <v>97360.408949999997</v>
      </c>
      <c r="P101" s="27">
        <f t="shared" si="121"/>
        <v>609783.61394999991</v>
      </c>
      <c r="Q101" s="29">
        <f t="shared" si="106"/>
        <v>609783.61394999991</v>
      </c>
      <c r="S101" s="25">
        <f t="shared" si="107"/>
        <v>534969.82601999992</v>
      </c>
      <c r="T101" s="27">
        <f t="shared" si="108"/>
        <v>101644.26694379999</v>
      </c>
      <c r="U101" s="27">
        <f t="shared" si="124"/>
        <v>636614.09296379995</v>
      </c>
      <c r="V101" s="29">
        <f t="shared" si="110"/>
        <v>636614.09296379995</v>
      </c>
      <c r="X101" s="25">
        <f t="shared" si="111"/>
        <v>551018.92080059997</v>
      </c>
      <c r="Y101" s="27">
        <f t="shared" si="112"/>
        <v>104693.594952114</v>
      </c>
      <c r="Z101" s="27">
        <f t="shared" si="125"/>
        <v>655712.51575271401</v>
      </c>
      <c r="AA101" s="29">
        <f t="shared" si="120"/>
        <v>655712.51575271401</v>
      </c>
      <c r="AC101" s="29">
        <f t="shared" si="116"/>
        <v>1902110.2226665139</v>
      </c>
    </row>
    <row r="102" spans="1:29" s="6" customFormat="1" ht="44.25" customHeight="1" x14ac:dyDescent="0.3">
      <c r="A102" s="124">
        <v>39</v>
      </c>
      <c r="B102" s="143" t="s">
        <v>202</v>
      </c>
      <c r="C102" s="144"/>
      <c r="D102" s="144"/>
      <c r="E102" s="144"/>
      <c r="F102" s="145"/>
      <c r="G102" s="20" t="s">
        <v>16</v>
      </c>
      <c r="H102" s="20">
        <v>1</v>
      </c>
      <c r="I102" s="13"/>
      <c r="J102" s="25">
        <f>+'ANEXO 1 - COTIZACIONES'!N102</f>
        <v>2367500</v>
      </c>
      <c r="K102" s="13"/>
      <c r="L102" s="25">
        <f>+'ANEXO 2 - HISTORICO'!O102</f>
        <v>0</v>
      </c>
      <c r="M102" s="13"/>
      <c r="N102" s="25">
        <f t="shared" si="126"/>
        <v>2367500</v>
      </c>
      <c r="O102" s="27">
        <f t="shared" ref="O102:O105" si="127">N102*19%</f>
        <v>449825</v>
      </c>
      <c r="P102" s="27">
        <f t="shared" ref="P102:P105" si="128">+O102+N102</f>
        <v>2817325</v>
      </c>
      <c r="Q102" s="29">
        <f t="shared" ref="Q102:Q105" si="129">+P102*H102</f>
        <v>2817325</v>
      </c>
      <c r="S102" s="25">
        <f t="shared" ref="S102:S105" si="130">N102+(N102*4.4%)</f>
        <v>2471670</v>
      </c>
      <c r="T102" s="27">
        <f t="shared" ref="T102:T105" si="131">S102*19%</f>
        <v>469617.3</v>
      </c>
      <c r="U102" s="27">
        <f t="shared" si="124"/>
        <v>2941287.3</v>
      </c>
      <c r="V102" s="29">
        <f t="shared" ref="V102:V105" si="132">+U102*H102</f>
        <v>2941287.3</v>
      </c>
      <c r="X102" s="25">
        <f t="shared" ref="X102:X105" si="133">S102+(S102*3%)</f>
        <v>2545820.1</v>
      </c>
      <c r="Y102" s="27">
        <f t="shared" ref="Y102:Y105" si="134">X102*19%</f>
        <v>483705.81900000002</v>
      </c>
      <c r="Z102" s="27">
        <f t="shared" si="125"/>
        <v>3029525.9190000002</v>
      </c>
      <c r="AA102" s="29">
        <f t="shared" ref="AA102:AA105" si="135">+Z102*H102</f>
        <v>3029525.9190000002</v>
      </c>
      <c r="AC102" s="29">
        <f t="shared" ref="AC102:AC105" si="136">+AA102+V102+Q102</f>
        <v>8788138.2190000005</v>
      </c>
    </row>
    <row r="103" spans="1:29" s="6" customFormat="1" ht="44.25" customHeight="1" x14ac:dyDescent="0.3">
      <c r="A103" s="124">
        <v>40</v>
      </c>
      <c r="B103" s="156" t="s">
        <v>206</v>
      </c>
      <c r="C103" s="157"/>
      <c r="D103" s="157"/>
      <c r="E103" s="157"/>
      <c r="F103" s="158"/>
      <c r="G103" s="20" t="s">
        <v>16</v>
      </c>
      <c r="H103" s="20">
        <v>1</v>
      </c>
      <c r="I103" s="13"/>
      <c r="J103" s="25">
        <f>+'ANEXO 1 - COTIZACIONES'!N103</f>
        <v>2325000</v>
      </c>
      <c r="K103" s="13"/>
      <c r="L103" s="25">
        <f>+'ANEXO 2 - HISTORICO'!O103</f>
        <v>0</v>
      </c>
      <c r="M103" s="13"/>
      <c r="N103" s="25">
        <f t="shared" si="126"/>
        <v>2325000</v>
      </c>
      <c r="O103" s="27">
        <f t="shared" si="127"/>
        <v>441750</v>
      </c>
      <c r="P103" s="27">
        <f t="shared" si="128"/>
        <v>2766750</v>
      </c>
      <c r="Q103" s="29">
        <f t="shared" si="129"/>
        <v>2766750</v>
      </c>
      <c r="S103" s="25">
        <f t="shared" si="130"/>
        <v>2427300</v>
      </c>
      <c r="T103" s="27">
        <f t="shared" si="131"/>
        <v>461187</v>
      </c>
      <c r="U103" s="27">
        <f t="shared" si="124"/>
        <v>2888487</v>
      </c>
      <c r="V103" s="29">
        <f t="shared" si="132"/>
        <v>2888487</v>
      </c>
      <c r="X103" s="25">
        <f t="shared" si="133"/>
        <v>2500119</v>
      </c>
      <c r="Y103" s="27">
        <f t="shared" si="134"/>
        <v>475022.61</v>
      </c>
      <c r="Z103" s="27">
        <f t="shared" si="125"/>
        <v>2975141.61</v>
      </c>
      <c r="AA103" s="29">
        <f t="shared" si="135"/>
        <v>2975141.61</v>
      </c>
      <c r="AC103" s="29">
        <f t="shared" si="136"/>
        <v>8630378.6099999994</v>
      </c>
    </row>
    <row r="104" spans="1:29" s="6" customFormat="1" ht="44.25" customHeight="1" x14ac:dyDescent="0.3">
      <c r="A104" s="124">
        <v>41</v>
      </c>
      <c r="B104" s="156" t="s">
        <v>207</v>
      </c>
      <c r="C104" s="157"/>
      <c r="D104" s="157"/>
      <c r="E104" s="157"/>
      <c r="F104" s="158"/>
      <c r="G104" s="20" t="s">
        <v>16</v>
      </c>
      <c r="H104" s="20">
        <v>1</v>
      </c>
      <c r="I104" s="13"/>
      <c r="J104" s="25">
        <f>+'ANEXO 1 - COTIZACIONES'!N104</f>
        <v>2968000</v>
      </c>
      <c r="K104" s="13"/>
      <c r="L104" s="25">
        <f>+'ANEXO 2 - HISTORICO'!O104</f>
        <v>0</v>
      </c>
      <c r="M104" s="13"/>
      <c r="N104" s="25">
        <f t="shared" si="126"/>
        <v>2968000</v>
      </c>
      <c r="O104" s="27">
        <f t="shared" si="127"/>
        <v>563920</v>
      </c>
      <c r="P104" s="27">
        <f t="shared" si="128"/>
        <v>3531920</v>
      </c>
      <c r="Q104" s="29">
        <f t="shared" si="129"/>
        <v>3531920</v>
      </c>
      <c r="S104" s="25">
        <f t="shared" si="130"/>
        <v>3098592</v>
      </c>
      <c r="T104" s="27">
        <f t="shared" si="131"/>
        <v>588732.48</v>
      </c>
      <c r="U104" s="27">
        <f t="shared" si="124"/>
        <v>3687324.48</v>
      </c>
      <c r="V104" s="29">
        <f t="shared" si="132"/>
        <v>3687324.48</v>
      </c>
      <c r="X104" s="25">
        <f t="shared" si="133"/>
        <v>3191549.76</v>
      </c>
      <c r="Y104" s="27">
        <f t="shared" si="134"/>
        <v>606394.45439999993</v>
      </c>
      <c r="Z104" s="27">
        <f t="shared" si="125"/>
        <v>3797944.2143999999</v>
      </c>
      <c r="AA104" s="29">
        <f t="shared" si="135"/>
        <v>3797944.2143999999</v>
      </c>
      <c r="AC104" s="29">
        <f t="shared" si="136"/>
        <v>11017188.694399999</v>
      </c>
    </row>
    <row r="105" spans="1:29" s="6" customFormat="1" ht="44.25" customHeight="1" thickBot="1" x14ac:dyDescent="0.35">
      <c r="A105" s="102">
        <v>42</v>
      </c>
      <c r="B105" s="163" t="s">
        <v>208</v>
      </c>
      <c r="C105" s="164"/>
      <c r="D105" s="164"/>
      <c r="E105" s="164"/>
      <c r="F105" s="165"/>
      <c r="G105" s="20" t="s">
        <v>16</v>
      </c>
      <c r="H105" s="20">
        <v>1</v>
      </c>
      <c r="I105" s="13"/>
      <c r="J105" s="25">
        <f>+'ANEXO 1 - COTIZACIONES'!N105</f>
        <v>2968000</v>
      </c>
      <c r="K105" s="13"/>
      <c r="L105" s="25">
        <f>+'ANEXO 2 - HISTORICO'!O105</f>
        <v>0</v>
      </c>
      <c r="M105" s="13"/>
      <c r="N105" s="25">
        <f t="shared" si="126"/>
        <v>2968000</v>
      </c>
      <c r="O105" s="27">
        <f t="shared" si="127"/>
        <v>563920</v>
      </c>
      <c r="P105" s="27">
        <f t="shared" si="128"/>
        <v>3531920</v>
      </c>
      <c r="Q105" s="29">
        <f t="shared" si="129"/>
        <v>3531920</v>
      </c>
      <c r="S105" s="25">
        <f t="shared" si="130"/>
        <v>3098592</v>
      </c>
      <c r="T105" s="27">
        <f t="shared" si="131"/>
        <v>588732.48</v>
      </c>
      <c r="U105" s="27">
        <f t="shared" si="124"/>
        <v>3687324.48</v>
      </c>
      <c r="V105" s="29">
        <f t="shared" si="132"/>
        <v>3687324.48</v>
      </c>
      <c r="X105" s="25">
        <f t="shared" si="133"/>
        <v>3191549.76</v>
      </c>
      <c r="Y105" s="27">
        <f t="shared" si="134"/>
        <v>606394.45439999993</v>
      </c>
      <c r="Z105" s="27">
        <f t="shared" si="125"/>
        <v>3797944.2143999999</v>
      </c>
      <c r="AA105" s="29">
        <f t="shared" si="135"/>
        <v>3797944.2143999999</v>
      </c>
      <c r="AC105" s="29">
        <f t="shared" si="136"/>
        <v>11017188.694399999</v>
      </c>
    </row>
    <row r="106" spans="1:29" s="6" customFormat="1" ht="45.75" customHeight="1" x14ac:dyDescent="0.3">
      <c r="A106" s="147" t="s">
        <v>17</v>
      </c>
      <c r="B106" s="147"/>
      <c r="C106" s="147"/>
      <c r="D106" s="147"/>
      <c r="E106" s="147"/>
      <c r="F106" s="147"/>
      <c r="G106" s="147"/>
      <c r="H106" s="147"/>
      <c r="I106" s="14"/>
      <c r="J106" s="14"/>
      <c r="K106" s="14"/>
      <c r="L106" s="14"/>
      <c r="M106" s="14"/>
      <c r="N106" s="15"/>
      <c r="O106" s="15"/>
      <c r="Q106" s="32">
        <f>SUM(Q64:Q105)</f>
        <v>79250484.507446945</v>
      </c>
      <c r="S106" s="15"/>
      <c r="T106" s="15"/>
      <c r="V106" s="32">
        <f>SUM(V64:V105)</f>
        <v>82737505.82577458</v>
      </c>
      <c r="X106" s="15"/>
      <c r="Y106" s="15"/>
      <c r="AA106" s="32">
        <f>SUM(AA64:AA105)</f>
        <v>85219631.000547826</v>
      </c>
      <c r="AC106" s="32">
        <f>SUM(AC64:AC105)</f>
        <v>247207621.33376938</v>
      </c>
    </row>
    <row r="107" spans="1:29" s="6" customFormat="1" ht="43.5" customHeight="1" x14ac:dyDescent="0.3">
      <c r="A107" s="201" t="s">
        <v>178</v>
      </c>
      <c r="B107" s="201"/>
      <c r="C107" s="201"/>
      <c r="D107" s="201"/>
      <c r="E107" s="201"/>
      <c r="F107" s="201"/>
      <c r="G107" s="201"/>
      <c r="H107" s="201"/>
      <c r="I107" s="14"/>
      <c r="J107" s="14"/>
      <c r="K107" s="14"/>
      <c r="L107" s="14"/>
      <c r="M107" s="14"/>
      <c r="N107" s="9"/>
      <c r="O107" s="9"/>
      <c r="Q107" s="72">
        <f>+Q61</f>
        <v>29732385.38665707</v>
      </c>
      <c r="S107" s="9"/>
      <c r="T107" s="9"/>
      <c r="V107" s="72">
        <f>+V61</f>
        <v>413238418.98468214</v>
      </c>
      <c r="X107" s="9"/>
      <c r="Y107" s="9"/>
      <c r="AA107" s="72">
        <f>+AA61</f>
        <v>393663742.90024251</v>
      </c>
      <c r="AC107" s="72">
        <f>+AC61</f>
        <v>836634547.27158165</v>
      </c>
    </row>
    <row r="108" spans="1:29" s="6" customFormat="1" ht="16.5" x14ac:dyDescent="0.3">
      <c r="D108" s="7"/>
      <c r="E108" s="7"/>
      <c r="F108" s="7"/>
      <c r="G108" s="7"/>
      <c r="H108" s="8"/>
      <c r="I108" s="8"/>
      <c r="J108" s="14"/>
      <c r="K108" s="14"/>
      <c r="L108" s="14"/>
      <c r="M108" s="14"/>
      <c r="N108" s="9"/>
      <c r="O108" s="9"/>
      <c r="P108" s="9"/>
      <c r="Q108" s="30"/>
    </row>
    <row r="109" spans="1:29" ht="16.5" x14ac:dyDescent="0.3">
      <c r="J109" s="14"/>
      <c r="K109" s="14"/>
      <c r="L109" s="14"/>
      <c r="M109" s="14"/>
      <c r="N109" s="9"/>
    </row>
    <row r="110" spans="1:29" ht="16.5" x14ac:dyDescent="0.3">
      <c r="B110" s="40" t="s">
        <v>20</v>
      </c>
      <c r="C110" s="40"/>
      <c r="D110" s="41"/>
      <c r="E110" s="41"/>
      <c r="F110" s="41"/>
      <c r="G110" s="41"/>
      <c r="H110" s="41"/>
      <c r="I110" s="41"/>
      <c r="J110" s="14"/>
      <c r="K110" s="14"/>
      <c r="L110" s="14"/>
      <c r="M110" s="14"/>
      <c r="N110" s="9"/>
    </row>
    <row r="111" spans="1:29" s="19" customFormat="1" ht="27.75" customHeight="1" x14ac:dyDescent="0.3">
      <c r="A111" s="16"/>
      <c r="B111" s="161" t="s">
        <v>34</v>
      </c>
      <c r="C111" s="161"/>
      <c r="D111" s="161"/>
      <c r="E111" s="161"/>
      <c r="F111" s="161"/>
      <c r="G111" s="161"/>
      <c r="H111" s="161"/>
      <c r="I111" s="66"/>
      <c r="J111" s="14"/>
      <c r="K111" s="14"/>
      <c r="L111" s="14"/>
      <c r="M111" s="14"/>
      <c r="N111" s="9"/>
      <c r="Q111" s="31"/>
      <c r="R111" s="16"/>
      <c r="S111" s="16"/>
      <c r="T111" s="16"/>
      <c r="U111" s="16"/>
    </row>
    <row r="112" spans="1:29" s="19" customFormat="1" ht="40.5" customHeight="1" x14ac:dyDescent="0.3">
      <c r="A112" s="16"/>
      <c r="B112" s="161" t="s">
        <v>205</v>
      </c>
      <c r="C112" s="161"/>
      <c r="D112" s="161"/>
      <c r="E112" s="161"/>
      <c r="F112" s="161"/>
      <c r="G112" s="161"/>
      <c r="H112" s="161"/>
      <c r="I112" s="70"/>
      <c r="J112" s="14"/>
      <c r="K112" s="14"/>
      <c r="L112" s="14"/>
      <c r="M112" s="14"/>
      <c r="N112" s="9"/>
      <c r="Q112" s="31"/>
      <c r="R112" s="16"/>
      <c r="S112" s="16"/>
      <c r="T112" s="16"/>
      <c r="U112" s="16"/>
    </row>
    <row r="113" spans="1:18" ht="50.25" customHeight="1" x14ac:dyDescent="0.3">
      <c r="B113" s="161" t="s">
        <v>35</v>
      </c>
      <c r="C113" s="161"/>
      <c r="D113" s="161"/>
      <c r="E113" s="161"/>
      <c r="F113" s="161"/>
      <c r="G113" s="161"/>
      <c r="H113" s="161"/>
      <c r="I113" s="70"/>
      <c r="J113" s="14"/>
      <c r="K113" s="14"/>
      <c r="L113" s="14"/>
      <c r="M113" s="14"/>
      <c r="N113" s="9"/>
    </row>
    <row r="115" spans="1:18" s="35" customFormat="1" ht="16.5" customHeight="1" x14ac:dyDescent="0.3">
      <c r="A115" s="67"/>
      <c r="B115" s="162" t="s">
        <v>211</v>
      </c>
      <c r="C115" s="162"/>
      <c r="D115" s="162"/>
      <c r="E115" s="162"/>
      <c r="F115" s="34"/>
      <c r="G115" s="34"/>
      <c r="H115" s="34"/>
      <c r="I115" s="71"/>
      <c r="J115" s="68"/>
      <c r="M115" s="68"/>
      <c r="N115" s="68"/>
      <c r="Q115" s="68"/>
      <c r="R115" s="68"/>
    </row>
    <row r="116" spans="1:18" s="35" customFormat="1" ht="16.5" customHeight="1" x14ac:dyDescent="0.3">
      <c r="A116" s="61"/>
      <c r="B116" s="159" t="s">
        <v>210</v>
      </c>
      <c r="C116" s="159"/>
      <c r="D116" s="36"/>
      <c r="E116" s="36"/>
      <c r="F116" s="34"/>
      <c r="G116" s="34"/>
      <c r="H116" s="34"/>
      <c r="I116" s="71"/>
      <c r="J116" s="68"/>
      <c r="M116" s="68"/>
      <c r="N116" s="68"/>
      <c r="Q116" s="68"/>
      <c r="R116" s="68"/>
    </row>
    <row r="117" spans="1:18" s="35" customFormat="1" ht="16.5" x14ac:dyDescent="0.3">
      <c r="A117" s="61"/>
      <c r="B117" s="37"/>
      <c r="C117" s="37"/>
      <c r="D117" s="37"/>
      <c r="E117" s="37"/>
      <c r="F117" s="38"/>
      <c r="G117" s="38"/>
      <c r="H117" s="38"/>
      <c r="I117" s="71"/>
      <c r="J117" s="68"/>
      <c r="M117" s="68"/>
      <c r="N117" s="68"/>
      <c r="Q117" s="68"/>
      <c r="R117" s="68"/>
    </row>
    <row r="118" spans="1:18" s="35" customFormat="1" ht="16.5" x14ac:dyDescent="0.3">
      <c r="A118" s="61"/>
      <c r="B118" s="37"/>
      <c r="C118" s="37"/>
      <c r="D118" s="37"/>
      <c r="E118" s="37"/>
      <c r="F118" s="38"/>
      <c r="G118" s="38"/>
      <c r="H118" s="38"/>
      <c r="I118" s="71"/>
      <c r="J118" s="68"/>
      <c r="M118" s="68"/>
      <c r="N118" s="68"/>
      <c r="Q118" s="68"/>
      <c r="R118" s="68"/>
    </row>
    <row r="119" spans="1:18" s="35" customFormat="1" ht="16.5" x14ac:dyDescent="0.3">
      <c r="A119" s="61"/>
      <c r="B119" s="37"/>
      <c r="C119" s="37"/>
      <c r="D119" s="37"/>
      <c r="E119" s="37"/>
      <c r="F119" s="38"/>
      <c r="G119" s="38"/>
      <c r="H119" s="38"/>
      <c r="I119" s="71"/>
      <c r="J119" s="68"/>
      <c r="M119" s="68"/>
      <c r="N119" s="68"/>
      <c r="Q119" s="68"/>
      <c r="R119" s="68"/>
    </row>
    <row r="120" spans="1:18" s="35" customFormat="1" ht="16.5" x14ac:dyDescent="0.3">
      <c r="A120" s="61"/>
      <c r="B120" s="37"/>
      <c r="C120" s="37"/>
      <c r="D120" s="37"/>
      <c r="E120" s="37"/>
      <c r="F120" s="38"/>
      <c r="G120" s="38"/>
      <c r="H120" s="38"/>
      <c r="I120" s="71"/>
      <c r="J120" s="68"/>
      <c r="M120" s="68"/>
      <c r="N120" s="68"/>
      <c r="Q120" s="68"/>
      <c r="R120" s="68"/>
    </row>
    <row r="121" spans="1:18" s="35" customFormat="1" ht="16.5" x14ac:dyDescent="0.3">
      <c r="A121" s="61"/>
      <c r="B121" s="37"/>
      <c r="C121" s="37"/>
      <c r="D121" s="37"/>
      <c r="E121" s="37"/>
      <c r="F121" s="38"/>
      <c r="G121" s="38"/>
      <c r="H121" s="38"/>
      <c r="I121" s="71"/>
      <c r="J121" s="68"/>
      <c r="M121" s="68"/>
      <c r="N121" s="68"/>
      <c r="Q121" s="68"/>
      <c r="R121" s="68"/>
    </row>
    <row r="122" spans="1:18" s="35" customFormat="1" ht="16.5" x14ac:dyDescent="0.3">
      <c r="A122" s="61"/>
      <c r="B122" s="39"/>
      <c r="C122" s="39"/>
      <c r="D122" s="37"/>
      <c r="E122" s="37"/>
      <c r="F122" s="38"/>
      <c r="G122" s="38"/>
      <c r="H122" s="38"/>
      <c r="I122" s="71"/>
      <c r="J122" s="68"/>
      <c r="M122" s="68"/>
      <c r="N122" s="68"/>
      <c r="Q122" s="68"/>
      <c r="R122" s="68"/>
    </row>
    <row r="123" spans="1:18" s="35" customFormat="1" ht="16.5" x14ac:dyDescent="0.3">
      <c r="A123" s="61"/>
      <c r="B123" s="39"/>
      <c r="C123" s="39"/>
      <c r="D123" s="37"/>
      <c r="E123" s="37"/>
      <c r="F123" s="38"/>
      <c r="G123" s="38"/>
      <c r="H123" s="38"/>
      <c r="I123" s="71"/>
      <c r="J123" s="68"/>
      <c r="M123" s="68"/>
      <c r="N123" s="68"/>
      <c r="Q123" s="68"/>
      <c r="R123" s="68"/>
    </row>
  </sheetData>
  <mergeCells count="64">
    <mergeCell ref="B115:C115"/>
    <mergeCell ref="D115:E115"/>
    <mergeCell ref="B116:C116"/>
    <mergeCell ref="A106:H106"/>
    <mergeCell ref="A107:H107"/>
    <mergeCell ref="B111:H111"/>
    <mergeCell ref="B112:H112"/>
    <mergeCell ref="B113:H113"/>
    <mergeCell ref="A61:H61"/>
    <mergeCell ref="B74:F74"/>
    <mergeCell ref="B75:F75"/>
    <mergeCell ref="B76:F76"/>
    <mergeCell ref="B72:F72"/>
    <mergeCell ref="A62:H62"/>
    <mergeCell ref="B63:F63"/>
    <mergeCell ref="B105:F105"/>
    <mergeCell ref="B92:F92"/>
    <mergeCell ref="B93:F93"/>
    <mergeCell ref="B94:F94"/>
    <mergeCell ref="B96:F96"/>
    <mergeCell ref="B97:F97"/>
    <mergeCell ref="B98:F98"/>
    <mergeCell ref="B99:F99"/>
    <mergeCell ref="B102:F102"/>
    <mergeCell ref="B103:F103"/>
    <mergeCell ref="B104:F104"/>
    <mergeCell ref="B100:F100"/>
    <mergeCell ref="B101:F101"/>
    <mergeCell ref="B84:F84"/>
    <mergeCell ref="B79:F79"/>
    <mergeCell ref="B86:F86"/>
    <mergeCell ref="B91:F91"/>
    <mergeCell ref="B95:F95"/>
    <mergeCell ref="B87:F87"/>
    <mergeCell ref="B88:F88"/>
    <mergeCell ref="B89:F89"/>
    <mergeCell ref="B90:F90"/>
    <mergeCell ref="B80:F80"/>
    <mergeCell ref="B81:F81"/>
    <mergeCell ref="B82:F82"/>
    <mergeCell ref="B83:F83"/>
    <mergeCell ref="B85:F85"/>
    <mergeCell ref="B77:F77"/>
    <mergeCell ref="B78:F78"/>
    <mergeCell ref="B64:F64"/>
    <mergeCell ref="B65:F65"/>
    <mergeCell ref="B66:F66"/>
    <mergeCell ref="B67:F67"/>
    <mergeCell ref="B71:F71"/>
    <mergeCell ref="B68:F68"/>
    <mergeCell ref="B69:F69"/>
    <mergeCell ref="B70:F70"/>
    <mergeCell ref="B73:F73"/>
    <mergeCell ref="A1:AC1"/>
    <mergeCell ref="A2:B2"/>
    <mergeCell ref="C2:AC2"/>
    <mergeCell ref="A4:H4"/>
    <mergeCell ref="J4:J5"/>
    <mergeCell ref="N4:AC4"/>
    <mergeCell ref="A5:H5"/>
    <mergeCell ref="N5:Q5"/>
    <mergeCell ref="S5:V5"/>
    <mergeCell ref="X5:AA5"/>
    <mergeCell ref="L4:L5"/>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Y130"/>
  <sheetViews>
    <sheetView tabSelected="1" topLeftCell="A102" zoomScale="90" zoomScaleNormal="90" workbookViewId="0">
      <selection sqref="A1:Y1"/>
    </sheetView>
  </sheetViews>
  <sheetFormatPr baseColWidth="10" defaultColWidth="9.140625" defaultRowHeight="12.75" x14ac:dyDescent="0.2"/>
  <cols>
    <col min="1" max="1" width="10.7109375" style="16" customWidth="1"/>
    <col min="2" max="2" width="52" style="16" customWidth="1"/>
    <col min="3" max="3" width="18.5703125" style="16" customWidth="1"/>
    <col min="4" max="4" width="15" style="17" customWidth="1"/>
    <col min="5" max="7" width="16.140625" style="17" customWidth="1"/>
    <col min="8" max="8" width="19.140625" style="18" customWidth="1"/>
    <col min="9" max="9" width="3.42578125" style="18" customWidth="1"/>
    <col min="10" max="10" width="19" style="19" customWidth="1"/>
    <col min="11" max="11" width="14.42578125" style="19" customWidth="1"/>
    <col min="12" max="12" width="20.42578125" style="19" customWidth="1"/>
    <col min="13" max="13" width="21" style="31" customWidth="1"/>
    <col min="14" max="14" width="4.5703125" style="16" customWidth="1"/>
    <col min="15" max="15" width="18.7109375" style="16" customWidth="1"/>
    <col min="16" max="16" width="14.42578125" style="16" customWidth="1"/>
    <col min="17" max="17" width="19" style="16" customWidth="1"/>
    <col min="18" max="18" width="25.42578125" style="16" customWidth="1"/>
    <col min="19" max="19" width="4.28515625" style="16" customWidth="1"/>
    <col min="20" max="20" width="16.85546875" style="16" customWidth="1"/>
    <col min="21" max="21" width="14.42578125" style="16" customWidth="1"/>
    <col min="22" max="22" width="18" style="16" customWidth="1"/>
    <col min="23" max="23" width="24.85546875" style="16" customWidth="1"/>
    <col min="24" max="24" width="4.42578125" style="16" customWidth="1"/>
    <col min="25" max="25" width="22.42578125" style="16" customWidth="1"/>
    <col min="26" max="244" width="9.140625" style="16"/>
    <col min="245" max="245" width="10.7109375" style="16" customWidth="1"/>
    <col min="246" max="246" width="60.140625" style="16" customWidth="1"/>
    <col min="247" max="247" width="27.5703125" style="16" customWidth="1"/>
    <col min="248" max="248" width="16.140625" style="16" customWidth="1"/>
    <col min="249" max="249" width="22.85546875" style="16" customWidth="1"/>
    <col min="250" max="250" width="3.7109375" style="16" customWidth="1"/>
    <col min="251" max="257" width="0" style="16" hidden="1" customWidth="1"/>
    <col min="258" max="258" width="3.140625" style="16" customWidth="1"/>
    <col min="259" max="260" width="19.42578125" style="16" customWidth="1"/>
    <col min="261" max="261" width="23.28515625" style="16" customWidth="1"/>
    <col min="262" max="262" width="19.5703125" style="16" customWidth="1"/>
    <col min="263" max="263" width="9.140625" style="16"/>
    <col min="264" max="264" width="18.7109375" style="16" customWidth="1"/>
    <col min="265" max="500" width="9.140625" style="16"/>
    <col min="501" max="501" width="10.7109375" style="16" customWidth="1"/>
    <col min="502" max="502" width="60.140625" style="16" customWidth="1"/>
    <col min="503" max="503" width="27.5703125" style="16" customWidth="1"/>
    <col min="504" max="504" width="16.140625" style="16" customWidth="1"/>
    <col min="505" max="505" width="22.85546875" style="16" customWidth="1"/>
    <col min="506" max="506" width="3.7109375" style="16" customWidth="1"/>
    <col min="507" max="513" width="0" style="16" hidden="1" customWidth="1"/>
    <col min="514" max="514" width="3.140625" style="16" customWidth="1"/>
    <col min="515" max="516" width="19.42578125" style="16" customWidth="1"/>
    <col min="517" max="517" width="23.28515625" style="16" customWidth="1"/>
    <col min="518" max="518" width="19.5703125" style="16" customWidth="1"/>
    <col min="519" max="519" width="9.140625" style="16"/>
    <col min="520" max="520" width="18.7109375" style="16" customWidth="1"/>
    <col min="521" max="756" width="9.140625" style="16"/>
    <col min="757" max="757" width="10.7109375" style="16" customWidth="1"/>
    <col min="758" max="758" width="60.140625" style="16" customWidth="1"/>
    <col min="759" max="759" width="27.5703125" style="16" customWidth="1"/>
    <col min="760" max="760" width="16.140625" style="16" customWidth="1"/>
    <col min="761" max="761" width="22.85546875" style="16" customWidth="1"/>
    <col min="762" max="762" width="3.7109375" style="16" customWidth="1"/>
    <col min="763" max="769" width="0" style="16" hidden="1" customWidth="1"/>
    <col min="770" max="770" width="3.140625" style="16" customWidth="1"/>
    <col min="771" max="772" width="19.42578125" style="16" customWidth="1"/>
    <col min="773" max="773" width="23.28515625" style="16" customWidth="1"/>
    <col min="774" max="774" width="19.5703125" style="16" customWidth="1"/>
    <col min="775" max="775" width="9.140625" style="16"/>
    <col min="776" max="776" width="18.7109375" style="16" customWidth="1"/>
    <col min="777" max="1012" width="9.140625" style="16"/>
    <col min="1013" max="1013" width="10.7109375" style="16" customWidth="1"/>
    <col min="1014" max="1014" width="60.140625" style="16" customWidth="1"/>
    <col min="1015" max="1015" width="27.5703125" style="16" customWidth="1"/>
    <col min="1016" max="1016" width="16.140625" style="16" customWidth="1"/>
    <col min="1017" max="1017" width="22.85546875" style="16" customWidth="1"/>
    <col min="1018" max="1018" width="3.7109375" style="16" customWidth="1"/>
    <col min="1019" max="1025" width="0" style="16" hidden="1" customWidth="1"/>
    <col min="1026" max="1026" width="3.140625" style="16" customWidth="1"/>
    <col min="1027" max="1028" width="19.42578125" style="16" customWidth="1"/>
    <col min="1029" max="1029" width="23.28515625" style="16" customWidth="1"/>
    <col min="1030" max="1030" width="19.5703125" style="16" customWidth="1"/>
    <col min="1031" max="1031" width="9.140625" style="16"/>
    <col min="1032" max="1032" width="18.7109375" style="16" customWidth="1"/>
    <col min="1033" max="1268" width="9.140625" style="16"/>
    <col min="1269" max="1269" width="10.7109375" style="16" customWidth="1"/>
    <col min="1270" max="1270" width="60.140625" style="16" customWidth="1"/>
    <col min="1271" max="1271" width="27.5703125" style="16" customWidth="1"/>
    <col min="1272" max="1272" width="16.140625" style="16" customWidth="1"/>
    <col min="1273" max="1273" width="22.85546875" style="16" customWidth="1"/>
    <col min="1274" max="1274" width="3.7109375" style="16" customWidth="1"/>
    <col min="1275" max="1281" width="0" style="16" hidden="1" customWidth="1"/>
    <col min="1282" max="1282" width="3.140625" style="16" customWidth="1"/>
    <col min="1283" max="1284" width="19.42578125" style="16" customWidth="1"/>
    <col min="1285" max="1285" width="23.28515625" style="16" customWidth="1"/>
    <col min="1286" max="1286" width="19.5703125" style="16" customWidth="1"/>
    <col min="1287" max="1287" width="9.140625" style="16"/>
    <col min="1288" max="1288" width="18.7109375" style="16" customWidth="1"/>
    <col min="1289" max="1524" width="9.140625" style="16"/>
    <col min="1525" max="1525" width="10.7109375" style="16" customWidth="1"/>
    <col min="1526" max="1526" width="60.140625" style="16" customWidth="1"/>
    <col min="1527" max="1527" width="27.5703125" style="16" customWidth="1"/>
    <col min="1528" max="1528" width="16.140625" style="16" customWidth="1"/>
    <col min="1529" max="1529" width="22.85546875" style="16" customWidth="1"/>
    <col min="1530" max="1530" width="3.7109375" style="16" customWidth="1"/>
    <col min="1531" max="1537" width="0" style="16" hidden="1" customWidth="1"/>
    <col min="1538" max="1538" width="3.140625" style="16" customWidth="1"/>
    <col min="1539" max="1540" width="19.42578125" style="16" customWidth="1"/>
    <col min="1541" max="1541" width="23.28515625" style="16" customWidth="1"/>
    <col min="1542" max="1542" width="19.5703125" style="16" customWidth="1"/>
    <col min="1543" max="1543" width="9.140625" style="16"/>
    <col min="1544" max="1544" width="18.7109375" style="16" customWidth="1"/>
    <col min="1545" max="1780" width="9.140625" style="16"/>
    <col min="1781" max="1781" width="10.7109375" style="16" customWidth="1"/>
    <col min="1782" max="1782" width="60.140625" style="16" customWidth="1"/>
    <col min="1783" max="1783" width="27.5703125" style="16" customWidth="1"/>
    <col min="1784" max="1784" width="16.140625" style="16" customWidth="1"/>
    <col min="1785" max="1785" width="22.85546875" style="16" customWidth="1"/>
    <col min="1786" max="1786" width="3.7109375" style="16" customWidth="1"/>
    <col min="1787" max="1793" width="0" style="16" hidden="1" customWidth="1"/>
    <col min="1794" max="1794" width="3.140625" style="16" customWidth="1"/>
    <col min="1795" max="1796" width="19.42578125" style="16" customWidth="1"/>
    <col min="1797" max="1797" width="23.28515625" style="16" customWidth="1"/>
    <col min="1798" max="1798" width="19.5703125" style="16" customWidth="1"/>
    <col min="1799" max="1799" width="9.140625" style="16"/>
    <col min="1800" max="1800" width="18.7109375" style="16" customWidth="1"/>
    <col min="1801" max="2036" width="9.140625" style="16"/>
    <col min="2037" max="2037" width="10.7109375" style="16" customWidth="1"/>
    <col min="2038" max="2038" width="60.140625" style="16" customWidth="1"/>
    <col min="2039" max="2039" width="27.5703125" style="16" customWidth="1"/>
    <col min="2040" max="2040" width="16.140625" style="16" customWidth="1"/>
    <col min="2041" max="2041" width="22.85546875" style="16" customWidth="1"/>
    <col min="2042" max="2042" width="3.7109375" style="16" customWidth="1"/>
    <col min="2043" max="2049" width="0" style="16" hidden="1" customWidth="1"/>
    <col min="2050" max="2050" width="3.140625" style="16" customWidth="1"/>
    <col min="2051" max="2052" width="19.42578125" style="16" customWidth="1"/>
    <col min="2053" max="2053" width="23.28515625" style="16" customWidth="1"/>
    <col min="2054" max="2054" width="19.5703125" style="16" customWidth="1"/>
    <col min="2055" max="2055" width="9.140625" style="16"/>
    <col min="2056" max="2056" width="18.7109375" style="16" customWidth="1"/>
    <col min="2057" max="2292" width="9.140625" style="16"/>
    <col min="2293" max="2293" width="10.7109375" style="16" customWidth="1"/>
    <col min="2294" max="2294" width="60.140625" style="16" customWidth="1"/>
    <col min="2295" max="2295" width="27.5703125" style="16" customWidth="1"/>
    <col min="2296" max="2296" width="16.140625" style="16" customWidth="1"/>
    <col min="2297" max="2297" width="22.85546875" style="16" customWidth="1"/>
    <col min="2298" max="2298" width="3.7109375" style="16" customWidth="1"/>
    <col min="2299" max="2305" width="0" style="16" hidden="1" customWidth="1"/>
    <col min="2306" max="2306" width="3.140625" style="16" customWidth="1"/>
    <col min="2307" max="2308" width="19.42578125" style="16" customWidth="1"/>
    <col min="2309" max="2309" width="23.28515625" style="16" customWidth="1"/>
    <col min="2310" max="2310" width="19.5703125" style="16" customWidth="1"/>
    <col min="2311" max="2311" width="9.140625" style="16"/>
    <col min="2312" max="2312" width="18.7109375" style="16" customWidth="1"/>
    <col min="2313" max="2548" width="9.140625" style="16"/>
    <col min="2549" max="2549" width="10.7109375" style="16" customWidth="1"/>
    <col min="2550" max="2550" width="60.140625" style="16" customWidth="1"/>
    <col min="2551" max="2551" width="27.5703125" style="16" customWidth="1"/>
    <col min="2552" max="2552" width="16.140625" style="16" customWidth="1"/>
    <col min="2553" max="2553" width="22.85546875" style="16" customWidth="1"/>
    <col min="2554" max="2554" width="3.7109375" style="16" customWidth="1"/>
    <col min="2555" max="2561" width="0" style="16" hidden="1" customWidth="1"/>
    <col min="2562" max="2562" width="3.140625" style="16" customWidth="1"/>
    <col min="2563" max="2564" width="19.42578125" style="16" customWidth="1"/>
    <col min="2565" max="2565" width="23.28515625" style="16" customWidth="1"/>
    <col min="2566" max="2566" width="19.5703125" style="16" customWidth="1"/>
    <col min="2567" max="2567" width="9.140625" style="16"/>
    <col min="2568" max="2568" width="18.7109375" style="16" customWidth="1"/>
    <col min="2569" max="2804" width="9.140625" style="16"/>
    <col min="2805" max="2805" width="10.7109375" style="16" customWidth="1"/>
    <col min="2806" max="2806" width="60.140625" style="16" customWidth="1"/>
    <col min="2807" max="2807" width="27.5703125" style="16" customWidth="1"/>
    <col min="2808" max="2808" width="16.140625" style="16" customWidth="1"/>
    <col min="2809" max="2809" width="22.85546875" style="16" customWidth="1"/>
    <col min="2810" max="2810" width="3.7109375" style="16" customWidth="1"/>
    <col min="2811" max="2817" width="0" style="16" hidden="1" customWidth="1"/>
    <col min="2818" max="2818" width="3.140625" style="16" customWidth="1"/>
    <col min="2819" max="2820" width="19.42578125" style="16" customWidth="1"/>
    <col min="2821" max="2821" width="23.28515625" style="16" customWidth="1"/>
    <col min="2822" max="2822" width="19.5703125" style="16" customWidth="1"/>
    <col min="2823" max="2823" width="9.140625" style="16"/>
    <col min="2824" max="2824" width="18.7109375" style="16" customWidth="1"/>
    <col min="2825" max="3060" width="9.140625" style="16"/>
    <col min="3061" max="3061" width="10.7109375" style="16" customWidth="1"/>
    <col min="3062" max="3062" width="60.140625" style="16" customWidth="1"/>
    <col min="3063" max="3063" width="27.5703125" style="16" customWidth="1"/>
    <col min="3064" max="3064" width="16.140625" style="16" customWidth="1"/>
    <col min="3065" max="3065" width="22.85546875" style="16" customWidth="1"/>
    <col min="3066" max="3066" width="3.7109375" style="16" customWidth="1"/>
    <col min="3067" max="3073" width="0" style="16" hidden="1" customWidth="1"/>
    <col min="3074" max="3074" width="3.140625" style="16" customWidth="1"/>
    <col min="3075" max="3076" width="19.42578125" style="16" customWidth="1"/>
    <col min="3077" max="3077" width="23.28515625" style="16" customWidth="1"/>
    <col min="3078" max="3078" width="19.5703125" style="16" customWidth="1"/>
    <col min="3079" max="3079" width="9.140625" style="16"/>
    <col min="3080" max="3080" width="18.7109375" style="16" customWidth="1"/>
    <col min="3081" max="3316" width="9.140625" style="16"/>
    <col min="3317" max="3317" width="10.7109375" style="16" customWidth="1"/>
    <col min="3318" max="3318" width="60.140625" style="16" customWidth="1"/>
    <col min="3319" max="3319" width="27.5703125" style="16" customWidth="1"/>
    <col min="3320" max="3320" width="16.140625" style="16" customWidth="1"/>
    <col min="3321" max="3321" width="22.85546875" style="16" customWidth="1"/>
    <col min="3322" max="3322" width="3.7109375" style="16" customWidth="1"/>
    <col min="3323" max="3329" width="0" style="16" hidden="1" customWidth="1"/>
    <col min="3330" max="3330" width="3.140625" style="16" customWidth="1"/>
    <col min="3331" max="3332" width="19.42578125" style="16" customWidth="1"/>
    <col min="3333" max="3333" width="23.28515625" style="16" customWidth="1"/>
    <col min="3334" max="3334" width="19.5703125" style="16" customWidth="1"/>
    <col min="3335" max="3335" width="9.140625" style="16"/>
    <col min="3336" max="3336" width="18.7109375" style="16" customWidth="1"/>
    <col min="3337" max="3572" width="9.140625" style="16"/>
    <col min="3573" max="3573" width="10.7109375" style="16" customWidth="1"/>
    <col min="3574" max="3574" width="60.140625" style="16" customWidth="1"/>
    <col min="3575" max="3575" width="27.5703125" style="16" customWidth="1"/>
    <col min="3576" max="3576" width="16.140625" style="16" customWidth="1"/>
    <col min="3577" max="3577" width="22.85546875" style="16" customWidth="1"/>
    <col min="3578" max="3578" width="3.7109375" style="16" customWidth="1"/>
    <col min="3579" max="3585" width="0" style="16" hidden="1" customWidth="1"/>
    <col min="3586" max="3586" width="3.140625" style="16" customWidth="1"/>
    <col min="3587" max="3588" width="19.42578125" style="16" customWidth="1"/>
    <col min="3589" max="3589" width="23.28515625" style="16" customWidth="1"/>
    <col min="3590" max="3590" width="19.5703125" style="16" customWidth="1"/>
    <col min="3591" max="3591" width="9.140625" style="16"/>
    <col min="3592" max="3592" width="18.7109375" style="16" customWidth="1"/>
    <col min="3593" max="3828" width="9.140625" style="16"/>
    <col min="3829" max="3829" width="10.7109375" style="16" customWidth="1"/>
    <col min="3830" max="3830" width="60.140625" style="16" customWidth="1"/>
    <col min="3831" max="3831" width="27.5703125" style="16" customWidth="1"/>
    <col min="3832" max="3832" width="16.140625" style="16" customWidth="1"/>
    <col min="3833" max="3833" width="22.85546875" style="16" customWidth="1"/>
    <col min="3834" max="3834" width="3.7109375" style="16" customWidth="1"/>
    <col min="3835" max="3841" width="0" style="16" hidden="1" customWidth="1"/>
    <col min="3842" max="3842" width="3.140625" style="16" customWidth="1"/>
    <col min="3843" max="3844" width="19.42578125" style="16" customWidth="1"/>
    <col min="3845" max="3845" width="23.28515625" style="16" customWidth="1"/>
    <col min="3846" max="3846" width="19.5703125" style="16" customWidth="1"/>
    <col min="3847" max="3847" width="9.140625" style="16"/>
    <col min="3848" max="3848" width="18.7109375" style="16" customWidth="1"/>
    <col min="3849" max="4084" width="9.140625" style="16"/>
    <col min="4085" max="4085" width="10.7109375" style="16" customWidth="1"/>
    <col min="4086" max="4086" width="60.140625" style="16" customWidth="1"/>
    <col min="4087" max="4087" width="27.5703125" style="16" customWidth="1"/>
    <col min="4088" max="4088" width="16.140625" style="16" customWidth="1"/>
    <col min="4089" max="4089" width="22.85546875" style="16" customWidth="1"/>
    <col min="4090" max="4090" width="3.7109375" style="16" customWidth="1"/>
    <col min="4091" max="4097" width="0" style="16" hidden="1" customWidth="1"/>
    <col min="4098" max="4098" width="3.140625" style="16" customWidth="1"/>
    <col min="4099" max="4100" width="19.42578125" style="16" customWidth="1"/>
    <col min="4101" max="4101" width="23.28515625" style="16" customWidth="1"/>
    <col min="4102" max="4102" width="19.5703125" style="16" customWidth="1"/>
    <col min="4103" max="4103" width="9.140625" style="16"/>
    <col min="4104" max="4104" width="18.7109375" style="16" customWidth="1"/>
    <col min="4105" max="4340" width="9.140625" style="16"/>
    <col min="4341" max="4341" width="10.7109375" style="16" customWidth="1"/>
    <col min="4342" max="4342" width="60.140625" style="16" customWidth="1"/>
    <col min="4343" max="4343" width="27.5703125" style="16" customWidth="1"/>
    <col min="4344" max="4344" width="16.140625" style="16" customWidth="1"/>
    <col min="4345" max="4345" width="22.85546875" style="16" customWidth="1"/>
    <col min="4346" max="4346" width="3.7109375" style="16" customWidth="1"/>
    <col min="4347" max="4353" width="0" style="16" hidden="1" customWidth="1"/>
    <col min="4354" max="4354" width="3.140625" style="16" customWidth="1"/>
    <col min="4355" max="4356" width="19.42578125" style="16" customWidth="1"/>
    <col min="4357" max="4357" width="23.28515625" style="16" customWidth="1"/>
    <col min="4358" max="4358" width="19.5703125" style="16" customWidth="1"/>
    <col min="4359" max="4359" width="9.140625" style="16"/>
    <col min="4360" max="4360" width="18.7109375" style="16" customWidth="1"/>
    <col min="4361" max="4596" width="9.140625" style="16"/>
    <col min="4597" max="4597" width="10.7109375" style="16" customWidth="1"/>
    <col min="4598" max="4598" width="60.140625" style="16" customWidth="1"/>
    <col min="4599" max="4599" width="27.5703125" style="16" customWidth="1"/>
    <col min="4600" max="4600" width="16.140625" style="16" customWidth="1"/>
    <col min="4601" max="4601" width="22.85546875" style="16" customWidth="1"/>
    <col min="4602" max="4602" width="3.7109375" style="16" customWidth="1"/>
    <col min="4603" max="4609" width="0" style="16" hidden="1" customWidth="1"/>
    <col min="4610" max="4610" width="3.140625" style="16" customWidth="1"/>
    <col min="4611" max="4612" width="19.42578125" style="16" customWidth="1"/>
    <col min="4613" max="4613" width="23.28515625" style="16" customWidth="1"/>
    <col min="4614" max="4614" width="19.5703125" style="16" customWidth="1"/>
    <col min="4615" max="4615" width="9.140625" style="16"/>
    <col min="4616" max="4616" width="18.7109375" style="16" customWidth="1"/>
    <col min="4617" max="4852" width="9.140625" style="16"/>
    <col min="4853" max="4853" width="10.7109375" style="16" customWidth="1"/>
    <col min="4854" max="4854" width="60.140625" style="16" customWidth="1"/>
    <col min="4855" max="4855" width="27.5703125" style="16" customWidth="1"/>
    <col min="4856" max="4856" width="16.140625" style="16" customWidth="1"/>
    <col min="4857" max="4857" width="22.85546875" style="16" customWidth="1"/>
    <col min="4858" max="4858" width="3.7109375" style="16" customWidth="1"/>
    <col min="4859" max="4865" width="0" style="16" hidden="1" customWidth="1"/>
    <col min="4866" max="4866" width="3.140625" style="16" customWidth="1"/>
    <col min="4867" max="4868" width="19.42578125" style="16" customWidth="1"/>
    <col min="4869" max="4869" width="23.28515625" style="16" customWidth="1"/>
    <col min="4870" max="4870" width="19.5703125" style="16" customWidth="1"/>
    <col min="4871" max="4871" width="9.140625" style="16"/>
    <col min="4872" max="4872" width="18.7109375" style="16" customWidth="1"/>
    <col min="4873" max="5108" width="9.140625" style="16"/>
    <col min="5109" max="5109" width="10.7109375" style="16" customWidth="1"/>
    <col min="5110" max="5110" width="60.140625" style="16" customWidth="1"/>
    <col min="5111" max="5111" width="27.5703125" style="16" customWidth="1"/>
    <col min="5112" max="5112" width="16.140625" style="16" customWidth="1"/>
    <col min="5113" max="5113" width="22.85546875" style="16" customWidth="1"/>
    <col min="5114" max="5114" width="3.7109375" style="16" customWidth="1"/>
    <col min="5115" max="5121" width="0" style="16" hidden="1" customWidth="1"/>
    <col min="5122" max="5122" width="3.140625" style="16" customWidth="1"/>
    <col min="5123" max="5124" width="19.42578125" style="16" customWidth="1"/>
    <col min="5125" max="5125" width="23.28515625" style="16" customWidth="1"/>
    <col min="5126" max="5126" width="19.5703125" style="16" customWidth="1"/>
    <col min="5127" max="5127" width="9.140625" style="16"/>
    <col min="5128" max="5128" width="18.7109375" style="16" customWidth="1"/>
    <col min="5129" max="5364" width="9.140625" style="16"/>
    <col min="5365" max="5365" width="10.7109375" style="16" customWidth="1"/>
    <col min="5366" max="5366" width="60.140625" style="16" customWidth="1"/>
    <col min="5367" max="5367" width="27.5703125" style="16" customWidth="1"/>
    <col min="5368" max="5368" width="16.140625" style="16" customWidth="1"/>
    <col min="5369" max="5369" width="22.85546875" style="16" customWidth="1"/>
    <col min="5370" max="5370" width="3.7109375" style="16" customWidth="1"/>
    <col min="5371" max="5377" width="0" style="16" hidden="1" customWidth="1"/>
    <col min="5378" max="5378" width="3.140625" style="16" customWidth="1"/>
    <col min="5379" max="5380" width="19.42578125" style="16" customWidth="1"/>
    <col min="5381" max="5381" width="23.28515625" style="16" customWidth="1"/>
    <col min="5382" max="5382" width="19.5703125" style="16" customWidth="1"/>
    <col min="5383" max="5383" width="9.140625" style="16"/>
    <col min="5384" max="5384" width="18.7109375" style="16" customWidth="1"/>
    <col min="5385" max="5620" width="9.140625" style="16"/>
    <col min="5621" max="5621" width="10.7109375" style="16" customWidth="1"/>
    <col min="5622" max="5622" width="60.140625" style="16" customWidth="1"/>
    <col min="5623" max="5623" width="27.5703125" style="16" customWidth="1"/>
    <col min="5624" max="5624" width="16.140625" style="16" customWidth="1"/>
    <col min="5625" max="5625" width="22.85546875" style="16" customWidth="1"/>
    <col min="5626" max="5626" width="3.7109375" style="16" customWidth="1"/>
    <col min="5627" max="5633" width="0" style="16" hidden="1" customWidth="1"/>
    <col min="5634" max="5634" width="3.140625" style="16" customWidth="1"/>
    <col min="5635" max="5636" width="19.42578125" style="16" customWidth="1"/>
    <col min="5637" max="5637" width="23.28515625" style="16" customWidth="1"/>
    <col min="5638" max="5638" width="19.5703125" style="16" customWidth="1"/>
    <col min="5639" max="5639" width="9.140625" style="16"/>
    <col min="5640" max="5640" width="18.7109375" style="16" customWidth="1"/>
    <col min="5641" max="5876" width="9.140625" style="16"/>
    <col min="5877" max="5877" width="10.7109375" style="16" customWidth="1"/>
    <col min="5878" max="5878" width="60.140625" style="16" customWidth="1"/>
    <col min="5879" max="5879" width="27.5703125" style="16" customWidth="1"/>
    <col min="5880" max="5880" width="16.140625" style="16" customWidth="1"/>
    <col min="5881" max="5881" width="22.85546875" style="16" customWidth="1"/>
    <col min="5882" max="5882" width="3.7109375" style="16" customWidth="1"/>
    <col min="5883" max="5889" width="0" style="16" hidden="1" customWidth="1"/>
    <col min="5890" max="5890" width="3.140625" style="16" customWidth="1"/>
    <col min="5891" max="5892" width="19.42578125" style="16" customWidth="1"/>
    <col min="5893" max="5893" width="23.28515625" style="16" customWidth="1"/>
    <col min="5894" max="5894" width="19.5703125" style="16" customWidth="1"/>
    <col min="5895" max="5895" width="9.140625" style="16"/>
    <col min="5896" max="5896" width="18.7109375" style="16" customWidth="1"/>
    <col min="5897" max="6132" width="9.140625" style="16"/>
    <col min="6133" max="6133" width="10.7109375" style="16" customWidth="1"/>
    <col min="6134" max="6134" width="60.140625" style="16" customWidth="1"/>
    <col min="6135" max="6135" width="27.5703125" style="16" customWidth="1"/>
    <col min="6136" max="6136" width="16.140625" style="16" customWidth="1"/>
    <col min="6137" max="6137" width="22.85546875" style="16" customWidth="1"/>
    <col min="6138" max="6138" width="3.7109375" style="16" customWidth="1"/>
    <col min="6139" max="6145" width="0" style="16" hidden="1" customWidth="1"/>
    <col min="6146" max="6146" width="3.140625" style="16" customWidth="1"/>
    <col min="6147" max="6148" width="19.42578125" style="16" customWidth="1"/>
    <col min="6149" max="6149" width="23.28515625" style="16" customWidth="1"/>
    <col min="6150" max="6150" width="19.5703125" style="16" customWidth="1"/>
    <col min="6151" max="6151" width="9.140625" style="16"/>
    <col min="6152" max="6152" width="18.7109375" style="16" customWidth="1"/>
    <col min="6153" max="6388" width="9.140625" style="16"/>
    <col min="6389" max="6389" width="10.7109375" style="16" customWidth="1"/>
    <col min="6390" max="6390" width="60.140625" style="16" customWidth="1"/>
    <col min="6391" max="6391" width="27.5703125" style="16" customWidth="1"/>
    <col min="6392" max="6392" width="16.140625" style="16" customWidth="1"/>
    <col min="6393" max="6393" width="22.85546875" style="16" customWidth="1"/>
    <col min="6394" max="6394" width="3.7109375" style="16" customWidth="1"/>
    <col min="6395" max="6401" width="0" style="16" hidden="1" customWidth="1"/>
    <col min="6402" max="6402" width="3.140625" style="16" customWidth="1"/>
    <col min="6403" max="6404" width="19.42578125" style="16" customWidth="1"/>
    <col min="6405" max="6405" width="23.28515625" style="16" customWidth="1"/>
    <col min="6406" max="6406" width="19.5703125" style="16" customWidth="1"/>
    <col min="6407" max="6407" width="9.140625" style="16"/>
    <col min="6408" max="6408" width="18.7109375" style="16" customWidth="1"/>
    <col min="6409" max="6644" width="9.140625" style="16"/>
    <col min="6645" max="6645" width="10.7109375" style="16" customWidth="1"/>
    <col min="6646" max="6646" width="60.140625" style="16" customWidth="1"/>
    <col min="6647" max="6647" width="27.5703125" style="16" customWidth="1"/>
    <col min="6648" max="6648" width="16.140625" style="16" customWidth="1"/>
    <col min="6649" max="6649" width="22.85546875" style="16" customWidth="1"/>
    <col min="6650" max="6650" width="3.7109375" style="16" customWidth="1"/>
    <col min="6651" max="6657" width="0" style="16" hidden="1" customWidth="1"/>
    <col min="6658" max="6658" width="3.140625" style="16" customWidth="1"/>
    <col min="6659" max="6660" width="19.42578125" style="16" customWidth="1"/>
    <col min="6661" max="6661" width="23.28515625" style="16" customWidth="1"/>
    <col min="6662" max="6662" width="19.5703125" style="16" customWidth="1"/>
    <col min="6663" max="6663" width="9.140625" style="16"/>
    <col min="6664" max="6664" width="18.7109375" style="16" customWidth="1"/>
    <col min="6665" max="6900" width="9.140625" style="16"/>
    <col min="6901" max="6901" width="10.7109375" style="16" customWidth="1"/>
    <col min="6902" max="6902" width="60.140625" style="16" customWidth="1"/>
    <col min="6903" max="6903" width="27.5703125" style="16" customWidth="1"/>
    <col min="6904" max="6904" width="16.140625" style="16" customWidth="1"/>
    <col min="6905" max="6905" width="22.85546875" style="16" customWidth="1"/>
    <col min="6906" max="6906" width="3.7109375" style="16" customWidth="1"/>
    <col min="6907" max="6913" width="0" style="16" hidden="1" customWidth="1"/>
    <col min="6914" max="6914" width="3.140625" style="16" customWidth="1"/>
    <col min="6915" max="6916" width="19.42578125" style="16" customWidth="1"/>
    <col min="6917" max="6917" width="23.28515625" style="16" customWidth="1"/>
    <col min="6918" max="6918" width="19.5703125" style="16" customWidth="1"/>
    <col min="6919" max="6919" width="9.140625" style="16"/>
    <col min="6920" max="6920" width="18.7109375" style="16" customWidth="1"/>
    <col min="6921" max="7156" width="9.140625" style="16"/>
    <col min="7157" max="7157" width="10.7109375" style="16" customWidth="1"/>
    <col min="7158" max="7158" width="60.140625" style="16" customWidth="1"/>
    <col min="7159" max="7159" width="27.5703125" style="16" customWidth="1"/>
    <col min="7160" max="7160" width="16.140625" style="16" customWidth="1"/>
    <col min="7161" max="7161" width="22.85546875" style="16" customWidth="1"/>
    <col min="7162" max="7162" width="3.7109375" style="16" customWidth="1"/>
    <col min="7163" max="7169" width="0" style="16" hidden="1" customWidth="1"/>
    <col min="7170" max="7170" width="3.140625" style="16" customWidth="1"/>
    <col min="7171" max="7172" width="19.42578125" style="16" customWidth="1"/>
    <col min="7173" max="7173" width="23.28515625" style="16" customWidth="1"/>
    <col min="7174" max="7174" width="19.5703125" style="16" customWidth="1"/>
    <col min="7175" max="7175" width="9.140625" style="16"/>
    <col min="7176" max="7176" width="18.7109375" style="16" customWidth="1"/>
    <col min="7177" max="7412" width="9.140625" style="16"/>
    <col min="7413" max="7413" width="10.7109375" style="16" customWidth="1"/>
    <col min="7414" max="7414" width="60.140625" style="16" customWidth="1"/>
    <col min="7415" max="7415" width="27.5703125" style="16" customWidth="1"/>
    <col min="7416" max="7416" width="16.140625" style="16" customWidth="1"/>
    <col min="7417" max="7417" width="22.85546875" style="16" customWidth="1"/>
    <col min="7418" max="7418" width="3.7109375" style="16" customWidth="1"/>
    <col min="7419" max="7425" width="0" style="16" hidden="1" customWidth="1"/>
    <col min="7426" max="7426" width="3.140625" style="16" customWidth="1"/>
    <col min="7427" max="7428" width="19.42578125" style="16" customWidth="1"/>
    <col min="7429" max="7429" width="23.28515625" style="16" customWidth="1"/>
    <col min="7430" max="7430" width="19.5703125" style="16" customWidth="1"/>
    <col min="7431" max="7431" width="9.140625" style="16"/>
    <col min="7432" max="7432" width="18.7109375" style="16" customWidth="1"/>
    <col min="7433" max="7668" width="9.140625" style="16"/>
    <col min="7669" max="7669" width="10.7109375" style="16" customWidth="1"/>
    <col min="7670" max="7670" width="60.140625" style="16" customWidth="1"/>
    <col min="7671" max="7671" width="27.5703125" style="16" customWidth="1"/>
    <col min="7672" max="7672" width="16.140625" style="16" customWidth="1"/>
    <col min="7673" max="7673" width="22.85546875" style="16" customWidth="1"/>
    <col min="7674" max="7674" width="3.7109375" style="16" customWidth="1"/>
    <col min="7675" max="7681" width="0" style="16" hidden="1" customWidth="1"/>
    <col min="7682" max="7682" width="3.140625" style="16" customWidth="1"/>
    <col min="7683" max="7684" width="19.42578125" style="16" customWidth="1"/>
    <col min="7685" max="7685" width="23.28515625" style="16" customWidth="1"/>
    <col min="7686" max="7686" width="19.5703125" style="16" customWidth="1"/>
    <col min="7687" max="7687" width="9.140625" style="16"/>
    <col min="7688" max="7688" width="18.7109375" style="16" customWidth="1"/>
    <col min="7689" max="7924" width="9.140625" style="16"/>
    <col min="7925" max="7925" width="10.7109375" style="16" customWidth="1"/>
    <col min="7926" max="7926" width="60.140625" style="16" customWidth="1"/>
    <col min="7927" max="7927" width="27.5703125" style="16" customWidth="1"/>
    <col min="7928" max="7928" width="16.140625" style="16" customWidth="1"/>
    <col min="7929" max="7929" width="22.85546875" style="16" customWidth="1"/>
    <col min="7930" max="7930" width="3.7109375" style="16" customWidth="1"/>
    <col min="7931" max="7937" width="0" style="16" hidden="1" customWidth="1"/>
    <col min="7938" max="7938" width="3.140625" style="16" customWidth="1"/>
    <col min="7939" max="7940" width="19.42578125" style="16" customWidth="1"/>
    <col min="7941" max="7941" width="23.28515625" style="16" customWidth="1"/>
    <col min="7942" max="7942" width="19.5703125" style="16" customWidth="1"/>
    <col min="7943" max="7943" width="9.140625" style="16"/>
    <col min="7944" max="7944" width="18.7109375" style="16" customWidth="1"/>
    <col min="7945" max="8180" width="9.140625" style="16"/>
    <col min="8181" max="8181" width="10.7109375" style="16" customWidth="1"/>
    <col min="8182" max="8182" width="60.140625" style="16" customWidth="1"/>
    <col min="8183" max="8183" width="27.5703125" style="16" customWidth="1"/>
    <col min="8184" max="8184" width="16.140625" style="16" customWidth="1"/>
    <col min="8185" max="8185" width="22.85546875" style="16" customWidth="1"/>
    <col min="8186" max="8186" width="3.7109375" style="16" customWidth="1"/>
    <col min="8187" max="8193" width="0" style="16" hidden="1" customWidth="1"/>
    <col min="8194" max="8194" width="3.140625" style="16" customWidth="1"/>
    <col min="8195" max="8196" width="19.42578125" style="16" customWidth="1"/>
    <col min="8197" max="8197" width="23.28515625" style="16" customWidth="1"/>
    <col min="8198" max="8198" width="19.5703125" style="16" customWidth="1"/>
    <col min="8199" max="8199" width="9.140625" style="16"/>
    <col min="8200" max="8200" width="18.7109375" style="16" customWidth="1"/>
    <col min="8201" max="8436" width="9.140625" style="16"/>
    <col min="8437" max="8437" width="10.7109375" style="16" customWidth="1"/>
    <col min="8438" max="8438" width="60.140625" style="16" customWidth="1"/>
    <col min="8439" max="8439" width="27.5703125" style="16" customWidth="1"/>
    <col min="8440" max="8440" width="16.140625" style="16" customWidth="1"/>
    <col min="8441" max="8441" width="22.85546875" style="16" customWidth="1"/>
    <col min="8442" max="8442" width="3.7109375" style="16" customWidth="1"/>
    <col min="8443" max="8449" width="0" style="16" hidden="1" customWidth="1"/>
    <col min="8450" max="8450" width="3.140625" style="16" customWidth="1"/>
    <col min="8451" max="8452" width="19.42578125" style="16" customWidth="1"/>
    <col min="8453" max="8453" width="23.28515625" style="16" customWidth="1"/>
    <col min="8454" max="8454" width="19.5703125" style="16" customWidth="1"/>
    <col min="8455" max="8455" width="9.140625" style="16"/>
    <col min="8456" max="8456" width="18.7109375" style="16" customWidth="1"/>
    <col min="8457" max="8692" width="9.140625" style="16"/>
    <col min="8693" max="8693" width="10.7109375" style="16" customWidth="1"/>
    <col min="8694" max="8694" width="60.140625" style="16" customWidth="1"/>
    <col min="8695" max="8695" width="27.5703125" style="16" customWidth="1"/>
    <col min="8696" max="8696" width="16.140625" style="16" customWidth="1"/>
    <col min="8697" max="8697" width="22.85546875" style="16" customWidth="1"/>
    <col min="8698" max="8698" width="3.7109375" style="16" customWidth="1"/>
    <col min="8699" max="8705" width="0" style="16" hidden="1" customWidth="1"/>
    <col min="8706" max="8706" width="3.140625" style="16" customWidth="1"/>
    <col min="8707" max="8708" width="19.42578125" style="16" customWidth="1"/>
    <col min="8709" max="8709" width="23.28515625" style="16" customWidth="1"/>
    <col min="8710" max="8710" width="19.5703125" style="16" customWidth="1"/>
    <col min="8711" max="8711" width="9.140625" style="16"/>
    <col min="8712" max="8712" width="18.7109375" style="16" customWidth="1"/>
    <col min="8713" max="8948" width="9.140625" style="16"/>
    <col min="8949" max="8949" width="10.7109375" style="16" customWidth="1"/>
    <col min="8950" max="8950" width="60.140625" style="16" customWidth="1"/>
    <col min="8951" max="8951" width="27.5703125" style="16" customWidth="1"/>
    <col min="8952" max="8952" width="16.140625" style="16" customWidth="1"/>
    <col min="8953" max="8953" width="22.85546875" style="16" customWidth="1"/>
    <col min="8954" max="8954" width="3.7109375" style="16" customWidth="1"/>
    <col min="8955" max="8961" width="0" style="16" hidden="1" customWidth="1"/>
    <col min="8962" max="8962" width="3.140625" style="16" customWidth="1"/>
    <col min="8963" max="8964" width="19.42578125" style="16" customWidth="1"/>
    <col min="8965" max="8965" width="23.28515625" style="16" customWidth="1"/>
    <col min="8966" max="8966" width="19.5703125" style="16" customWidth="1"/>
    <col min="8967" max="8967" width="9.140625" style="16"/>
    <col min="8968" max="8968" width="18.7109375" style="16" customWidth="1"/>
    <col min="8969" max="9204" width="9.140625" style="16"/>
    <col min="9205" max="9205" width="10.7109375" style="16" customWidth="1"/>
    <col min="9206" max="9206" width="60.140625" style="16" customWidth="1"/>
    <col min="9207" max="9207" width="27.5703125" style="16" customWidth="1"/>
    <col min="9208" max="9208" width="16.140625" style="16" customWidth="1"/>
    <col min="9209" max="9209" width="22.85546875" style="16" customWidth="1"/>
    <col min="9210" max="9210" width="3.7109375" style="16" customWidth="1"/>
    <col min="9211" max="9217" width="0" style="16" hidden="1" customWidth="1"/>
    <col min="9218" max="9218" width="3.140625" style="16" customWidth="1"/>
    <col min="9219" max="9220" width="19.42578125" style="16" customWidth="1"/>
    <col min="9221" max="9221" width="23.28515625" style="16" customWidth="1"/>
    <col min="9222" max="9222" width="19.5703125" style="16" customWidth="1"/>
    <col min="9223" max="9223" width="9.140625" style="16"/>
    <col min="9224" max="9224" width="18.7109375" style="16" customWidth="1"/>
    <col min="9225" max="9460" width="9.140625" style="16"/>
    <col min="9461" max="9461" width="10.7109375" style="16" customWidth="1"/>
    <col min="9462" max="9462" width="60.140625" style="16" customWidth="1"/>
    <col min="9463" max="9463" width="27.5703125" style="16" customWidth="1"/>
    <col min="9464" max="9464" width="16.140625" style="16" customWidth="1"/>
    <col min="9465" max="9465" width="22.85546875" style="16" customWidth="1"/>
    <col min="9466" max="9466" width="3.7109375" style="16" customWidth="1"/>
    <col min="9467" max="9473" width="0" style="16" hidden="1" customWidth="1"/>
    <col min="9474" max="9474" width="3.140625" style="16" customWidth="1"/>
    <col min="9475" max="9476" width="19.42578125" style="16" customWidth="1"/>
    <col min="9477" max="9477" width="23.28515625" style="16" customWidth="1"/>
    <col min="9478" max="9478" width="19.5703125" style="16" customWidth="1"/>
    <col min="9479" max="9479" width="9.140625" style="16"/>
    <col min="9480" max="9480" width="18.7109375" style="16" customWidth="1"/>
    <col min="9481" max="9716" width="9.140625" style="16"/>
    <col min="9717" max="9717" width="10.7109375" style="16" customWidth="1"/>
    <col min="9718" max="9718" width="60.140625" style="16" customWidth="1"/>
    <col min="9719" max="9719" width="27.5703125" style="16" customWidth="1"/>
    <col min="9720" max="9720" width="16.140625" style="16" customWidth="1"/>
    <col min="9721" max="9721" width="22.85546875" style="16" customWidth="1"/>
    <col min="9722" max="9722" width="3.7109375" style="16" customWidth="1"/>
    <col min="9723" max="9729" width="0" style="16" hidden="1" customWidth="1"/>
    <col min="9730" max="9730" width="3.140625" style="16" customWidth="1"/>
    <col min="9731" max="9732" width="19.42578125" style="16" customWidth="1"/>
    <col min="9733" max="9733" width="23.28515625" style="16" customWidth="1"/>
    <col min="9734" max="9734" width="19.5703125" style="16" customWidth="1"/>
    <col min="9735" max="9735" width="9.140625" style="16"/>
    <col min="9736" max="9736" width="18.7109375" style="16" customWidth="1"/>
    <col min="9737" max="9972" width="9.140625" style="16"/>
    <col min="9973" max="9973" width="10.7109375" style="16" customWidth="1"/>
    <col min="9974" max="9974" width="60.140625" style="16" customWidth="1"/>
    <col min="9975" max="9975" width="27.5703125" style="16" customWidth="1"/>
    <col min="9976" max="9976" width="16.140625" style="16" customWidth="1"/>
    <col min="9977" max="9977" width="22.85546875" style="16" customWidth="1"/>
    <col min="9978" max="9978" width="3.7109375" style="16" customWidth="1"/>
    <col min="9979" max="9985" width="0" style="16" hidden="1" customWidth="1"/>
    <col min="9986" max="9986" width="3.140625" style="16" customWidth="1"/>
    <col min="9987" max="9988" width="19.42578125" style="16" customWidth="1"/>
    <col min="9989" max="9989" width="23.28515625" style="16" customWidth="1"/>
    <col min="9990" max="9990" width="19.5703125" style="16" customWidth="1"/>
    <col min="9991" max="9991" width="9.140625" style="16"/>
    <col min="9992" max="9992" width="18.7109375" style="16" customWidth="1"/>
    <col min="9993" max="10228" width="9.140625" style="16"/>
    <col min="10229" max="10229" width="10.7109375" style="16" customWidth="1"/>
    <col min="10230" max="10230" width="60.140625" style="16" customWidth="1"/>
    <col min="10231" max="10231" width="27.5703125" style="16" customWidth="1"/>
    <col min="10232" max="10232" width="16.140625" style="16" customWidth="1"/>
    <col min="10233" max="10233" width="22.85546875" style="16" customWidth="1"/>
    <col min="10234" max="10234" width="3.7109375" style="16" customWidth="1"/>
    <col min="10235" max="10241" width="0" style="16" hidden="1" customWidth="1"/>
    <col min="10242" max="10242" width="3.140625" style="16" customWidth="1"/>
    <col min="10243" max="10244" width="19.42578125" style="16" customWidth="1"/>
    <col min="10245" max="10245" width="23.28515625" style="16" customWidth="1"/>
    <col min="10246" max="10246" width="19.5703125" style="16" customWidth="1"/>
    <col min="10247" max="10247" width="9.140625" style="16"/>
    <col min="10248" max="10248" width="18.7109375" style="16" customWidth="1"/>
    <col min="10249" max="10484" width="9.140625" style="16"/>
    <col min="10485" max="10485" width="10.7109375" style="16" customWidth="1"/>
    <col min="10486" max="10486" width="60.140625" style="16" customWidth="1"/>
    <col min="10487" max="10487" width="27.5703125" style="16" customWidth="1"/>
    <col min="10488" max="10488" width="16.140625" style="16" customWidth="1"/>
    <col min="10489" max="10489" width="22.85546875" style="16" customWidth="1"/>
    <col min="10490" max="10490" width="3.7109375" style="16" customWidth="1"/>
    <col min="10491" max="10497" width="0" style="16" hidden="1" customWidth="1"/>
    <col min="10498" max="10498" width="3.140625" style="16" customWidth="1"/>
    <col min="10499" max="10500" width="19.42578125" style="16" customWidth="1"/>
    <col min="10501" max="10501" width="23.28515625" style="16" customWidth="1"/>
    <col min="10502" max="10502" width="19.5703125" style="16" customWidth="1"/>
    <col min="10503" max="10503" width="9.140625" style="16"/>
    <col min="10504" max="10504" width="18.7109375" style="16" customWidth="1"/>
    <col min="10505" max="10740" width="9.140625" style="16"/>
    <col min="10741" max="10741" width="10.7109375" style="16" customWidth="1"/>
    <col min="10742" max="10742" width="60.140625" style="16" customWidth="1"/>
    <col min="10743" max="10743" width="27.5703125" style="16" customWidth="1"/>
    <col min="10744" max="10744" width="16.140625" style="16" customWidth="1"/>
    <col min="10745" max="10745" width="22.85546875" style="16" customWidth="1"/>
    <col min="10746" max="10746" width="3.7109375" style="16" customWidth="1"/>
    <col min="10747" max="10753" width="0" style="16" hidden="1" customWidth="1"/>
    <col min="10754" max="10754" width="3.140625" style="16" customWidth="1"/>
    <col min="10755" max="10756" width="19.42578125" style="16" customWidth="1"/>
    <col min="10757" max="10757" width="23.28515625" style="16" customWidth="1"/>
    <col min="10758" max="10758" width="19.5703125" style="16" customWidth="1"/>
    <col min="10759" max="10759" width="9.140625" style="16"/>
    <col min="10760" max="10760" width="18.7109375" style="16" customWidth="1"/>
    <col min="10761" max="10996" width="9.140625" style="16"/>
    <col min="10997" max="10997" width="10.7109375" style="16" customWidth="1"/>
    <col min="10998" max="10998" width="60.140625" style="16" customWidth="1"/>
    <col min="10999" max="10999" width="27.5703125" style="16" customWidth="1"/>
    <col min="11000" max="11000" width="16.140625" style="16" customWidth="1"/>
    <col min="11001" max="11001" width="22.85546875" style="16" customWidth="1"/>
    <col min="11002" max="11002" width="3.7109375" style="16" customWidth="1"/>
    <col min="11003" max="11009" width="0" style="16" hidden="1" customWidth="1"/>
    <col min="11010" max="11010" width="3.140625" style="16" customWidth="1"/>
    <col min="11011" max="11012" width="19.42578125" style="16" customWidth="1"/>
    <col min="11013" max="11013" width="23.28515625" style="16" customWidth="1"/>
    <col min="11014" max="11014" width="19.5703125" style="16" customWidth="1"/>
    <col min="11015" max="11015" width="9.140625" style="16"/>
    <col min="11016" max="11016" width="18.7109375" style="16" customWidth="1"/>
    <col min="11017" max="11252" width="9.140625" style="16"/>
    <col min="11253" max="11253" width="10.7109375" style="16" customWidth="1"/>
    <col min="11254" max="11254" width="60.140625" style="16" customWidth="1"/>
    <col min="11255" max="11255" width="27.5703125" style="16" customWidth="1"/>
    <col min="11256" max="11256" width="16.140625" style="16" customWidth="1"/>
    <col min="11257" max="11257" width="22.85546875" style="16" customWidth="1"/>
    <col min="11258" max="11258" width="3.7109375" style="16" customWidth="1"/>
    <col min="11259" max="11265" width="0" style="16" hidden="1" customWidth="1"/>
    <col min="11266" max="11266" width="3.140625" style="16" customWidth="1"/>
    <col min="11267" max="11268" width="19.42578125" style="16" customWidth="1"/>
    <col min="11269" max="11269" width="23.28515625" style="16" customWidth="1"/>
    <col min="11270" max="11270" width="19.5703125" style="16" customWidth="1"/>
    <col min="11271" max="11271" width="9.140625" style="16"/>
    <col min="11272" max="11272" width="18.7109375" style="16" customWidth="1"/>
    <col min="11273" max="11508" width="9.140625" style="16"/>
    <col min="11509" max="11509" width="10.7109375" style="16" customWidth="1"/>
    <col min="11510" max="11510" width="60.140625" style="16" customWidth="1"/>
    <col min="11511" max="11511" width="27.5703125" style="16" customWidth="1"/>
    <col min="11512" max="11512" width="16.140625" style="16" customWidth="1"/>
    <col min="11513" max="11513" width="22.85546875" style="16" customWidth="1"/>
    <col min="11514" max="11514" width="3.7109375" style="16" customWidth="1"/>
    <col min="11515" max="11521" width="0" style="16" hidden="1" customWidth="1"/>
    <col min="11522" max="11522" width="3.140625" style="16" customWidth="1"/>
    <col min="11523" max="11524" width="19.42578125" style="16" customWidth="1"/>
    <col min="11525" max="11525" width="23.28515625" style="16" customWidth="1"/>
    <col min="11526" max="11526" width="19.5703125" style="16" customWidth="1"/>
    <col min="11527" max="11527" width="9.140625" style="16"/>
    <col min="11528" max="11528" width="18.7109375" style="16" customWidth="1"/>
    <col min="11529" max="11764" width="9.140625" style="16"/>
    <col min="11765" max="11765" width="10.7109375" style="16" customWidth="1"/>
    <col min="11766" max="11766" width="60.140625" style="16" customWidth="1"/>
    <col min="11767" max="11767" width="27.5703125" style="16" customWidth="1"/>
    <col min="11768" max="11768" width="16.140625" style="16" customWidth="1"/>
    <col min="11769" max="11769" width="22.85546875" style="16" customWidth="1"/>
    <col min="11770" max="11770" width="3.7109375" style="16" customWidth="1"/>
    <col min="11771" max="11777" width="0" style="16" hidden="1" customWidth="1"/>
    <col min="11778" max="11778" width="3.140625" style="16" customWidth="1"/>
    <col min="11779" max="11780" width="19.42578125" style="16" customWidth="1"/>
    <col min="11781" max="11781" width="23.28515625" style="16" customWidth="1"/>
    <col min="11782" max="11782" width="19.5703125" style="16" customWidth="1"/>
    <col min="11783" max="11783" width="9.140625" style="16"/>
    <col min="11784" max="11784" width="18.7109375" style="16" customWidth="1"/>
    <col min="11785" max="12020" width="9.140625" style="16"/>
    <col min="12021" max="12021" width="10.7109375" style="16" customWidth="1"/>
    <col min="12022" max="12022" width="60.140625" style="16" customWidth="1"/>
    <col min="12023" max="12023" width="27.5703125" style="16" customWidth="1"/>
    <col min="12024" max="12024" width="16.140625" style="16" customWidth="1"/>
    <col min="12025" max="12025" width="22.85546875" style="16" customWidth="1"/>
    <col min="12026" max="12026" width="3.7109375" style="16" customWidth="1"/>
    <col min="12027" max="12033" width="0" style="16" hidden="1" customWidth="1"/>
    <col min="12034" max="12034" width="3.140625" style="16" customWidth="1"/>
    <col min="12035" max="12036" width="19.42578125" style="16" customWidth="1"/>
    <col min="12037" max="12037" width="23.28515625" style="16" customWidth="1"/>
    <col min="12038" max="12038" width="19.5703125" style="16" customWidth="1"/>
    <col min="12039" max="12039" width="9.140625" style="16"/>
    <col min="12040" max="12040" width="18.7109375" style="16" customWidth="1"/>
    <col min="12041" max="12276" width="9.140625" style="16"/>
    <col min="12277" max="12277" width="10.7109375" style="16" customWidth="1"/>
    <col min="12278" max="12278" width="60.140625" style="16" customWidth="1"/>
    <col min="12279" max="12279" width="27.5703125" style="16" customWidth="1"/>
    <col min="12280" max="12280" width="16.140625" style="16" customWidth="1"/>
    <col min="12281" max="12281" width="22.85546875" style="16" customWidth="1"/>
    <col min="12282" max="12282" width="3.7109375" style="16" customWidth="1"/>
    <col min="12283" max="12289" width="0" style="16" hidden="1" customWidth="1"/>
    <col min="12290" max="12290" width="3.140625" style="16" customWidth="1"/>
    <col min="12291" max="12292" width="19.42578125" style="16" customWidth="1"/>
    <col min="12293" max="12293" width="23.28515625" style="16" customWidth="1"/>
    <col min="12294" max="12294" width="19.5703125" style="16" customWidth="1"/>
    <col min="12295" max="12295" width="9.140625" style="16"/>
    <col min="12296" max="12296" width="18.7109375" style="16" customWidth="1"/>
    <col min="12297" max="12532" width="9.140625" style="16"/>
    <col min="12533" max="12533" width="10.7109375" style="16" customWidth="1"/>
    <col min="12534" max="12534" width="60.140625" style="16" customWidth="1"/>
    <col min="12535" max="12535" width="27.5703125" style="16" customWidth="1"/>
    <col min="12536" max="12536" width="16.140625" style="16" customWidth="1"/>
    <col min="12537" max="12537" width="22.85546875" style="16" customWidth="1"/>
    <col min="12538" max="12538" width="3.7109375" style="16" customWidth="1"/>
    <col min="12539" max="12545" width="0" style="16" hidden="1" customWidth="1"/>
    <col min="12546" max="12546" width="3.140625" style="16" customWidth="1"/>
    <col min="12547" max="12548" width="19.42578125" style="16" customWidth="1"/>
    <col min="12549" max="12549" width="23.28515625" style="16" customWidth="1"/>
    <col min="12550" max="12550" width="19.5703125" style="16" customWidth="1"/>
    <col min="12551" max="12551" width="9.140625" style="16"/>
    <col min="12552" max="12552" width="18.7109375" style="16" customWidth="1"/>
    <col min="12553" max="12788" width="9.140625" style="16"/>
    <col min="12789" max="12789" width="10.7109375" style="16" customWidth="1"/>
    <col min="12790" max="12790" width="60.140625" style="16" customWidth="1"/>
    <col min="12791" max="12791" width="27.5703125" style="16" customWidth="1"/>
    <col min="12792" max="12792" width="16.140625" style="16" customWidth="1"/>
    <col min="12793" max="12793" width="22.85546875" style="16" customWidth="1"/>
    <col min="12794" max="12794" width="3.7109375" style="16" customWidth="1"/>
    <col min="12795" max="12801" width="0" style="16" hidden="1" customWidth="1"/>
    <col min="12802" max="12802" width="3.140625" style="16" customWidth="1"/>
    <col min="12803" max="12804" width="19.42578125" style="16" customWidth="1"/>
    <col min="12805" max="12805" width="23.28515625" style="16" customWidth="1"/>
    <col min="12806" max="12806" width="19.5703125" style="16" customWidth="1"/>
    <col min="12807" max="12807" width="9.140625" style="16"/>
    <col min="12808" max="12808" width="18.7109375" style="16" customWidth="1"/>
    <col min="12809" max="13044" width="9.140625" style="16"/>
    <col min="13045" max="13045" width="10.7109375" style="16" customWidth="1"/>
    <col min="13046" max="13046" width="60.140625" style="16" customWidth="1"/>
    <col min="13047" max="13047" width="27.5703125" style="16" customWidth="1"/>
    <col min="13048" max="13048" width="16.140625" style="16" customWidth="1"/>
    <col min="13049" max="13049" width="22.85546875" style="16" customWidth="1"/>
    <col min="13050" max="13050" width="3.7109375" style="16" customWidth="1"/>
    <col min="13051" max="13057" width="0" style="16" hidden="1" customWidth="1"/>
    <col min="13058" max="13058" width="3.140625" style="16" customWidth="1"/>
    <col min="13059" max="13060" width="19.42578125" style="16" customWidth="1"/>
    <col min="13061" max="13061" width="23.28515625" style="16" customWidth="1"/>
    <col min="13062" max="13062" width="19.5703125" style="16" customWidth="1"/>
    <col min="13063" max="13063" width="9.140625" style="16"/>
    <col min="13064" max="13064" width="18.7109375" style="16" customWidth="1"/>
    <col min="13065" max="13300" width="9.140625" style="16"/>
    <col min="13301" max="13301" width="10.7109375" style="16" customWidth="1"/>
    <col min="13302" max="13302" width="60.140625" style="16" customWidth="1"/>
    <col min="13303" max="13303" width="27.5703125" style="16" customWidth="1"/>
    <col min="13304" max="13304" width="16.140625" style="16" customWidth="1"/>
    <col min="13305" max="13305" width="22.85546875" style="16" customWidth="1"/>
    <col min="13306" max="13306" width="3.7109375" style="16" customWidth="1"/>
    <col min="13307" max="13313" width="0" style="16" hidden="1" customWidth="1"/>
    <col min="13314" max="13314" width="3.140625" style="16" customWidth="1"/>
    <col min="13315" max="13316" width="19.42578125" style="16" customWidth="1"/>
    <col min="13317" max="13317" width="23.28515625" style="16" customWidth="1"/>
    <col min="13318" max="13318" width="19.5703125" style="16" customWidth="1"/>
    <col min="13319" max="13319" width="9.140625" style="16"/>
    <col min="13320" max="13320" width="18.7109375" style="16" customWidth="1"/>
    <col min="13321" max="13556" width="9.140625" style="16"/>
    <col min="13557" max="13557" width="10.7109375" style="16" customWidth="1"/>
    <col min="13558" max="13558" width="60.140625" style="16" customWidth="1"/>
    <col min="13559" max="13559" width="27.5703125" style="16" customWidth="1"/>
    <col min="13560" max="13560" width="16.140625" style="16" customWidth="1"/>
    <col min="13561" max="13561" width="22.85546875" style="16" customWidth="1"/>
    <col min="13562" max="13562" width="3.7109375" style="16" customWidth="1"/>
    <col min="13563" max="13569" width="0" style="16" hidden="1" customWidth="1"/>
    <col min="13570" max="13570" width="3.140625" style="16" customWidth="1"/>
    <col min="13571" max="13572" width="19.42578125" style="16" customWidth="1"/>
    <col min="13573" max="13573" width="23.28515625" style="16" customWidth="1"/>
    <col min="13574" max="13574" width="19.5703125" style="16" customWidth="1"/>
    <col min="13575" max="13575" width="9.140625" style="16"/>
    <col min="13576" max="13576" width="18.7109375" style="16" customWidth="1"/>
    <col min="13577" max="13812" width="9.140625" style="16"/>
    <col min="13813" max="13813" width="10.7109375" style="16" customWidth="1"/>
    <col min="13814" max="13814" width="60.140625" style="16" customWidth="1"/>
    <col min="13815" max="13815" width="27.5703125" style="16" customWidth="1"/>
    <col min="13816" max="13816" width="16.140625" style="16" customWidth="1"/>
    <col min="13817" max="13817" width="22.85546875" style="16" customWidth="1"/>
    <col min="13818" max="13818" width="3.7109375" style="16" customWidth="1"/>
    <col min="13819" max="13825" width="0" style="16" hidden="1" customWidth="1"/>
    <col min="13826" max="13826" width="3.140625" style="16" customWidth="1"/>
    <col min="13827" max="13828" width="19.42578125" style="16" customWidth="1"/>
    <col min="13829" max="13829" width="23.28515625" style="16" customWidth="1"/>
    <col min="13830" max="13830" width="19.5703125" style="16" customWidth="1"/>
    <col min="13831" max="13831" width="9.140625" style="16"/>
    <col min="13832" max="13832" width="18.7109375" style="16" customWidth="1"/>
    <col min="13833" max="14068" width="9.140625" style="16"/>
    <col min="14069" max="14069" width="10.7109375" style="16" customWidth="1"/>
    <col min="14070" max="14070" width="60.140625" style="16" customWidth="1"/>
    <col min="14071" max="14071" width="27.5703125" style="16" customWidth="1"/>
    <col min="14072" max="14072" width="16.140625" style="16" customWidth="1"/>
    <col min="14073" max="14073" width="22.85546875" style="16" customWidth="1"/>
    <col min="14074" max="14074" width="3.7109375" style="16" customWidth="1"/>
    <col min="14075" max="14081" width="0" style="16" hidden="1" customWidth="1"/>
    <col min="14082" max="14082" width="3.140625" style="16" customWidth="1"/>
    <col min="14083" max="14084" width="19.42578125" style="16" customWidth="1"/>
    <col min="14085" max="14085" width="23.28515625" style="16" customWidth="1"/>
    <col min="14086" max="14086" width="19.5703125" style="16" customWidth="1"/>
    <col min="14087" max="14087" width="9.140625" style="16"/>
    <col min="14088" max="14088" width="18.7109375" style="16" customWidth="1"/>
    <col min="14089" max="14324" width="9.140625" style="16"/>
    <col min="14325" max="14325" width="10.7109375" style="16" customWidth="1"/>
    <col min="14326" max="14326" width="60.140625" style="16" customWidth="1"/>
    <col min="14327" max="14327" width="27.5703125" style="16" customWidth="1"/>
    <col min="14328" max="14328" width="16.140625" style="16" customWidth="1"/>
    <col min="14329" max="14329" width="22.85546875" style="16" customWidth="1"/>
    <col min="14330" max="14330" width="3.7109375" style="16" customWidth="1"/>
    <col min="14331" max="14337" width="0" style="16" hidden="1" customWidth="1"/>
    <col min="14338" max="14338" width="3.140625" style="16" customWidth="1"/>
    <col min="14339" max="14340" width="19.42578125" style="16" customWidth="1"/>
    <col min="14341" max="14341" width="23.28515625" style="16" customWidth="1"/>
    <col min="14342" max="14342" width="19.5703125" style="16" customWidth="1"/>
    <col min="14343" max="14343" width="9.140625" style="16"/>
    <col min="14344" max="14344" width="18.7109375" style="16" customWidth="1"/>
    <col min="14345" max="14580" width="9.140625" style="16"/>
    <col min="14581" max="14581" width="10.7109375" style="16" customWidth="1"/>
    <col min="14582" max="14582" width="60.140625" style="16" customWidth="1"/>
    <col min="14583" max="14583" width="27.5703125" style="16" customWidth="1"/>
    <col min="14584" max="14584" width="16.140625" style="16" customWidth="1"/>
    <col min="14585" max="14585" width="22.85546875" style="16" customWidth="1"/>
    <col min="14586" max="14586" width="3.7109375" style="16" customWidth="1"/>
    <col min="14587" max="14593" width="0" style="16" hidden="1" customWidth="1"/>
    <col min="14594" max="14594" width="3.140625" style="16" customWidth="1"/>
    <col min="14595" max="14596" width="19.42578125" style="16" customWidth="1"/>
    <col min="14597" max="14597" width="23.28515625" style="16" customWidth="1"/>
    <col min="14598" max="14598" width="19.5703125" style="16" customWidth="1"/>
    <col min="14599" max="14599" width="9.140625" style="16"/>
    <col min="14600" max="14600" width="18.7109375" style="16" customWidth="1"/>
    <col min="14601" max="14836" width="9.140625" style="16"/>
    <col min="14837" max="14837" width="10.7109375" style="16" customWidth="1"/>
    <col min="14838" max="14838" width="60.140625" style="16" customWidth="1"/>
    <col min="14839" max="14839" width="27.5703125" style="16" customWidth="1"/>
    <col min="14840" max="14840" width="16.140625" style="16" customWidth="1"/>
    <col min="14841" max="14841" width="22.85546875" style="16" customWidth="1"/>
    <col min="14842" max="14842" width="3.7109375" style="16" customWidth="1"/>
    <col min="14843" max="14849" width="0" style="16" hidden="1" customWidth="1"/>
    <col min="14850" max="14850" width="3.140625" style="16" customWidth="1"/>
    <col min="14851" max="14852" width="19.42578125" style="16" customWidth="1"/>
    <col min="14853" max="14853" width="23.28515625" style="16" customWidth="1"/>
    <col min="14854" max="14854" width="19.5703125" style="16" customWidth="1"/>
    <col min="14855" max="14855" width="9.140625" style="16"/>
    <col min="14856" max="14856" width="18.7109375" style="16" customWidth="1"/>
    <col min="14857" max="15092" width="9.140625" style="16"/>
    <col min="15093" max="15093" width="10.7109375" style="16" customWidth="1"/>
    <col min="15094" max="15094" width="60.140625" style="16" customWidth="1"/>
    <col min="15095" max="15095" width="27.5703125" style="16" customWidth="1"/>
    <col min="15096" max="15096" width="16.140625" style="16" customWidth="1"/>
    <col min="15097" max="15097" width="22.85546875" style="16" customWidth="1"/>
    <col min="15098" max="15098" width="3.7109375" style="16" customWidth="1"/>
    <col min="15099" max="15105" width="0" style="16" hidden="1" customWidth="1"/>
    <col min="15106" max="15106" width="3.140625" style="16" customWidth="1"/>
    <col min="15107" max="15108" width="19.42578125" style="16" customWidth="1"/>
    <col min="15109" max="15109" width="23.28515625" style="16" customWidth="1"/>
    <col min="15110" max="15110" width="19.5703125" style="16" customWidth="1"/>
    <col min="15111" max="15111" width="9.140625" style="16"/>
    <col min="15112" max="15112" width="18.7109375" style="16" customWidth="1"/>
    <col min="15113" max="15348" width="9.140625" style="16"/>
    <col min="15349" max="15349" width="10.7109375" style="16" customWidth="1"/>
    <col min="15350" max="15350" width="60.140625" style="16" customWidth="1"/>
    <col min="15351" max="15351" width="27.5703125" style="16" customWidth="1"/>
    <col min="15352" max="15352" width="16.140625" style="16" customWidth="1"/>
    <col min="15353" max="15353" width="22.85546875" style="16" customWidth="1"/>
    <col min="15354" max="15354" width="3.7109375" style="16" customWidth="1"/>
    <col min="15355" max="15361" width="0" style="16" hidden="1" customWidth="1"/>
    <col min="15362" max="15362" width="3.140625" style="16" customWidth="1"/>
    <col min="15363" max="15364" width="19.42578125" style="16" customWidth="1"/>
    <col min="15365" max="15365" width="23.28515625" style="16" customWidth="1"/>
    <col min="15366" max="15366" width="19.5703125" style="16" customWidth="1"/>
    <col min="15367" max="15367" width="9.140625" style="16"/>
    <col min="15368" max="15368" width="18.7109375" style="16" customWidth="1"/>
    <col min="15369" max="15604" width="9.140625" style="16"/>
    <col min="15605" max="15605" width="10.7109375" style="16" customWidth="1"/>
    <col min="15606" max="15606" width="60.140625" style="16" customWidth="1"/>
    <col min="15607" max="15607" width="27.5703125" style="16" customWidth="1"/>
    <col min="15608" max="15608" width="16.140625" style="16" customWidth="1"/>
    <col min="15609" max="15609" width="22.85546875" style="16" customWidth="1"/>
    <col min="15610" max="15610" width="3.7109375" style="16" customWidth="1"/>
    <col min="15611" max="15617" width="0" style="16" hidden="1" customWidth="1"/>
    <col min="15618" max="15618" width="3.140625" style="16" customWidth="1"/>
    <col min="15619" max="15620" width="19.42578125" style="16" customWidth="1"/>
    <col min="15621" max="15621" width="23.28515625" style="16" customWidth="1"/>
    <col min="15622" max="15622" width="19.5703125" style="16" customWidth="1"/>
    <col min="15623" max="15623" width="9.140625" style="16"/>
    <col min="15624" max="15624" width="18.7109375" style="16" customWidth="1"/>
    <col min="15625" max="15860" width="9.140625" style="16"/>
    <col min="15861" max="15861" width="10.7109375" style="16" customWidth="1"/>
    <col min="15862" max="15862" width="60.140625" style="16" customWidth="1"/>
    <col min="15863" max="15863" width="27.5703125" style="16" customWidth="1"/>
    <col min="15864" max="15864" width="16.140625" style="16" customWidth="1"/>
    <col min="15865" max="15865" width="22.85546875" style="16" customWidth="1"/>
    <col min="15866" max="15866" width="3.7109375" style="16" customWidth="1"/>
    <col min="15867" max="15873" width="0" style="16" hidden="1" customWidth="1"/>
    <col min="15874" max="15874" width="3.140625" style="16" customWidth="1"/>
    <col min="15875" max="15876" width="19.42578125" style="16" customWidth="1"/>
    <col min="15877" max="15877" width="23.28515625" style="16" customWidth="1"/>
    <col min="15878" max="15878" width="19.5703125" style="16" customWidth="1"/>
    <col min="15879" max="15879" width="9.140625" style="16"/>
    <col min="15880" max="15880" width="18.7109375" style="16" customWidth="1"/>
    <col min="15881" max="16116" width="9.140625" style="16"/>
    <col min="16117" max="16117" width="10.7109375" style="16" customWidth="1"/>
    <col min="16118" max="16118" width="60.140625" style="16" customWidth="1"/>
    <col min="16119" max="16119" width="27.5703125" style="16" customWidth="1"/>
    <col min="16120" max="16120" width="16.140625" style="16" customWidth="1"/>
    <col min="16121" max="16121" width="22.85546875" style="16" customWidth="1"/>
    <col min="16122" max="16122" width="3.7109375" style="16" customWidth="1"/>
    <col min="16123" max="16129" width="0" style="16" hidden="1" customWidth="1"/>
    <col min="16130" max="16130" width="3.140625" style="16" customWidth="1"/>
    <col min="16131" max="16132" width="19.42578125" style="16" customWidth="1"/>
    <col min="16133" max="16133" width="23.28515625" style="16" customWidth="1"/>
    <col min="16134" max="16134" width="19.5703125" style="16" customWidth="1"/>
    <col min="16135" max="16135" width="9.140625" style="16"/>
    <col min="16136" max="16136" width="18.7109375" style="16" customWidth="1"/>
    <col min="16137" max="16384" width="9.140625" style="16"/>
  </cols>
  <sheetData>
    <row r="1" spans="1:25" s="3" customFormat="1" ht="37.5" customHeight="1" x14ac:dyDescent="0.2">
      <c r="A1" s="138" t="s">
        <v>216</v>
      </c>
      <c r="B1" s="138"/>
      <c r="C1" s="138"/>
      <c r="D1" s="138"/>
      <c r="E1" s="138"/>
      <c r="F1" s="138"/>
      <c r="G1" s="138"/>
      <c r="H1" s="138"/>
      <c r="I1" s="138"/>
      <c r="J1" s="138"/>
      <c r="K1" s="138"/>
      <c r="L1" s="138"/>
      <c r="M1" s="138"/>
      <c r="N1" s="138"/>
      <c r="O1" s="138"/>
      <c r="P1" s="138"/>
      <c r="Q1" s="138"/>
      <c r="R1" s="138"/>
      <c r="S1" s="138"/>
      <c r="T1" s="138"/>
      <c r="U1" s="138"/>
      <c r="V1" s="138"/>
      <c r="W1" s="138"/>
      <c r="X1" s="138"/>
      <c r="Y1" s="138"/>
    </row>
    <row r="2" spans="1:25" s="3" customFormat="1" ht="67.5" customHeight="1" x14ac:dyDescent="0.3">
      <c r="A2" s="139"/>
      <c r="B2" s="139"/>
      <c r="C2" s="140" t="s">
        <v>180</v>
      </c>
      <c r="D2" s="140"/>
      <c r="E2" s="140"/>
      <c r="F2" s="140"/>
      <c r="G2" s="140"/>
      <c r="H2" s="140"/>
      <c r="I2" s="140"/>
      <c r="J2" s="140"/>
      <c r="K2" s="140"/>
      <c r="L2" s="140"/>
      <c r="M2" s="140"/>
      <c r="N2" s="140"/>
      <c r="O2" s="140"/>
      <c r="P2" s="140"/>
      <c r="Q2" s="140"/>
      <c r="R2" s="140"/>
      <c r="S2" s="140"/>
      <c r="T2" s="140"/>
      <c r="U2" s="140"/>
      <c r="V2" s="140"/>
      <c r="W2" s="140"/>
      <c r="X2" s="140"/>
      <c r="Y2" s="140"/>
    </row>
    <row r="3" spans="1:25" s="3" customFormat="1" ht="19.5" customHeight="1" x14ac:dyDescent="0.3">
      <c r="A3" s="59"/>
      <c r="B3" s="59"/>
      <c r="C3" s="4"/>
      <c r="D3" s="4"/>
      <c r="E3" s="4"/>
      <c r="F3" s="4"/>
      <c r="G3" s="4"/>
      <c r="H3" s="4"/>
      <c r="I3" s="4"/>
      <c r="J3" s="5"/>
      <c r="K3" s="5"/>
      <c r="L3" s="5"/>
      <c r="M3" s="28"/>
    </row>
    <row r="4" spans="1:25" s="3" customFormat="1" ht="37.5" customHeight="1" x14ac:dyDescent="0.2">
      <c r="A4" s="141" t="s">
        <v>29</v>
      </c>
      <c r="B4" s="141"/>
      <c r="C4" s="141"/>
      <c r="D4" s="141"/>
      <c r="E4" s="141"/>
      <c r="F4" s="141"/>
      <c r="G4" s="141"/>
      <c r="H4" s="141"/>
      <c r="I4" s="4"/>
      <c r="J4" s="142" t="s">
        <v>191</v>
      </c>
      <c r="K4" s="142"/>
      <c r="L4" s="142"/>
      <c r="M4" s="142"/>
      <c r="N4" s="142"/>
      <c r="O4" s="142"/>
      <c r="P4" s="142"/>
      <c r="Q4" s="142"/>
      <c r="R4" s="142"/>
      <c r="S4" s="142"/>
      <c r="T4" s="142"/>
      <c r="U4" s="142"/>
      <c r="V4" s="142"/>
      <c r="W4" s="142"/>
      <c r="X4" s="142"/>
      <c r="Y4" s="142"/>
    </row>
    <row r="5" spans="1:25" s="3" customFormat="1" ht="41.25" customHeight="1" x14ac:dyDescent="0.2">
      <c r="A5" s="148" t="s">
        <v>4</v>
      </c>
      <c r="B5" s="149"/>
      <c r="C5" s="149"/>
      <c r="D5" s="149"/>
      <c r="E5" s="149"/>
      <c r="F5" s="149"/>
      <c r="G5" s="149"/>
      <c r="H5" s="150"/>
      <c r="I5" s="4"/>
      <c r="J5" s="146" t="s">
        <v>26</v>
      </c>
      <c r="K5" s="146"/>
      <c r="L5" s="146"/>
      <c r="M5" s="146"/>
      <c r="O5" s="146" t="s">
        <v>186</v>
      </c>
      <c r="P5" s="146"/>
      <c r="Q5" s="146"/>
      <c r="R5" s="146"/>
      <c r="T5" s="146" t="s">
        <v>187</v>
      </c>
      <c r="U5" s="146"/>
      <c r="V5" s="146"/>
      <c r="W5" s="146"/>
      <c r="Y5" s="65" t="s">
        <v>188</v>
      </c>
    </row>
    <row r="6" spans="1:25" ht="50.25" customHeight="1" x14ac:dyDescent="0.2">
      <c r="A6" s="43" t="s">
        <v>0</v>
      </c>
      <c r="B6" s="44" t="s">
        <v>1</v>
      </c>
      <c r="C6" s="44" t="s">
        <v>2</v>
      </c>
      <c r="D6" s="44" t="s">
        <v>3</v>
      </c>
      <c r="E6" s="44" t="s">
        <v>23</v>
      </c>
      <c r="F6" s="44" t="s">
        <v>181</v>
      </c>
      <c r="G6" s="44" t="s">
        <v>182</v>
      </c>
      <c r="H6" s="44" t="s">
        <v>183</v>
      </c>
      <c r="I6" s="63"/>
      <c r="J6" s="48" t="s">
        <v>19</v>
      </c>
      <c r="K6" s="48" t="s">
        <v>6</v>
      </c>
      <c r="L6" s="48" t="s">
        <v>7</v>
      </c>
      <c r="M6" s="49" t="s">
        <v>27</v>
      </c>
      <c r="O6" s="48" t="s">
        <v>19</v>
      </c>
      <c r="P6" s="48" t="s">
        <v>6</v>
      </c>
      <c r="Q6" s="48" t="s">
        <v>7</v>
      </c>
      <c r="R6" s="49" t="s">
        <v>8</v>
      </c>
      <c r="T6" s="48" t="s">
        <v>19</v>
      </c>
      <c r="U6" s="48" t="s">
        <v>6</v>
      </c>
      <c r="V6" s="48" t="s">
        <v>7</v>
      </c>
      <c r="W6" s="49" t="s">
        <v>8</v>
      </c>
      <c r="Y6" s="49" t="s">
        <v>27</v>
      </c>
    </row>
    <row r="7" spans="1:25" s="6" customFormat="1" ht="25.5" customHeight="1" x14ac:dyDescent="0.3">
      <c r="A7" s="73">
        <v>1</v>
      </c>
      <c r="B7" s="74" t="s">
        <v>38</v>
      </c>
      <c r="C7" s="74"/>
      <c r="D7" s="74"/>
      <c r="E7" s="74"/>
      <c r="F7" s="74"/>
      <c r="G7" s="74"/>
      <c r="H7" s="74"/>
      <c r="I7" s="63"/>
      <c r="J7" s="74"/>
      <c r="K7" s="74"/>
      <c r="L7" s="74"/>
      <c r="M7" s="74"/>
      <c r="O7" s="74"/>
      <c r="P7" s="74"/>
      <c r="Q7" s="74"/>
      <c r="R7" s="74"/>
      <c r="T7" s="74"/>
      <c r="U7" s="74"/>
      <c r="V7" s="74"/>
      <c r="W7" s="74"/>
      <c r="Y7" s="74"/>
    </row>
    <row r="8" spans="1:25" s="6" customFormat="1" ht="25.5" customHeight="1" x14ac:dyDescent="0.3">
      <c r="A8" s="73" t="s">
        <v>39</v>
      </c>
      <c r="B8" s="74" t="s">
        <v>40</v>
      </c>
      <c r="C8" s="74"/>
      <c r="D8" s="74"/>
      <c r="E8" s="74"/>
      <c r="F8" s="74"/>
      <c r="G8" s="74"/>
      <c r="H8" s="74"/>
      <c r="I8" s="63"/>
      <c r="J8" s="74"/>
      <c r="K8" s="74"/>
      <c r="L8" s="74"/>
      <c r="M8" s="74"/>
      <c r="O8" s="74"/>
      <c r="P8" s="74"/>
      <c r="Q8" s="74"/>
      <c r="R8" s="74"/>
      <c r="T8" s="74"/>
      <c r="U8" s="74"/>
      <c r="V8" s="74"/>
      <c r="W8" s="74"/>
      <c r="Y8" s="74"/>
    </row>
    <row r="9" spans="1:25" s="6" customFormat="1" ht="25.5" customHeight="1" x14ac:dyDescent="0.3">
      <c r="A9" s="75" t="s">
        <v>41</v>
      </c>
      <c r="B9" s="76" t="s">
        <v>42</v>
      </c>
      <c r="C9" s="2" t="s">
        <v>144</v>
      </c>
      <c r="D9" s="79">
        <v>5</v>
      </c>
      <c r="E9" s="64">
        <v>0</v>
      </c>
      <c r="F9" s="64">
        <v>4</v>
      </c>
      <c r="G9" s="64">
        <f>3+(5/5)</f>
        <v>4</v>
      </c>
      <c r="H9" s="1">
        <f t="shared" ref="H9:H48" si="0">+G9+F9+E9</f>
        <v>8</v>
      </c>
      <c r="I9" s="63"/>
      <c r="J9" s="25">
        <f>+'ANEXO 3 - PROY COSTOS'!N9</f>
        <v>274017.5</v>
      </c>
      <c r="K9" s="27">
        <f>J9*19%</f>
        <v>52063.324999999997</v>
      </c>
      <c r="L9" s="27">
        <f t="shared" ref="L9:L15" si="1">+K9+J9</f>
        <v>326080.82500000001</v>
      </c>
      <c r="M9" s="29">
        <f>+L9*E9*D9</f>
        <v>0</v>
      </c>
      <c r="O9" s="25">
        <f>J9+(J9*4.4%)</f>
        <v>286074.27</v>
      </c>
      <c r="P9" s="27">
        <f>O9*19%</f>
        <v>54354.111300000004</v>
      </c>
      <c r="Q9" s="27">
        <f t="shared" ref="Q9:Q15" si="2">+P9+O9</f>
        <v>340428.38130000001</v>
      </c>
      <c r="R9" s="29">
        <f>+Q9*F9*D9</f>
        <v>6808567.6260000002</v>
      </c>
      <c r="T9" s="25">
        <f>O9+(O9*3%)</f>
        <v>294656.49810000003</v>
      </c>
      <c r="U9" s="27">
        <f>T9*19%</f>
        <v>55984.734639000002</v>
      </c>
      <c r="V9" s="27">
        <f t="shared" ref="V9:V15" si="3">+U9+T9</f>
        <v>350641.232739</v>
      </c>
      <c r="W9" s="29">
        <f>+V9*G9*D9</f>
        <v>7012824.6547800004</v>
      </c>
      <c r="Y9" s="29">
        <f t="shared" ref="Y9:Y60" si="4">+W9+R9+M9</f>
        <v>13821392.280780001</v>
      </c>
    </row>
    <row r="10" spans="1:25" s="6" customFormat="1" ht="25.5" customHeight="1" x14ac:dyDescent="0.3">
      <c r="A10" s="75" t="s">
        <v>43</v>
      </c>
      <c r="B10" s="76" t="s">
        <v>44</v>
      </c>
      <c r="C10" s="2" t="s">
        <v>144</v>
      </c>
      <c r="D10" s="79">
        <v>10</v>
      </c>
      <c r="E10" s="64">
        <f>3/10</f>
        <v>0.3</v>
      </c>
      <c r="F10" s="64">
        <v>4</v>
      </c>
      <c r="G10" s="64">
        <f>3+(7/10)</f>
        <v>3.7</v>
      </c>
      <c r="H10" s="1">
        <f t="shared" si="0"/>
        <v>8</v>
      </c>
      <c r="I10" s="63"/>
      <c r="J10" s="25">
        <f>+'ANEXO 3 - PROY COSTOS'!N10</f>
        <v>274017.52</v>
      </c>
      <c r="K10" s="27">
        <f t="shared" ref="K10:K12" si="5">J10*19%</f>
        <v>52063.328800000003</v>
      </c>
      <c r="L10" s="27">
        <f t="shared" si="1"/>
        <v>326080.84880000004</v>
      </c>
      <c r="M10" s="29">
        <f t="shared" ref="M10:M12" si="6">+L10*E10*D10</f>
        <v>978242.54640000011</v>
      </c>
      <c r="O10" s="25">
        <f t="shared" ref="O10:O12" si="7">J10+(J10*4.4%)</f>
        <v>286074.29088000004</v>
      </c>
      <c r="P10" s="27">
        <f t="shared" ref="P10:P12" si="8">O10*19%</f>
        <v>54354.11526720001</v>
      </c>
      <c r="Q10" s="27">
        <f t="shared" si="2"/>
        <v>340428.40614720003</v>
      </c>
      <c r="R10" s="29">
        <f t="shared" ref="R10:R12" si="9">+Q10*F10*D10</f>
        <v>13617136.245888002</v>
      </c>
      <c r="T10" s="25">
        <f t="shared" ref="T10:T60" si="10">O10+(O10*3%)</f>
        <v>294656.51960640005</v>
      </c>
      <c r="U10" s="27">
        <f t="shared" ref="U10:U60" si="11">T10*19%</f>
        <v>55984.738725216012</v>
      </c>
      <c r="V10" s="27">
        <f t="shared" si="3"/>
        <v>350641.25833161606</v>
      </c>
      <c r="W10" s="29">
        <f t="shared" ref="W10:W12" si="12">+V10*G10*D10</f>
        <v>12973726.558269795</v>
      </c>
      <c r="Y10" s="29">
        <f t="shared" si="4"/>
        <v>27569105.350557797</v>
      </c>
    </row>
    <row r="11" spans="1:25" s="6" customFormat="1" ht="25.5" customHeight="1" x14ac:dyDescent="0.3">
      <c r="A11" s="75" t="s">
        <v>45</v>
      </c>
      <c r="B11" s="76" t="s">
        <v>46</v>
      </c>
      <c r="C11" s="2" t="s">
        <v>144</v>
      </c>
      <c r="D11" s="79">
        <v>18</v>
      </c>
      <c r="E11" s="127">
        <f>7/18</f>
        <v>0.3888888888888889</v>
      </c>
      <c r="F11" s="64">
        <v>4</v>
      </c>
      <c r="G11" s="127">
        <f>3+(11/18)</f>
        <v>3.6111111111111112</v>
      </c>
      <c r="H11" s="1">
        <f t="shared" si="0"/>
        <v>8</v>
      </c>
      <c r="I11" s="63"/>
      <c r="J11" s="25">
        <f>+'ANEXO 3 - PROY COSTOS'!N11</f>
        <v>280014.61</v>
      </c>
      <c r="K11" s="27">
        <f t="shared" si="5"/>
        <v>53202.775900000001</v>
      </c>
      <c r="L11" s="27">
        <f t="shared" si="1"/>
        <v>333217.38589999999</v>
      </c>
      <c r="M11" s="29">
        <f t="shared" si="6"/>
        <v>2332521.7013000003</v>
      </c>
      <c r="O11" s="25">
        <f t="shared" si="7"/>
        <v>292335.25283999997</v>
      </c>
      <c r="P11" s="27">
        <f t="shared" si="8"/>
        <v>55543.698039599993</v>
      </c>
      <c r="Q11" s="27">
        <f t="shared" si="2"/>
        <v>347878.95087959996</v>
      </c>
      <c r="R11" s="29">
        <f t="shared" si="9"/>
        <v>25047284.463331196</v>
      </c>
      <c r="T11" s="25">
        <f t="shared" si="10"/>
        <v>301105.31042519998</v>
      </c>
      <c r="U11" s="27">
        <f t="shared" si="11"/>
        <v>57210.008980787999</v>
      </c>
      <c r="V11" s="27">
        <f t="shared" si="3"/>
        <v>358315.31940598798</v>
      </c>
      <c r="W11" s="29">
        <f t="shared" si="12"/>
        <v>23290495.761389218</v>
      </c>
      <c r="Y11" s="29">
        <f t="shared" si="4"/>
        <v>50670301.926020421</v>
      </c>
    </row>
    <row r="12" spans="1:25" s="6" customFormat="1" ht="25.5" customHeight="1" x14ac:dyDescent="0.3">
      <c r="A12" s="75" t="s">
        <v>47</v>
      </c>
      <c r="B12" s="76" t="s">
        <v>48</v>
      </c>
      <c r="C12" s="2" t="s">
        <v>144</v>
      </c>
      <c r="D12" s="79">
        <v>5</v>
      </c>
      <c r="E12" s="64">
        <f>3/5</f>
        <v>0.6</v>
      </c>
      <c r="F12" s="64">
        <v>4</v>
      </c>
      <c r="G12" s="64">
        <f>3+(2/5)</f>
        <v>3.4</v>
      </c>
      <c r="H12" s="1">
        <f t="shared" si="0"/>
        <v>8</v>
      </c>
      <c r="I12" s="63"/>
      <c r="J12" s="25">
        <f>+'ANEXO 3 - PROY COSTOS'!N12</f>
        <v>280014.61</v>
      </c>
      <c r="K12" s="27">
        <f t="shared" si="5"/>
        <v>53202.775900000001</v>
      </c>
      <c r="L12" s="27">
        <f t="shared" si="1"/>
        <v>333217.38589999999</v>
      </c>
      <c r="M12" s="29">
        <f t="shared" si="6"/>
        <v>999652.15769999998</v>
      </c>
      <c r="O12" s="25">
        <f t="shared" si="7"/>
        <v>292335.25283999997</v>
      </c>
      <c r="P12" s="27">
        <f t="shared" si="8"/>
        <v>55543.698039599993</v>
      </c>
      <c r="Q12" s="27">
        <f t="shared" si="2"/>
        <v>347878.95087959996</v>
      </c>
      <c r="R12" s="29">
        <f t="shared" si="9"/>
        <v>6957579.0175919989</v>
      </c>
      <c r="T12" s="25">
        <f t="shared" si="10"/>
        <v>301105.31042519998</v>
      </c>
      <c r="U12" s="27">
        <f t="shared" si="11"/>
        <v>57210.008980787999</v>
      </c>
      <c r="V12" s="27">
        <f t="shared" si="3"/>
        <v>358315.31940598798</v>
      </c>
      <c r="W12" s="29">
        <f t="shared" si="12"/>
        <v>6091360.4299017955</v>
      </c>
      <c r="Y12" s="29">
        <f t="shared" si="4"/>
        <v>14048591.605193796</v>
      </c>
    </row>
    <row r="13" spans="1:25" s="6" customFormat="1" ht="25.5" customHeight="1" x14ac:dyDescent="0.3">
      <c r="A13" s="77" t="s">
        <v>49</v>
      </c>
      <c r="B13" s="74" t="s">
        <v>50</v>
      </c>
      <c r="C13" s="74"/>
      <c r="D13" s="74"/>
      <c r="E13" s="74"/>
      <c r="F13" s="74"/>
      <c r="G13" s="74"/>
      <c r="H13" s="74"/>
      <c r="I13" s="63"/>
      <c r="J13" s="74"/>
      <c r="K13" s="74"/>
      <c r="L13" s="74"/>
      <c r="M13" s="74"/>
      <c r="O13" s="74"/>
      <c r="P13" s="74"/>
      <c r="Q13" s="74"/>
      <c r="R13" s="74"/>
      <c r="T13" s="74"/>
      <c r="U13" s="74"/>
      <c r="V13" s="74"/>
      <c r="W13" s="74"/>
      <c r="Y13" s="74"/>
    </row>
    <row r="14" spans="1:25" s="6" customFormat="1" ht="25.5" customHeight="1" x14ac:dyDescent="0.3">
      <c r="A14" s="75" t="s">
        <v>51</v>
      </c>
      <c r="B14" s="76" t="s">
        <v>52</v>
      </c>
      <c r="C14" s="2" t="s">
        <v>144</v>
      </c>
      <c r="D14" s="79">
        <v>1</v>
      </c>
      <c r="E14" s="64">
        <f>1/1</f>
        <v>1</v>
      </c>
      <c r="F14" s="64">
        <v>4</v>
      </c>
      <c r="G14" s="64">
        <v>3</v>
      </c>
      <c r="H14" s="1">
        <f t="shared" si="0"/>
        <v>8</v>
      </c>
      <c r="I14" s="63"/>
      <c r="J14" s="25">
        <f>+'ANEXO 3 - PROY COSTOS'!N14</f>
        <v>308316.38</v>
      </c>
      <c r="K14" s="27">
        <f t="shared" ref="K14:K16" si="13">J14*19%</f>
        <v>58580.112200000003</v>
      </c>
      <c r="L14" s="27">
        <f t="shared" si="1"/>
        <v>366896.49219999998</v>
      </c>
      <c r="M14" s="29">
        <f t="shared" ref="M14:M48" si="14">+L14*E14*D14</f>
        <v>366896.49219999998</v>
      </c>
      <c r="O14" s="25">
        <f t="shared" ref="O14:O16" si="15">J14+(J14*4.4%)</f>
        <v>321882.30072</v>
      </c>
      <c r="P14" s="27">
        <f t="shared" ref="P14:P16" si="16">O14*19%</f>
        <v>61157.637136800004</v>
      </c>
      <c r="Q14" s="27">
        <f t="shared" si="2"/>
        <v>383039.93785679998</v>
      </c>
      <c r="R14" s="29">
        <f t="shared" ref="R14:R16" si="17">+Q14*F14*D14</f>
        <v>1532159.7514271999</v>
      </c>
      <c r="T14" s="25">
        <f t="shared" si="10"/>
        <v>331538.76974159997</v>
      </c>
      <c r="U14" s="27">
        <f t="shared" si="11"/>
        <v>62992.366250903993</v>
      </c>
      <c r="V14" s="27">
        <f t="shared" si="3"/>
        <v>394531.13599250396</v>
      </c>
      <c r="W14" s="29">
        <f t="shared" ref="W14:W16" si="18">+V14*G14*D14</f>
        <v>1183593.4079775119</v>
      </c>
      <c r="Y14" s="29">
        <f t="shared" si="4"/>
        <v>3082649.651604712</v>
      </c>
    </row>
    <row r="15" spans="1:25" s="6" customFormat="1" ht="25.5" customHeight="1" x14ac:dyDescent="0.3">
      <c r="A15" s="75" t="s">
        <v>53</v>
      </c>
      <c r="B15" s="76" t="s">
        <v>54</v>
      </c>
      <c r="C15" s="2" t="s">
        <v>144</v>
      </c>
      <c r="D15" s="79">
        <v>1</v>
      </c>
      <c r="E15" s="64">
        <f t="shared" ref="E15:E16" si="19">1/1</f>
        <v>1</v>
      </c>
      <c r="F15" s="64">
        <v>4</v>
      </c>
      <c r="G15" s="64">
        <v>3</v>
      </c>
      <c r="H15" s="1">
        <f t="shared" si="0"/>
        <v>8</v>
      </c>
      <c r="I15" s="63"/>
      <c r="J15" s="25">
        <f>+'ANEXO 3 - PROY COSTOS'!N15</f>
        <v>308316.38</v>
      </c>
      <c r="K15" s="27">
        <f t="shared" si="13"/>
        <v>58580.112200000003</v>
      </c>
      <c r="L15" s="27">
        <f t="shared" si="1"/>
        <v>366896.49219999998</v>
      </c>
      <c r="M15" s="29">
        <f t="shared" si="14"/>
        <v>366896.49219999998</v>
      </c>
      <c r="O15" s="25">
        <f t="shared" si="15"/>
        <v>321882.30072</v>
      </c>
      <c r="P15" s="27">
        <f t="shared" si="16"/>
        <v>61157.637136800004</v>
      </c>
      <c r="Q15" s="27">
        <f t="shared" si="2"/>
        <v>383039.93785679998</v>
      </c>
      <c r="R15" s="29">
        <f t="shared" si="17"/>
        <v>1532159.7514271999</v>
      </c>
      <c r="T15" s="25">
        <f t="shared" si="10"/>
        <v>331538.76974159997</v>
      </c>
      <c r="U15" s="27">
        <f t="shared" si="11"/>
        <v>62992.366250903993</v>
      </c>
      <c r="V15" s="27">
        <f t="shared" si="3"/>
        <v>394531.13599250396</v>
      </c>
      <c r="W15" s="29">
        <f t="shared" si="18"/>
        <v>1183593.4079775119</v>
      </c>
      <c r="Y15" s="29">
        <f t="shared" si="4"/>
        <v>3082649.651604712</v>
      </c>
    </row>
    <row r="16" spans="1:25" s="6" customFormat="1" ht="25.5" customHeight="1" x14ac:dyDescent="0.3">
      <c r="A16" s="75" t="s">
        <v>55</v>
      </c>
      <c r="B16" s="76" t="s">
        <v>56</v>
      </c>
      <c r="C16" s="2" t="s">
        <v>144</v>
      </c>
      <c r="D16" s="79">
        <v>1</v>
      </c>
      <c r="E16" s="64">
        <f t="shared" si="19"/>
        <v>1</v>
      </c>
      <c r="F16" s="64">
        <v>4</v>
      </c>
      <c r="G16" s="64">
        <v>3</v>
      </c>
      <c r="H16" s="1">
        <f t="shared" si="0"/>
        <v>8</v>
      </c>
      <c r="I16" s="63"/>
      <c r="J16" s="25">
        <f>+'ANEXO 3 - PROY COSTOS'!N16</f>
        <v>308316.38</v>
      </c>
      <c r="K16" s="27">
        <f t="shared" si="13"/>
        <v>58580.112200000003</v>
      </c>
      <c r="L16" s="27">
        <f t="shared" ref="L16:L60" si="20">+K16+J16</f>
        <v>366896.49219999998</v>
      </c>
      <c r="M16" s="29">
        <f t="shared" si="14"/>
        <v>366896.49219999998</v>
      </c>
      <c r="O16" s="25">
        <f t="shared" si="15"/>
        <v>321882.30072</v>
      </c>
      <c r="P16" s="27">
        <f t="shared" si="16"/>
        <v>61157.637136800004</v>
      </c>
      <c r="Q16" s="27">
        <f t="shared" ref="Q16:Q60" si="21">+P16+O16</f>
        <v>383039.93785679998</v>
      </c>
      <c r="R16" s="29">
        <f t="shared" si="17"/>
        <v>1532159.7514271999</v>
      </c>
      <c r="T16" s="25">
        <f t="shared" si="10"/>
        <v>331538.76974159997</v>
      </c>
      <c r="U16" s="27">
        <f t="shared" si="11"/>
        <v>62992.366250903993</v>
      </c>
      <c r="V16" s="27">
        <f t="shared" ref="V16:V60" si="22">+U16+T16</f>
        <v>394531.13599250396</v>
      </c>
      <c r="W16" s="29">
        <f t="shared" si="18"/>
        <v>1183593.4079775119</v>
      </c>
      <c r="Y16" s="29">
        <f t="shared" si="4"/>
        <v>3082649.651604712</v>
      </c>
    </row>
    <row r="17" spans="1:25" s="6" customFormat="1" ht="25.5" customHeight="1" x14ac:dyDescent="0.3">
      <c r="A17" s="77" t="s">
        <v>57</v>
      </c>
      <c r="B17" s="74" t="s">
        <v>58</v>
      </c>
      <c r="C17" s="74"/>
      <c r="D17" s="74"/>
      <c r="E17" s="74"/>
      <c r="F17" s="74"/>
      <c r="G17" s="74"/>
      <c r="H17" s="74"/>
      <c r="I17" s="63"/>
      <c r="J17" s="74"/>
      <c r="K17" s="74"/>
      <c r="L17" s="74"/>
      <c r="M17" s="74"/>
      <c r="O17" s="74"/>
      <c r="P17" s="74"/>
      <c r="Q17" s="74"/>
      <c r="R17" s="74"/>
      <c r="T17" s="74"/>
      <c r="U17" s="74"/>
      <c r="V17" s="74"/>
      <c r="W17" s="74"/>
      <c r="Y17" s="74"/>
    </row>
    <row r="18" spans="1:25" s="6" customFormat="1" ht="25.5" customHeight="1" x14ac:dyDescent="0.3">
      <c r="A18" s="75" t="s">
        <v>59</v>
      </c>
      <c r="B18" s="76" t="s">
        <v>60</v>
      </c>
      <c r="C18" s="2" t="s">
        <v>144</v>
      </c>
      <c r="D18" s="79">
        <v>33</v>
      </c>
      <c r="E18" s="127">
        <f>13/33</f>
        <v>0.39393939393939392</v>
      </c>
      <c r="F18" s="64">
        <v>4</v>
      </c>
      <c r="G18" s="127">
        <f>3+(20/33)</f>
        <v>3.606060606060606</v>
      </c>
      <c r="H18" s="1">
        <f t="shared" si="0"/>
        <v>7.9999999999999991</v>
      </c>
      <c r="I18" s="63"/>
      <c r="J18" s="25">
        <f>+'ANEXO 3 - PROY COSTOS'!N18</f>
        <v>165261.64425899999</v>
      </c>
      <c r="K18" s="27">
        <f t="shared" ref="K18:K25" si="23">J18*19%</f>
        <v>31399.712409209998</v>
      </c>
      <c r="L18" s="27">
        <f t="shared" si="20"/>
        <v>196661.35666821001</v>
      </c>
      <c r="M18" s="29">
        <f t="shared" si="14"/>
        <v>2556597.6366867297</v>
      </c>
      <c r="O18" s="25">
        <f t="shared" ref="O18:O25" si="24">J18+(J18*4.4%)</f>
        <v>172533.15660639599</v>
      </c>
      <c r="P18" s="27">
        <f t="shared" ref="P18:P25" si="25">O18*19%</f>
        <v>32781.299755215237</v>
      </c>
      <c r="Q18" s="27">
        <f t="shared" si="21"/>
        <v>205314.45636161123</v>
      </c>
      <c r="R18" s="29">
        <f t="shared" ref="R18:R25" si="26">+Q18*F18*D18</f>
        <v>27101508.239732683</v>
      </c>
      <c r="T18" s="25">
        <f t="shared" si="10"/>
        <v>177709.15130458787</v>
      </c>
      <c r="U18" s="27">
        <f t="shared" si="11"/>
        <v>33764.738747871692</v>
      </c>
      <c r="V18" s="27">
        <f t="shared" si="22"/>
        <v>211473.89005245955</v>
      </c>
      <c r="W18" s="29">
        <f t="shared" ref="W18:W25" si="27">+V18*G18*D18</f>
        <v>25165392.916242689</v>
      </c>
      <c r="Y18" s="29">
        <f t="shared" si="4"/>
        <v>54823498.792662099</v>
      </c>
    </row>
    <row r="19" spans="1:25" s="6" customFormat="1" ht="25.5" customHeight="1" x14ac:dyDescent="0.3">
      <c r="A19" s="75" t="s">
        <v>61</v>
      </c>
      <c r="B19" s="76" t="s">
        <v>62</v>
      </c>
      <c r="C19" s="2" t="s">
        <v>144</v>
      </c>
      <c r="D19" s="79">
        <v>13</v>
      </c>
      <c r="E19" s="127">
        <f>4/13</f>
        <v>0.30769230769230771</v>
      </c>
      <c r="F19" s="64">
        <v>4</v>
      </c>
      <c r="G19" s="127">
        <f>3+(9/13)</f>
        <v>3.6923076923076925</v>
      </c>
      <c r="H19" s="1">
        <f t="shared" si="0"/>
        <v>8</v>
      </c>
      <c r="I19" s="63"/>
      <c r="J19" s="25">
        <f>+'ANEXO 3 - PROY COSTOS'!N19</f>
        <v>165261.64425899999</v>
      </c>
      <c r="K19" s="27">
        <f t="shared" si="23"/>
        <v>31399.712409209998</v>
      </c>
      <c r="L19" s="27">
        <f t="shared" si="20"/>
        <v>196661.35666821001</v>
      </c>
      <c r="M19" s="29">
        <f t="shared" si="14"/>
        <v>786645.42667284003</v>
      </c>
      <c r="O19" s="25">
        <f t="shared" si="24"/>
        <v>172533.15660639599</v>
      </c>
      <c r="P19" s="27">
        <f t="shared" si="25"/>
        <v>32781.299755215237</v>
      </c>
      <c r="Q19" s="27">
        <f t="shared" si="21"/>
        <v>205314.45636161123</v>
      </c>
      <c r="R19" s="29">
        <f t="shared" si="26"/>
        <v>10676351.730803784</v>
      </c>
      <c r="T19" s="25">
        <f t="shared" si="10"/>
        <v>177709.15130458787</v>
      </c>
      <c r="U19" s="27">
        <f t="shared" si="11"/>
        <v>33764.738747871692</v>
      </c>
      <c r="V19" s="27">
        <f t="shared" si="22"/>
        <v>211473.89005245955</v>
      </c>
      <c r="W19" s="29">
        <f t="shared" si="27"/>
        <v>10150746.722518058</v>
      </c>
      <c r="Y19" s="29">
        <f t="shared" si="4"/>
        <v>21613743.879994683</v>
      </c>
    </row>
    <row r="20" spans="1:25" s="6" customFormat="1" ht="25.5" customHeight="1" x14ac:dyDescent="0.3">
      <c r="A20" s="75" t="s">
        <v>63</v>
      </c>
      <c r="B20" s="76" t="s">
        <v>64</v>
      </c>
      <c r="C20" s="2" t="s">
        <v>144</v>
      </c>
      <c r="D20" s="79">
        <v>25</v>
      </c>
      <c r="E20" s="64">
        <f>5/25</f>
        <v>0.2</v>
      </c>
      <c r="F20" s="64">
        <v>4</v>
      </c>
      <c r="G20" s="64">
        <f>3+(20/25)</f>
        <v>3.8</v>
      </c>
      <c r="H20" s="1">
        <f t="shared" si="0"/>
        <v>8</v>
      </c>
      <c r="I20" s="63"/>
      <c r="J20" s="25">
        <f>+'ANEXO 3 - PROY COSTOS'!N20</f>
        <v>165261.63152950001</v>
      </c>
      <c r="K20" s="27">
        <f t="shared" si="23"/>
        <v>31399.709990605003</v>
      </c>
      <c r="L20" s="27">
        <f t="shared" si="20"/>
        <v>196661.34152010502</v>
      </c>
      <c r="M20" s="29">
        <f t="shared" si="14"/>
        <v>983306.70760052523</v>
      </c>
      <c r="O20" s="25">
        <f t="shared" si="24"/>
        <v>172533.143316798</v>
      </c>
      <c r="P20" s="27">
        <f t="shared" si="25"/>
        <v>32781.297230191623</v>
      </c>
      <c r="Q20" s="27">
        <f t="shared" si="21"/>
        <v>205314.44054698962</v>
      </c>
      <c r="R20" s="29">
        <f t="shared" si="26"/>
        <v>20531444.054698963</v>
      </c>
      <c r="T20" s="25">
        <f t="shared" si="10"/>
        <v>177709.13761630194</v>
      </c>
      <c r="U20" s="27">
        <f t="shared" si="11"/>
        <v>33764.73614709737</v>
      </c>
      <c r="V20" s="27">
        <f t="shared" si="22"/>
        <v>211473.87376339932</v>
      </c>
      <c r="W20" s="29">
        <f t="shared" si="27"/>
        <v>20090018.007522933</v>
      </c>
      <c r="Y20" s="29">
        <f t="shared" si="4"/>
        <v>41604768.769822426</v>
      </c>
    </row>
    <row r="21" spans="1:25" s="6" customFormat="1" ht="25.5" customHeight="1" x14ac:dyDescent="0.3">
      <c r="A21" s="75" t="s">
        <v>65</v>
      </c>
      <c r="B21" s="76" t="s">
        <v>66</v>
      </c>
      <c r="C21" s="2" t="s">
        <v>144</v>
      </c>
      <c r="D21" s="79">
        <v>37</v>
      </c>
      <c r="E21" s="127">
        <f>11/37</f>
        <v>0.29729729729729731</v>
      </c>
      <c r="F21" s="64">
        <v>4</v>
      </c>
      <c r="G21" s="127">
        <f>3+(26/37)</f>
        <v>3.7027027027027026</v>
      </c>
      <c r="H21" s="1">
        <f t="shared" si="0"/>
        <v>8</v>
      </c>
      <c r="I21" s="63"/>
      <c r="J21" s="25">
        <f>+'ANEXO 3 - PROY COSTOS'!N21</f>
        <v>168311.15994500002</v>
      </c>
      <c r="K21" s="27">
        <f t="shared" si="23"/>
        <v>31979.120389550004</v>
      </c>
      <c r="L21" s="27">
        <f t="shared" si="20"/>
        <v>200290.28033455001</v>
      </c>
      <c r="M21" s="29">
        <f t="shared" si="14"/>
        <v>2203193.0836800504</v>
      </c>
      <c r="O21" s="25">
        <f t="shared" si="24"/>
        <v>175716.85098258001</v>
      </c>
      <c r="P21" s="27">
        <f t="shared" si="25"/>
        <v>33386.201686690205</v>
      </c>
      <c r="Q21" s="27">
        <f t="shared" si="21"/>
        <v>209103.05266927023</v>
      </c>
      <c r="R21" s="29">
        <f t="shared" si="26"/>
        <v>30947251.795051992</v>
      </c>
      <c r="T21" s="25">
        <f t="shared" si="10"/>
        <v>180988.35651205742</v>
      </c>
      <c r="U21" s="27">
        <f t="shared" si="11"/>
        <v>34387.787737290913</v>
      </c>
      <c r="V21" s="27">
        <f t="shared" si="22"/>
        <v>215376.14424934832</v>
      </c>
      <c r="W21" s="29">
        <f t="shared" si="27"/>
        <v>29506531.762160718</v>
      </c>
      <c r="Y21" s="29">
        <f t="shared" si="4"/>
        <v>62656976.640892759</v>
      </c>
    </row>
    <row r="22" spans="1:25" s="6" customFormat="1" ht="25.5" customHeight="1" x14ac:dyDescent="0.3">
      <c r="A22" s="75" t="s">
        <v>67</v>
      </c>
      <c r="B22" s="76" t="s">
        <v>68</v>
      </c>
      <c r="C22" s="2" t="s">
        <v>144</v>
      </c>
      <c r="D22" s="79">
        <v>18</v>
      </c>
      <c r="E22" s="127">
        <f>5/18</f>
        <v>0.27777777777777779</v>
      </c>
      <c r="F22" s="64">
        <v>4</v>
      </c>
      <c r="G22" s="127">
        <f>3+(13/18)</f>
        <v>3.7222222222222223</v>
      </c>
      <c r="H22" s="1">
        <f t="shared" si="0"/>
        <v>8</v>
      </c>
      <c r="I22" s="63"/>
      <c r="J22" s="25">
        <f>+'ANEXO 3 - PROY COSTOS'!N22</f>
        <v>168311.15221550001</v>
      </c>
      <c r="K22" s="27">
        <f t="shared" si="23"/>
        <v>31979.118920945002</v>
      </c>
      <c r="L22" s="27">
        <f t="shared" si="20"/>
        <v>200290.27113644502</v>
      </c>
      <c r="M22" s="29">
        <f t="shared" si="14"/>
        <v>1001451.3556822252</v>
      </c>
      <c r="O22" s="25">
        <f t="shared" si="24"/>
        <v>175716.84291298201</v>
      </c>
      <c r="P22" s="27">
        <f t="shared" si="25"/>
        <v>33386.200153466583</v>
      </c>
      <c r="Q22" s="27">
        <f t="shared" si="21"/>
        <v>209103.04306644859</v>
      </c>
      <c r="R22" s="29">
        <f t="shared" si="26"/>
        <v>15055419.100784298</v>
      </c>
      <c r="T22" s="25">
        <f t="shared" si="10"/>
        <v>180988.34820037149</v>
      </c>
      <c r="U22" s="27">
        <f t="shared" si="11"/>
        <v>34387.786158070587</v>
      </c>
      <c r="V22" s="27">
        <f t="shared" si="22"/>
        <v>215376.13435844207</v>
      </c>
      <c r="W22" s="29">
        <f t="shared" si="27"/>
        <v>14430201.00201562</v>
      </c>
      <c r="Y22" s="29">
        <f t="shared" si="4"/>
        <v>30487071.458482143</v>
      </c>
    </row>
    <row r="23" spans="1:25" s="6" customFormat="1" ht="25.5" customHeight="1" x14ac:dyDescent="0.3">
      <c r="A23" s="75" t="s">
        <v>69</v>
      </c>
      <c r="B23" s="76" t="s">
        <v>70</v>
      </c>
      <c r="C23" s="2" t="s">
        <v>144</v>
      </c>
      <c r="D23" s="79">
        <v>48</v>
      </c>
      <c r="E23" s="64">
        <f>30/48</f>
        <v>0.625</v>
      </c>
      <c r="F23" s="64">
        <v>4</v>
      </c>
      <c r="G23" s="64">
        <f>3+(18/48)</f>
        <v>3.375</v>
      </c>
      <c r="H23" s="1">
        <f t="shared" si="0"/>
        <v>8</v>
      </c>
      <c r="I23" s="63"/>
      <c r="J23" s="25">
        <f>+'ANEXO 3 - PROY COSTOS'!N23</f>
        <v>168311.15221550001</v>
      </c>
      <c r="K23" s="27">
        <f t="shared" si="23"/>
        <v>31979.118920945002</v>
      </c>
      <c r="L23" s="27">
        <f t="shared" si="20"/>
        <v>200290.27113644502</v>
      </c>
      <c r="M23" s="29">
        <f t="shared" si="14"/>
        <v>6008708.1340933507</v>
      </c>
      <c r="O23" s="25">
        <f t="shared" si="24"/>
        <v>175716.84291298201</v>
      </c>
      <c r="P23" s="27">
        <f t="shared" si="25"/>
        <v>33386.200153466583</v>
      </c>
      <c r="Q23" s="27">
        <f t="shared" si="21"/>
        <v>209103.04306644859</v>
      </c>
      <c r="R23" s="29">
        <f t="shared" si="26"/>
        <v>40147784.268758133</v>
      </c>
      <c r="T23" s="25">
        <f t="shared" si="10"/>
        <v>180988.34820037149</v>
      </c>
      <c r="U23" s="27">
        <f t="shared" si="11"/>
        <v>34387.786158070587</v>
      </c>
      <c r="V23" s="27">
        <f t="shared" si="22"/>
        <v>215376.13435844207</v>
      </c>
      <c r="W23" s="29">
        <f t="shared" si="27"/>
        <v>34890933.766067617</v>
      </c>
      <c r="Y23" s="29">
        <f t="shared" si="4"/>
        <v>81047426.168919086</v>
      </c>
    </row>
    <row r="24" spans="1:25" s="6" customFormat="1" ht="25.5" customHeight="1" x14ac:dyDescent="0.3">
      <c r="A24" s="75" t="s">
        <v>71</v>
      </c>
      <c r="B24" s="76" t="s">
        <v>72</v>
      </c>
      <c r="C24" s="2" t="s">
        <v>144</v>
      </c>
      <c r="D24" s="79">
        <v>14</v>
      </c>
      <c r="E24" s="64">
        <v>0</v>
      </c>
      <c r="F24" s="64">
        <v>4</v>
      </c>
      <c r="G24" s="64">
        <f>3+(14/14)</f>
        <v>4</v>
      </c>
      <c r="H24" s="1">
        <f t="shared" si="0"/>
        <v>8</v>
      </c>
      <c r="I24" s="63"/>
      <c r="J24" s="25">
        <f>+'ANEXO 3 - PROY COSTOS'!N24</f>
        <v>169746.56498349999</v>
      </c>
      <c r="K24" s="27">
        <f t="shared" si="23"/>
        <v>32251.847346865001</v>
      </c>
      <c r="L24" s="27">
        <f t="shared" si="20"/>
        <v>201998.41233036498</v>
      </c>
      <c r="M24" s="29">
        <f t="shared" si="14"/>
        <v>0</v>
      </c>
      <c r="O24" s="25">
        <f t="shared" si="24"/>
        <v>177215.413842774</v>
      </c>
      <c r="P24" s="27">
        <f t="shared" si="25"/>
        <v>33670.928630127062</v>
      </c>
      <c r="Q24" s="27">
        <f t="shared" si="21"/>
        <v>210886.34247290104</v>
      </c>
      <c r="R24" s="29">
        <f t="shared" si="26"/>
        <v>11809635.178482458</v>
      </c>
      <c r="T24" s="25">
        <f t="shared" si="10"/>
        <v>182531.87625805722</v>
      </c>
      <c r="U24" s="27">
        <f t="shared" si="11"/>
        <v>34681.056489030874</v>
      </c>
      <c r="V24" s="27">
        <f t="shared" si="22"/>
        <v>217212.93274708808</v>
      </c>
      <c r="W24" s="29">
        <f t="shared" si="27"/>
        <v>12163924.233836932</v>
      </c>
      <c r="Y24" s="29">
        <f t="shared" si="4"/>
        <v>23973559.412319392</v>
      </c>
    </row>
    <row r="25" spans="1:25" s="6" customFormat="1" ht="25.5" customHeight="1" x14ac:dyDescent="0.3">
      <c r="A25" s="75" t="s">
        <v>73</v>
      </c>
      <c r="B25" s="76" t="s">
        <v>74</v>
      </c>
      <c r="C25" s="2" t="s">
        <v>144</v>
      </c>
      <c r="D25" s="79">
        <v>3</v>
      </c>
      <c r="E25" s="64">
        <v>0</v>
      </c>
      <c r="F25" s="64">
        <v>4</v>
      </c>
      <c r="G25" s="64">
        <f>3+(3/3)</f>
        <v>4</v>
      </c>
      <c r="H25" s="1">
        <f t="shared" si="0"/>
        <v>8</v>
      </c>
      <c r="I25" s="63"/>
      <c r="J25" s="25">
        <f>+'ANEXO 3 - PROY COSTOS'!N25</f>
        <v>169746.58044250001</v>
      </c>
      <c r="K25" s="27">
        <f t="shared" si="23"/>
        <v>32251.850284075001</v>
      </c>
      <c r="L25" s="27">
        <f t="shared" si="20"/>
        <v>201998.43072657502</v>
      </c>
      <c r="M25" s="29">
        <f t="shared" si="14"/>
        <v>0</v>
      </c>
      <c r="O25" s="25">
        <f t="shared" si="24"/>
        <v>177215.42998197002</v>
      </c>
      <c r="P25" s="27">
        <f t="shared" si="25"/>
        <v>33670.931696574306</v>
      </c>
      <c r="Q25" s="27">
        <f t="shared" si="21"/>
        <v>210886.36167854432</v>
      </c>
      <c r="R25" s="29">
        <f t="shared" si="26"/>
        <v>2530636.3401425318</v>
      </c>
      <c r="T25" s="25">
        <f t="shared" si="10"/>
        <v>182531.89288142911</v>
      </c>
      <c r="U25" s="27">
        <f t="shared" si="11"/>
        <v>34681.059647471535</v>
      </c>
      <c r="V25" s="27">
        <f t="shared" si="22"/>
        <v>217212.95252890064</v>
      </c>
      <c r="W25" s="29">
        <f t="shared" si="27"/>
        <v>2606555.4303468075</v>
      </c>
      <c r="Y25" s="29">
        <f t="shared" si="4"/>
        <v>5137191.7704893388</v>
      </c>
    </row>
    <row r="26" spans="1:25" s="6" customFormat="1" ht="25.5" customHeight="1" x14ac:dyDescent="0.3">
      <c r="A26" s="77" t="s">
        <v>75</v>
      </c>
      <c r="B26" s="74" t="s">
        <v>76</v>
      </c>
      <c r="C26" s="74"/>
      <c r="D26" s="74"/>
      <c r="E26" s="74"/>
      <c r="F26" s="74"/>
      <c r="G26" s="74"/>
      <c r="H26" s="74"/>
      <c r="I26" s="63"/>
      <c r="J26" s="74"/>
      <c r="K26" s="74"/>
      <c r="L26" s="74"/>
      <c r="M26" s="74"/>
      <c r="O26" s="74"/>
      <c r="P26" s="74"/>
      <c r="Q26" s="74"/>
      <c r="R26" s="74"/>
      <c r="T26" s="74"/>
      <c r="U26" s="74"/>
      <c r="V26" s="74"/>
      <c r="W26" s="74"/>
      <c r="Y26" s="74"/>
    </row>
    <row r="27" spans="1:25" s="6" customFormat="1" ht="25.5" customHeight="1" x14ac:dyDescent="0.3">
      <c r="A27" s="75" t="s">
        <v>77</v>
      </c>
      <c r="B27" s="76" t="s">
        <v>78</v>
      </c>
      <c r="C27" s="2" t="s">
        <v>144</v>
      </c>
      <c r="D27" s="79">
        <v>3</v>
      </c>
      <c r="E27" s="64">
        <v>0</v>
      </c>
      <c r="F27" s="64">
        <v>4</v>
      </c>
      <c r="G27" s="64">
        <f>3+(3/3)</f>
        <v>4</v>
      </c>
      <c r="H27" s="1">
        <f t="shared" si="0"/>
        <v>8</v>
      </c>
      <c r="I27" s="63"/>
      <c r="J27" s="25">
        <f>+'ANEXO 3 - PROY COSTOS'!N27</f>
        <v>190955.79499999998</v>
      </c>
      <c r="K27" s="27">
        <f t="shared" ref="K27:K32" si="28">J27*19%</f>
        <v>36281.601049999997</v>
      </c>
      <c r="L27" s="27">
        <f t="shared" si="20"/>
        <v>227237.39604999998</v>
      </c>
      <c r="M27" s="29">
        <f t="shared" si="14"/>
        <v>0</v>
      </c>
      <c r="O27" s="25">
        <f t="shared" ref="O27:O32" si="29">J27+(J27*4.4%)</f>
        <v>199357.84998</v>
      </c>
      <c r="P27" s="27">
        <f t="shared" ref="P27:P32" si="30">O27*19%</f>
        <v>37877.991496200004</v>
      </c>
      <c r="Q27" s="27">
        <f t="shared" si="21"/>
        <v>237235.8414762</v>
      </c>
      <c r="R27" s="29">
        <f t="shared" ref="R27:R32" si="31">+Q27*F27*D27</f>
        <v>2846830.0977143999</v>
      </c>
      <c r="T27" s="25">
        <f t="shared" si="10"/>
        <v>205338.5854794</v>
      </c>
      <c r="U27" s="27">
        <f t="shared" si="11"/>
        <v>39014.331241086002</v>
      </c>
      <c r="V27" s="27">
        <f t="shared" si="22"/>
        <v>244352.91672048601</v>
      </c>
      <c r="W27" s="29">
        <f t="shared" ref="W27:W32" si="32">+V27*G27*D27</f>
        <v>2932235.0006458322</v>
      </c>
      <c r="Y27" s="29">
        <f t="shared" si="4"/>
        <v>5779065.0983602321</v>
      </c>
    </row>
    <row r="28" spans="1:25" s="6" customFormat="1" ht="25.5" customHeight="1" x14ac:dyDescent="0.3">
      <c r="A28" s="75" t="s">
        <v>79</v>
      </c>
      <c r="B28" s="76" t="s">
        <v>80</v>
      </c>
      <c r="C28" s="2" t="s">
        <v>144</v>
      </c>
      <c r="D28" s="79">
        <v>14</v>
      </c>
      <c r="E28" s="127">
        <f>8/14</f>
        <v>0.5714285714285714</v>
      </c>
      <c r="F28" s="64">
        <v>4</v>
      </c>
      <c r="G28" s="127">
        <f>3+(6/14)</f>
        <v>3.4285714285714284</v>
      </c>
      <c r="H28" s="1">
        <f t="shared" si="0"/>
        <v>8</v>
      </c>
      <c r="I28" s="63"/>
      <c r="J28" s="25">
        <f>+'ANEXO 3 - PROY COSTOS'!N28</f>
        <v>190955.76</v>
      </c>
      <c r="K28" s="27">
        <f t="shared" si="28"/>
        <v>36281.594400000002</v>
      </c>
      <c r="L28" s="27">
        <f t="shared" si="20"/>
        <v>227237.35440000001</v>
      </c>
      <c r="M28" s="29">
        <f t="shared" si="14"/>
        <v>1817898.8352000001</v>
      </c>
      <c r="O28" s="25">
        <f t="shared" si="29"/>
        <v>199357.81344</v>
      </c>
      <c r="P28" s="27">
        <f t="shared" si="30"/>
        <v>37877.984553599999</v>
      </c>
      <c r="Q28" s="27">
        <f t="shared" si="21"/>
        <v>237235.79799359999</v>
      </c>
      <c r="R28" s="29">
        <f t="shared" si="31"/>
        <v>13285204.6876416</v>
      </c>
      <c r="T28" s="25">
        <f t="shared" si="10"/>
        <v>205338.54784320001</v>
      </c>
      <c r="U28" s="27">
        <f t="shared" si="11"/>
        <v>39014.324090208</v>
      </c>
      <c r="V28" s="27">
        <f t="shared" si="22"/>
        <v>244352.87193340802</v>
      </c>
      <c r="W28" s="29">
        <f t="shared" si="32"/>
        <v>11728937.852803584</v>
      </c>
      <c r="Y28" s="29">
        <f t="shared" si="4"/>
        <v>26832041.375645187</v>
      </c>
    </row>
    <row r="29" spans="1:25" s="6" customFormat="1" ht="25.5" customHeight="1" x14ac:dyDescent="0.3">
      <c r="A29" s="75" t="s">
        <v>81</v>
      </c>
      <c r="B29" s="76" t="s">
        <v>82</v>
      </c>
      <c r="C29" s="2" t="s">
        <v>144</v>
      </c>
      <c r="D29" s="79">
        <v>8</v>
      </c>
      <c r="E29" s="64">
        <f>2/D29</f>
        <v>0.25</v>
      </c>
      <c r="F29" s="64">
        <v>4</v>
      </c>
      <c r="G29" s="64">
        <f>3+(6/8)</f>
        <v>3.75</v>
      </c>
      <c r="H29" s="1">
        <f t="shared" si="0"/>
        <v>8</v>
      </c>
      <c r="I29" s="63"/>
      <c r="J29" s="25">
        <f>+'ANEXO 3 - PROY COSTOS'!N29</f>
        <v>192994.505</v>
      </c>
      <c r="K29" s="27">
        <f t="shared" si="28"/>
        <v>36668.955950000003</v>
      </c>
      <c r="L29" s="27">
        <f t="shared" si="20"/>
        <v>229663.46095000001</v>
      </c>
      <c r="M29" s="29">
        <f t="shared" si="14"/>
        <v>459326.92190000002</v>
      </c>
      <c r="O29" s="25">
        <f t="shared" si="29"/>
        <v>201486.26321999999</v>
      </c>
      <c r="P29" s="27">
        <f t="shared" si="30"/>
        <v>38282.390011800002</v>
      </c>
      <c r="Q29" s="27">
        <f t="shared" si="21"/>
        <v>239768.65323180001</v>
      </c>
      <c r="R29" s="29">
        <f t="shared" si="31"/>
        <v>7672596.9034176003</v>
      </c>
      <c r="T29" s="25">
        <f t="shared" si="10"/>
        <v>207530.85111659998</v>
      </c>
      <c r="U29" s="27">
        <f t="shared" si="11"/>
        <v>39430.861712153994</v>
      </c>
      <c r="V29" s="27">
        <f t="shared" si="22"/>
        <v>246961.71282875398</v>
      </c>
      <c r="W29" s="29">
        <f t="shared" si="32"/>
        <v>7408851.3848626195</v>
      </c>
      <c r="Y29" s="29">
        <f t="shared" si="4"/>
        <v>15540775.210180219</v>
      </c>
    </row>
    <row r="30" spans="1:25" s="6" customFormat="1" ht="25.5" customHeight="1" x14ac:dyDescent="0.3">
      <c r="A30" s="75" t="s">
        <v>83</v>
      </c>
      <c r="B30" s="76" t="s">
        <v>84</v>
      </c>
      <c r="C30" s="2" t="s">
        <v>144</v>
      </c>
      <c r="D30" s="79">
        <v>3</v>
      </c>
      <c r="E30" s="64">
        <f>3/D30</f>
        <v>1</v>
      </c>
      <c r="F30" s="64">
        <v>4</v>
      </c>
      <c r="G30" s="64">
        <v>3</v>
      </c>
      <c r="H30" s="1">
        <f t="shared" si="0"/>
        <v>8</v>
      </c>
      <c r="I30" s="63"/>
      <c r="J30" s="25">
        <f>+'ANEXO 3 - PROY COSTOS'!N30</f>
        <v>192994.58500000002</v>
      </c>
      <c r="K30" s="27">
        <f t="shared" si="28"/>
        <v>36668.971150000005</v>
      </c>
      <c r="L30" s="27">
        <f t="shared" si="20"/>
        <v>229663.55615000002</v>
      </c>
      <c r="M30" s="29">
        <f t="shared" si="14"/>
        <v>688990.66845</v>
      </c>
      <c r="O30" s="25">
        <f t="shared" si="29"/>
        <v>201486.34674000001</v>
      </c>
      <c r="P30" s="27">
        <f t="shared" si="30"/>
        <v>38282.405880600003</v>
      </c>
      <c r="Q30" s="27">
        <f t="shared" si="21"/>
        <v>239768.75262060002</v>
      </c>
      <c r="R30" s="29">
        <f t="shared" si="31"/>
        <v>2877225.0314472001</v>
      </c>
      <c r="T30" s="25">
        <f t="shared" si="10"/>
        <v>207530.93714220001</v>
      </c>
      <c r="U30" s="27">
        <f t="shared" si="11"/>
        <v>39430.878057018002</v>
      </c>
      <c r="V30" s="27">
        <f t="shared" si="22"/>
        <v>246961.81519921802</v>
      </c>
      <c r="W30" s="29">
        <f t="shared" si="32"/>
        <v>2222656.3367929622</v>
      </c>
      <c r="Y30" s="29">
        <f t="shared" si="4"/>
        <v>5788872.0366901625</v>
      </c>
    </row>
    <row r="31" spans="1:25" s="6" customFormat="1" ht="25.5" customHeight="1" x14ac:dyDescent="0.3">
      <c r="A31" s="75" t="s">
        <v>85</v>
      </c>
      <c r="B31" s="76" t="s">
        <v>86</v>
      </c>
      <c r="C31" s="2" t="s">
        <v>144</v>
      </c>
      <c r="D31" s="79">
        <v>4</v>
      </c>
      <c r="E31" s="64">
        <v>0</v>
      </c>
      <c r="F31" s="64">
        <v>4</v>
      </c>
      <c r="G31" s="64">
        <f>(3+(4/4))</f>
        <v>4</v>
      </c>
      <c r="H31" s="1">
        <f t="shared" si="0"/>
        <v>8</v>
      </c>
      <c r="I31" s="63"/>
      <c r="J31" s="25">
        <f>+'ANEXO 3 - PROY COSTOS'!N31</f>
        <v>192994.56</v>
      </c>
      <c r="K31" s="27">
        <f t="shared" si="28"/>
        <v>36668.966399999998</v>
      </c>
      <c r="L31" s="27">
        <f t="shared" si="20"/>
        <v>229663.5264</v>
      </c>
      <c r="M31" s="29">
        <f t="shared" si="14"/>
        <v>0</v>
      </c>
      <c r="O31" s="25">
        <f t="shared" si="29"/>
        <v>201486.32063999999</v>
      </c>
      <c r="P31" s="27">
        <f t="shared" si="30"/>
        <v>38282.400921599998</v>
      </c>
      <c r="Q31" s="27">
        <f t="shared" si="21"/>
        <v>239768.72156159999</v>
      </c>
      <c r="R31" s="29">
        <f t="shared" si="31"/>
        <v>3836299.5449855998</v>
      </c>
      <c r="T31" s="25">
        <f t="shared" si="10"/>
        <v>207530.9102592</v>
      </c>
      <c r="U31" s="27">
        <f t="shared" si="11"/>
        <v>39430.872949247998</v>
      </c>
      <c r="V31" s="27">
        <f t="shared" si="22"/>
        <v>246961.783208448</v>
      </c>
      <c r="W31" s="29">
        <f t="shared" si="32"/>
        <v>3951388.5313351681</v>
      </c>
      <c r="Y31" s="29">
        <f t="shared" si="4"/>
        <v>7787688.0763207674</v>
      </c>
    </row>
    <row r="32" spans="1:25" s="6" customFormat="1" ht="25.5" customHeight="1" x14ac:dyDescent="0.3">
      <c r="A32" s="75" t="s">
        <v>87</v>
      </c>
      <c r="B32" s="76" t="s">
        <v>88</v>
      </c>
      <c r="C32" s="2" t="s">
        <v>144</v>
      </c>
      <c r="D32" s="79">
        <v>4</v>
      </c>
      <c r="E32" s="64">
        <f>1/4</f>
        <v>0.25</v>
      </c>
      <c r="F32" s="64">
        <v>4</v>
      </c>
      <c r="G32" s="64">
        <f>3+(3/4)</f>
        <v>3.75</v>
      </c>
      <c r="H32" s="1">
        <f t="shared" si="0"/>
        <v>8</v>
      </c>
      <c r="I32" s="63"/>
      <c r="J32" s="25">
        <f>+'ANEXO 3 - PROY COSTOS'!N32</f>
        <v>192994.56</v>
      </c>
      <c r="K32" s="27">
        <f t="shared" si="28"/>
        <v>36668.966399999998</v>
      </c>
      <c r="L32" s="27">
        <f t="shared" si="20"/>
        <v>229663.5264</v>
      </c>
      <c r="M32" s="29">
        <f t="shared" si="14"/>
        <v>229663.5264</v>
      </c>
      <c r="O32" s="25">
        <f t="shared" si="29"/>
        <v>201486.32063999999</v>
      </c>
      <c r="P32" s="27">
        <f t="shared" si="30"/>
        <v>38282.400921599998</v>
      </c>
      <c r="Q32" s="27">
        <f t="shared" si="21"/>
        <v>239768.72156159999</v>
      </c>
      <c r="R32" s="29">
        <f t="shared" si="31"/>
        <v>3836299.5449855998</v>
      </c>
      <c r="T32" s="25">
        <f t="shared" si="10"/>
        <v>207530.9102592</v>
      </c>
      <c r="U32" s="27">
        <f t="shared" si="11"/>
        <v>39430.872949247998</v>
      </c>
      <c r="V32" s="27">
        <f t="shared" si="22"/>
        <v>246961.783208448</v>
      </c>
      <c r="W32" s="29">
        <f t="shared" si="32"/>
        <v>3704426.7481267201</v>
      </c>
      <c r="Y32" s="29">
        <f t="shared" si="4"/>
        <v>7770389.8195123198</v>
      </c>
    </row>
    <row r="33" spans="1:25" s="6" customFormat="1" ht="25.5" customHeight="1" x14ac:dyDescent="0.3">
      <c r="A33" s="77" t="s">
        <v>89</v>
      </c>
      <c r="B33" s="74" t="s">
        <v>90</v>
      </c>
      <c r="C33" s="74"/>
      <c r="D33" s="74"/>
      <c r="E33" s="74"/>
      <c r="F33" s="74"/>
      <c r="G33" s="74"/>
      <c r="H33" s="74"/>
      <c r="I33" s="63"/>
      <c r="J33" s="74"/>
      <c r="K33" s="74"/>
      <c r="L33" s="74"/>
      <c r="M33" s="74"/>
      <c r="O33" s="74"/>
      <c r="P33" s="74"/>
      <c r="Q33" s="74"/>
      <c r="R33" s="74"/>
      <c r="T33" s="74"/>
      <c r="U33" s="74"/>
      <c r="V33" s="74"/>
      <c r="W33" s="74"/>
      <c r="Y33" s="74"/>
    </row>
    <row r="34" spans="1:25" s="6" customFormat="1" ht="25.5" customHeight="1" x14ac:dyDescent="0.3">
      <c r="A34" s="75" t="s">
        <v>91</v>
      </c>
      <c r="B34" s="76" t="s">
        <v>92</v>
      </c>
      <c r="C34" s="2" t="s">
        <v>144</v>
      </c>
      <c r="D34" s="79">
        <v>137</v>
      </c>
      <c r="E34" s="127">
        <f>29/137</f>
        <v>0.21167883211678831</v>
      </c>
      <c r="F34" s="64">
        <v>4</v>
      </c>
      <c r="G34" s="127">
        <f>3+(108/137)</f>
        <v>3.7883211678832116</v>
      </c>
      <c r="H34" s="1">
        <f t="shared" si="0"/>
        <v>7.9999999999999991</v>
      </c>
      <c r="I34" s="63"/>
      <c r="J34" s="25">
        <f>+'ANEXO 3 - PROY COSTOS'!N34</f>
        <v>115897.58364500001</v>
      </c>
      <c r="K34" s="27">
        <f t="shared" ref="K34:K37" si="33">J34*19%</f>
        <v>22020.540892550001</v>
      </c>
      <c r="L34" s="27">
        <f t="shared" si="20"/>
        <v>137918.12453755</v>
      </c>
      <c r="M34" s="29">
        <f t="shared" si="14"/>
        <v>3999625.6115889498</v>
      </c>
      <c r="O34" s="25">
        <f t="shared" ref="O34:O37" si="34">J34+(J34*4.4%)</f>
        <v>120997.07732538</v>
      </c>
      <c r="P34" s="27">
        <f t="shared" ref="P34:P37" si="35">O34*19%</f>
        <v>22989.444691822202</v>
      </c>
      <c r="Q34" s="27">
        <f t="shared" si="21"/>
        <v>143986.52201720219</v>
      </c>
      <c r="R34" s="29">
        <f t="shared" ref="R34:R37" si="36">+Q34*F34*D34</f>
        <v>78904614.065426797</v>
      </c>
      <c r="T34" s="25">
        <f t="shared" si="10"/>
        <v>124626.9896451414</v>
      </c>
      <c r="U34" s="27">
        <f t="shared" si="11"/>
        <v>23679.128032576864</v>
      </c>
      <c r="V34" s="27">
        <f t="shared" si="22"/>
        <v>148306.11767771826</v>
      </c>
      <c r="W34" s="29">
        <f t="shared" ref="W34:W37" si="37">+V34*G34*D34</f>
        <v>76970875.074735776</v>
      </c>
      <c r="Y34" s="29">
        <f t="shared" si="4"/>
        <v>159875114.75175154</v>
      </c>
    </row>
    <row r="35" spans="1:25" s="6" customFormat="1" ht="25.5" customHeight="1" x14ac:dyDescent="0.3">
      <c r="A35" s="75" t="s">
        <v>93</v>
      </c>
      <c r="B35" s="76" t="s">
        <v>94</v>
      </c>
      <c r="C35" s="2" t="s">
        <v>144</v>
      </c>
      <c r="D35" s="79">
        <v>29</v>
      </c>
      <c r="E35" s="127">
        <f>15/D35</f>
        <v>0.51724137931034486</v>
      </c>
      <c r="F35" s="64">
        <v>4</v>
      </c>
      <c r="G35" s="127">
        <f>3+(14/29)</f>
        <v>3.4827586206896552</v>
      </c>
      <c r="H35" s="1">
        <f t="shared" si="0"/>
        <v>8</v>
      </c>
      <c r="I35" s="63"/>
      <c r="J35" s="25">
        <f>+'ANEXO 3 - PROY COSTOS'!N35</f>
        <v>115897.59137450001</v>
      </c>
      <c r="K35" s="27">
        <f t="shared" si="33"/>
        <v>22020.542361155003</v>
      </c>
      <c r="L35" s="27">
        <f t="shared" si="20"/>
        <v>137918.13373565502</v>
      </c>
      <c r="M35" s="29">
        <f t="shared" si="14"/>
        <v>2068772.0060348257</v>
      </c>
      <c r="O35" s="25">
        <f t="shared" si="34"/>
        <v>120997.08539497801</v>
      </c>
      <c r="P35" s="27">
        <f t="shared" si="35"/>
        <v>22989.446225045824</v>
      </c>
      <c r="Q35" s="27">
        <f t="shared" si="21"/>
        <v>143986.53162002383</v>
      </c>
      <c r="R35" s="29">
        <f t="shared" si="36"/>
        <v>16702437.667922765</v>
      </c>
      <c r="T35" s="25">
        <f t="shared" si="10"/>
        <v>124626.99795682736</v>
      </c>
      <c r="U35" s="27">
        <f t="shared" si="11"/>
        <v>23679.129611797198</v>
      </c>
      <c r="V35" s="27">
        <f t="shared" si="22"/>
        <v>148306.12756862456</v>
      </c>
      <c r="W35" s="29">
        <f t="shared" si="37"/>
        <v>14978918.884431083</v>
      </c>
      <c r="Y35" s="29">
        <f t="shared" si="4"/>
        <v>33750128.558388673</v>
      </c>
    </row>
    <row r="36" spans="1:25" s="6" customFormat="1" ht="25.5" customHeight="1" x14ac:dyDescent="0.3">
      <c r="A36" s="75" t="s">
        <v>95</v>
      </c>
      <c r="B36" s="76" t="s">
        <v>96</v>
      </c>
      <c r="C36" s="2" t="s">
        <v>144</v>
      </c>
      <c r="D36" s="79">
        <v>10</v>
      </c>
      <c r="E36" s="64">
        <f>10/10</f>
        <v>1</v>
      </c>
      <c r="F36" s="64">
        <v>4</v>
      </c>
      <c r="G36" s="64">
        <v>3</v>
      </c>
      <c r="H36" s="1">
        <f t="shared" si="0"/>
        <v>8</v>
      </c>
      <c r="I36" s="63"/>
      <c r="J36" s="25">
        <f>+'ANEXO 3 - PROY COSTOS'!N36</f>
        <v>115897.59910399999</v>
      </c>
      <c r="K36" s="27">
        <f t="shared" si="33"/>
        <v>22020.543829759998</v>
      </c>
      <c r="L36" s="27">
        <f t="shared" si="20"/>
        <v>137918.14293375998</v>
      </c>
      <c r="M36" s="29">
        <f t="shared" si="14"/>
        <v>1379181.4293375998</v>
      </c>
      <c r="O36" s="25">
        <f t="shared" si="34"/>
        <v>120997.093464576</v>
      </c>
      <c r="P36" s="27">
        <f t="shared" si="35"/>
        <v>22989.447758269442</v>
      </c>
      <c r="Q36" s="27">
        <f t="shared" si="21"/>
        <v>143986.54122284544</v>
      </c>
      <c r="R36" s="29">
        <f t="shared" si="36"/>
        <v>5759461.6489138175</v>
      </c>
      <c r="T36" s="25">
        <f t="shared" si="10"/>
        <v>124627.00626851327</v>
      </c>
      <c r="U36" s="27">
        <f t="shared" si="11"/>
        <v>23679.131191017521</v>
      </c>
      <c r="V36" s="27">
        <f t="shared" si="22"/>
        <v>148306.13745953079</v>
      </c>
      <c r="W36" s="29">
        <f t="shared" si="37"/>
        <v>4449184.1237859232</v>
      </c>
      <c r="Y36" s="29">
        <f t="shared" si="4"/>
        <v>11587827.20203734</v>
      </c>
    </row>
    <row r="37" spans="1:25" s="6" customFormat="1" ht="25.5" customHeight="1" x14ac:dyDescent="0.3">
      <c r="A37" s="75" t="s">
        <v>97</v>
      </c>
      <c r="B37" s="76" t="s">
        <v>98</v>
      </c>
      <c r="C37" s="2" t="s">
        <v>144</v>
      </c>
      <c r="D37" s="79">
        <v>9</v>
      </c>
      <c r="E37" s="127">
        <f>(1/9)</f>
        <v>0.1111111111111111</v>
      </c>
      <c r="F37" s="64">
        <v>4</v>
      </c>
      <c r="G37" s="127">
        <f>3+(8/9)</f>
        <v>3.8888888888888888</v>
      </c>
      <c r="H37" s="1">
        <f t="shared" si="0"/>
        <v>8</v>
      </c>
      <c r="I37" s="63"/>
      <c r="J37" s="25">
        <f>+'ANEXO 3 - PROY COSTOS'!N37</f>
        <v>115897.61456300001</v>
      </c>
      <c r="K37" s="27">
        <f t="shared" si="33"/>
        <v>22020.546766970001</v>
      </c>
      <c r="L37" s="27">
        <f t="shared" si="20"/>
        <v>137918.16132997</v>
      </c>
      <c r="M37" s="29">
        <f t="shared" si="14"/>
        <v>137918.16132997</v>
      </c>
      <c r="O37" s="25">
        <f t="shared" si="34"/>
        <v>120997.10960377201</v>
      </c>
      <c r="P37" s="27">
        <f t="shared" si="35"/>
        <v>22989.450824716681</v>
      </c>
      <c r="Q37" s="27">
        <f t="shared" si="21"/>
        <v>143986.56042848871</v>
      </c>
      <c r="R37" s="29">
        <f t="shared" si="36"/>
        <v>5183516.1754255937</v>
      </c>
      <c r="T37" s="25">
        <f t="shared" si="10"/>
        <v>124627.02289188518</v>
      </c>
      <c r="U37" s="27">
        <f t="shared" si="11"/>
        <v>23679.134349458185</v>
      </c>
      <c r="V37" s="27">
        <f t="shared" si="22"/>
        <v>148306.15724134338</v>
      </c>
      <c r="W37" s="29">
        <f t="shared" si="37"/>
        <v>5190715.5034470186</v>
      </c>
      <c r="Y37" s="29">
        <f t="shared" si="4"/>
        <v>10512149.840202581</v>
      </c>
    </row>
    <row r="38" spans="1:25" s="6" customFormat="1" ht="25.5" customHeight="1" x14ac:dyDescent="0.3">
      <c r="A38" s="77" t="s">
        <v>99</v>
      </c>
      <c r="B38" s="74" t="s">
        <v>100</v>
      </c>
      <c r="C38" s="74"/>
      <c r="D38" s="74"/>
      <c r="E38" s="74"/>
      <c r="F38" s="74"/>
      <c r="G38" s="74"/>
      <c r="H38" s="74"/>
      <c r="I38" s="63"/>
      <c r="J38" s="74"/>
      <c r="K38" s="74"/>
      <c r="L38" s="74"/>
      <c r="M38" s="74"/>
      <c r="O38" s="74"/>
      <c r="P38" s="74"/>
      <c r="Q38" s="74"/>
      <c r="R38" s="74"/>
      <c r="T38" s="74"/>
      <c r="U38" s="74"/>
      <c r="V38" s="74"/>
      <c r="W38" s="74"/>
      <c r="Y38" s="74"/>
    </row>
    <row r="39" spans="1:25" s="6" customFormat="1" ht="25.5" customHeight="1" x14ac:dyDescent="0.3">
      <c r="A39" s="75" t="s">
        <v>101</v>
      </c>
      <c r="B39" s="78" t="s">
        <v>102</v>
      </c>
      <c r="C39" s="2" t="s">
        <v>144</v>
      </c>
      <c r="D39" s="79">
        <v>7</v>
      </c>
      <c r="E39" s="64">
        <v>0</v>
      </c>
      <c r="F39" s="64">
        <v>4</v>
      </c>
      <c r="G39" s="64">
        <f>3+(7/7)</f>
        <v>4</v>
      </c>
      <c r="H39" s="1">
        <f t="shared" si="0"/>
        <v>8</v>
      </c>
      <c r="I39" s="63"/>
      <c r="J39" s="25">
        <f>+'ANEXO 3 - PROY COSTOS'!N39</f>
        <v>154508.25014650001</v>
      </c>
      <c r="K39" s="27">
        <f t="shared" ref="K39:K45" si="38">J39*19%</f>
        <v>29356.567527835003</v>
      </c>
      <c r="L39" s="27">
        <f t="shared" si="20"/>
        <v>183864.817674335</v>
      </c>
      <c r="M39" s="29">
        <f t="shared" si="14"/>
        <v>0</v>
      </c>
      <c r="O39" s="25">
        <f t="shared" ref="O39:O45" si="39">J39+(J39*4.4%)</f>
        <v>161306.613152946</v>
      </c>
      <c r="P39" s="27">
        <f t="shared" ref="P39:P45" si="40">O39*19%</f>
        <v>30648.256499059738</v>
      </c>
      <c r="Q39" s="27">
        <f t="shared" si="21"/>
        <v>191954.86965200573</v>
      </c>
      <c r="R39" s="29">
        <f t="shared" ref="R39:R45" si="41">+Q39*F39*D39</f>
        <v>5374736.3502561599</v>
      </c>
      <c r="T39" s="25">
        <f t="shared" si="10"/>
        <v>166145.81154753437</v>
      </c>
      <c r="U39" s="27">
        <f t="shared" si="11"/>
        <v>31567.704194031528</v>
      </c>
      <c r="V39" s="27">
        <f t="shared" si="22"/>
        <v>197713.51574156591</v>
      </c>
      <c r="W39" s="29">
        <f t="shared" ref="W39:W45" si="42">+V39*G39*D39</f>
        <v>5535978.4407638451</v>
      </c>
      <c r="Y39" s="29">
        <f t="shared" si="4"/>
        <v>10910714.791020006</v>
      </c>
    </row>
    <row r="40" spans="1:25" s="6" customFormat="1" ht="25.5" customHeight="1" x14ac:dyDescent="0.3">
      <c r="A40" s="75" t="s">
        <v>103</v>
      </c>
      <c r="B40" s="78" t="s">
        <v>104</v>
      </c>
      <c r="C40" s="2" t="s">
        <v>144</v>
      </c>
      <c r="D40" s="79">
        <v>4</v>
      </c>
      <c r="E40" s="64">
        <v>0</v>
      </c>
      <c r="F40" s="64">
        <v>4</v>
      </c>
      <c r="G40" s="64">
        <f>3+(4/4)</f>
        <v>4</v>
      </c>
      <c r="H40" s="1">
        <f t="shared" si="0"/>
        <v>8</v>
      </c>
      <c r="I40" s="63"/>
      <c r="J40" s="25">
        <f>+'ANEXO 3 - PROY COSTOS'!N40</f>
        <v>121792.7364145</v>
      </c>
      <c r="K40" s="27">
        <f t="shared" si="38"/>
        <v>23140.619918755001</v>
      </c>
      <c r="L40" s="27">
        <f t="shared" si="20"/>
        <v>144933.35633325501</v>
      </c>
      <c r="M40" s="29">
        <f t="shared" si="14"/>
        <v>0</v>
      </c>
      <c r="O40" s="25">
        <f t="shared" si="39"/>
        <v>127151.61681673801</v>
      </c>
      <c r="P40" s="27">
        <f t="shared" si="40"/>
        <v>24158.807195180223</v>
      </c>
      <c r="Q40" s="27">
        <f t="shared" si="21"/>
        <v>151310.42401191822</v>
      </c>
      <c r="R40" s="29">
        <f t="shared" si="41"/>
        <v>2420966.7841906915</v>
      </c>
      <c r="T40" s="25">
        <f t="shared" si="10"/>
        <v>130966.16532124014</v>
      </c>
      <c r="U40" s="27">
        <f t="shared" si="11"/>
        <v>24883.571411035628</v>
      </c>
      <c r="V40" s="27">
        <f t="shared" si="22"/>
        <v>155849.73673227578</v>
      </c>
      <c r="W40" s="29">
        <f t="shared" si="42"/>
        <v>2493595.7877164125</v>
      </c>
      <c r="Y40" s="29">
        <f t="shared" si="4"/>
        <v>4914562.571907104</v>
      </c>
    </row>
    <row r="41" spans="1:25" s="6" customFormat="1" ht="25.5" customHeight="1" x14ac:dyDescent="0.3">
      <c r="A41" s="75" t="s">
        <v>105</v>
      </c>
      <c r="B41" s="78" t="s">
        <v>106</v>
      </c>
      <c r="C41" s="2" t="s">
        <v>144</v>
      </c>
      <c r="D41" s="79">
        <v>4</v>
      </c>
      <c r="E41" s="64">
        <v>0</v>
      </c>
      <c r="F41" s="64">
        <v>4</v>
      </c>
      <c r="G41" s="64">
        <f>3+(4/4)</f>
        <v>4</v>
      </c>
      <c r="H41" s="1">
        <f t="shared" si="0"/>
        <v>8</v>
      </c>
      <c r="I41" s="63"/>
      <c r="J41" s="25">
        <f>+'ANEXO 3 - PROY COSTOS'!N41</f>
        <v>115998.5302145</v>
      </c>
      <c r="K41" s="27">
        <f t="shared" si="38"/>
        <v>22039.720740755001</v>
      </c>
      <c r="L41" s="27">
        <f t="shared" si="20"/>
        <v>138038.250955255</v>
      </c>
      <c r="M41" s="29">
        <f t="shared" si="14"/>
        <v>0</v>
      </c>
      <c r="O41" s="25">
        <f t="shared" si="39"/>
        <v>121102.465543938</v>
      </c>
      <c r="P41" s="27">
        <f t="shared" si="40"/>
        <v>23009.468453348221</v>
      </c>
      <c r="Q41" s="27">
        <f t="shared" si="21"/>
        <v>144111.93399728622</v>
      </c>
      <c r="R41" s="29">
        <f t="shared" si="41"/>
        <v>2305790.9439565795</v>
      </c>
      <c r="T41" s="25">
        <f t="shared" si="10"/>
        <v>124735.53951025615</v>
      </c>
      <c r="U41" s="27">
        <f t="shared" si="11"/>
        <v>23699.752506948669</v>
      </c>
      <c r="V41" s="27">
        <f t="shared" si="22"/>
        <v>148435.2920172048</v>
      </c>
      <c r="W41" s="29">
        <f t="shared" si="42"/>
        <v>2374964.6722752769</v>
      </c>
      <c r="Y41" s="29">
        <f t="shared" si="4"/>
        <v>4680755.6162318569</v>
      </c>
    </row>
    <row r="42" spans="1:25" s="6" customFormat="1" ht="25.5" customHeight="1" x14ac:dyDescent="0.3">
      <c r="A42" s="75" t="s">
        <v>107</v>
      </c>
      <c r="B42" s="78" t="s">
        <v>108</v>
      </c>
      <c r="C42" s="2" t="s">
        <v>144</v>
      </c>
      <c r="D42" s="79">
        <v>9</v>
      </c>
      <c r="E42" s="64">
        <v>0</v>
      </c>
      <c r="F42" s="64">
        <v>4</v>
      </c>
      <c r="G42" s="64">
        <f>3+(9/9)</f>
        <v>4</v>
      </c>
      <c r="H42" s="1">
        <f t="shared" si="0"/>
        <v>8</v>
      </c>
      <c r="I42" s="63"/>
      <c r="J42" s="25">
        <f>+'ANEXO 3 - PROY COSTOS'!N42</f>
        <v>155423.30126850001</v>
      </c>
      <c r="K42" s="27">
        <f t="shared" si="38"/>
        <v>29530.427241015004</v>
      </c>
      <c r="L42" s="27">
        <f t="shared" si="20"/>
        <v>184953.72850951503</v>
      </c>
      <c r="M42" s="29">
        <f t="shared" si="14"/>
        <v>0</v>
      </c>
      <c r="O42" s="25">
        <f t="shared" si="39"/>
        <v>162261.92652431401</v>
      </c>
      <c r="P42" s="27">
        <f t="shared" si="40"/>
        <v>30829.766039619662</v>
      </c>
      <c r="Q42" s="27">
        <f t="shared" si="21"/>
        <v>193091.69256393367</v>
      </c>
      <c r="R42" s="29">
        <f t="shared" si="41"/>
        <v>6951300.9323016126</v>
      </c>
      <c r="T42" s="25">
        <f t="shared" si="10"/>
        <v>167129.78432004343</v>
      </c>
      <c r="U42" s="27">
        <f t="shared" si="11"/>
        <v>31754.659020808253</v>
      </c>
      <c r="V42" s="27">
        <f t="shared" si="22"/>
        <v>198884.44334085169</v>
      </c>
      <c r="W42" s="29">
        <f t="shared" si="42"/>
        <v>7159839.9602706609</v>
      </c>
      <c r="Y42" s="29">
        <f t="shared" si="4"/>
        <v>14111140.892572273</v>
      </c>
    </row>
    <row r="43" spans="1:25" s="6" customFormat="1" ht="25.5" customHeight="1" x14ac:dyDescent="0.3">
      <c r="A43" s="75" t="s">
        <v>109</v>
      </c>
      <c r="B43" s="78" t="s">
        <v>110</v>
      </c>
      <c r="C43" s="2" t="s">
        <v>144</v>
      </c>
      <c r="D43" s="79">
        <v>3</v>
      </c>
      <c r="E43" s="64">
        <v>0</v>
      </c>
      <c r="F43" s="64">
        <v>4</v>
      </c>
      <c r="G43" s="64">
        <f>3+(3/3)</f>
        <v>4</v>
      </c>
      <c r="H43" s="1">
        <f t="shared" si="0"/>
        <v>8</v>
      </c>
      <c r="I43" s="63"/>
      <c r="J43" s="25">
        <f>+'ANEXO 3 - PROY COSTOS'!N43</f>
        <v>154508.35563000001</v>
      </c>
      <c r="K43" s="27">
        <f t="shared" si="38"/>
        <v>29356.587569700001</v>
      </c>
      <c r="L43" s="27">
        <f t="shared" si="20"/>
        <v>183864.94319970001</v>
      </c>
      <c r="M43" s="29">
        <f t="shared" si="14"/>
        <v>0</v>
      </c>
      <c r="O43" s="25">
        <f t="shared" si="39"/>
        <v>161306.72327772001</v>
      </c>
      <c r="P43" s="27">
        <f t="shared" si="40"/>
        <v>30648.277422766801</v>
      </c>
      <c r="Q43" s="27">
        <f t="shared" si="21"/>
        <v>191955.00070048682</v>
      </c>
      <c r="R43" s="29">
        <f t="shared" si="41"/>
        <v>2303460.0084058419</v>
      </c>
      <c r="T43" s="25">
        <f t="shared" si="10"/>
        <v>166145.92497605161</v>
      </c>
      <c r="U43" s="27">
        <f t="shared" si="11"/>
        <v>31567.725745449807</v>
      </c>
      <c r="V43" s="27">
        <f t="shared" si="22"/>
        <v>197713.65072150141</v>
      </c>
      <c r="W43" s="29">
        <f t="shared" si="42"/>
        <v>2372563.8086580168</v>
      </c>
      <c r="Y43" s="29">
        <f t="shared" si="4"/>
        <v>4676023.8170638587</v>
      </c>
    </row>
    <row r="44" spans="1:25" s="6" customFormat="1" ht="25.5" customHeight="1" x14ac:dyDescent="0.3">
      <c r="A44" s="75" t="s">
        <v>111</v>
      </c>
      <c r="B44" s="78" t="s">
        <v>112</v>
      </c>
      <c r="C44" s="2" t="s">
        <v>144</v>
      </c>
      <c r="D44" s="79">
        <v>6</v>
      </c>
      <c r="E44" s="64">
        <v>0</v>
      </c>
      <c r="F44" s="64">
        <v>4</v>
      </c>
      <c r="G44" s="64">
        <f>3+(6/6)</f>
        <v>4</v>
      </c>
      <c r="H44" s="1">
        <f t="shared" si="0"/>
        <v>8</v>
      </c>
      <c r="I44" s="63"/>
      <c r="J44" s="25">
        <f>+'ANEXO 3 - PROY COSTOS'!N44</f>
        <v>125546.742637</v>
      </c>
      <c r="K44" s="27">
        <f t="shared" si="38"/>
        <v>23853.881101030001</v>
      </c>
      <c r="L44" s="27">
        <f t="shared" si="20"/>
        <v>149400.62373803</v>
      </c>
      <c r="M44" s="29">
        <f t="shared" si="14"/>
        <v>0</v>
      </c>
      <c r="O44" s="25">
        <f t="shared" si="39"/>
        <v>131070.79931302801</v>
      </c>
      <c r="P44" s="27">
        <f t="shared" si="40"/>
        <v>24903.451869475321</v>
      </c>
      <c r="Q44" s="27">
        <f t="shared" si="21"/>
        <v>155974.25118250333</v>
      </c>
      <c r="R44" s="29">
        <f t="shared" si="41"/>
        <v>3743382.0283800801</v>
      </c>
      <c r="T44" s="25">
        <f t="shared" si="10"/>
        <v>135002.92329241885</v>
      </c>
      <c r="U44" s="27">
        <f t="shared" si="11"/>
        <v>25650.555425559582</v>
      </c>
      <c r="V44" s="27">
        <f t="shared" si="22"/>
        <v>160653.47871797843</v>
      </c>
      <c r="W44" s="29">
        <f t="shared" si="42"/>
        <v>3855683.4892314821</v>
      </c>
      <c r="Y44" s="29">
        <f t="shared" si="4"/>
        <v>7599065.5176115623</v>
      </c>
    </row>
    <row r="45" spans="1:25" s="6" customFormat="1" ht="25.5" customHeight="1" x14ac:dyDescent="0.3">
      <c r="A45" s="75" t="s">
        <v>113</v>
      </c>
      <c r="B45" s="78" t="s">
        <v>114</v>
      </c>
      <c r="C45" s="2" t="s">
        <v>144</v>
      </c>
      <c r="D45" s="79">
        <v>5</v>
      </c>
      <c r="E45" s="64">
        <v>0</v>
      </c>
      <c r="F45" s="64">
        <v>4</v>
      </c>
      <c r="G45" s="64">
        <f>3+(5/5)</f>
        <v>4</v>
      </c>
      <c r="H45" s="1">
        <f t="shared" si="0"/>
        <v>8</v>
      </c>
      <c r="I45" s="63"/>
      <c r="J45" s="25">
        <f>+'ANEXO 3 - PROY COSTOS'!N45</f>
        <v>144643.71489950002</v>
      </c>
      <c r="K45" s="27">
        <f t="shared" si="38"/>
        <v>27482.305830905003</v>
      </c>
      <c r="L45" s="27">
        <f t="shared" si="20"/>
        <v>172126.02073040503</v>
      </c>
      <c r="M45" s="29">
        <f t="shared" si="14"/>
        <v>0</v>
      </c>
      <c r="O45" s="25">
        <f t="shared" si="39"/>
        <v>151008.03835507802</v>
      </c>
      <c r="P45" s="27">
        <f t="shared" si="40"/>
        <v>28691.527287464825</v>
      </c>
      <c r="Q45" s="27">
        <f t="shared" si="21"/>
        <v>179699.56564254285</v>
      </c>
      <c r="R45" s="29">
        <f t="shared" si="41"/>
        <v>3593991.3128508572</v>
      </c>
      <c r="T45" s="25">
        <f t="shared" si="10"/>
        <v>155538.27950573037</v>
      </c>
      <c r="U45" s="27">
        <f t="shared" si="11"/>
        <v>29552.273106088771</v>
      </c>
      <c r="V45" s="27">
        <f t="shared" si="22"/>
        <v>185090.55261181915</v>
      </c>
      <c r="W45" s="29">
        <f t="shared" si="42"/>
        <v>3701811.0522363828</v>
      </c>
      <c r="Y45" s="29">
        <f t="shared" si="4"/>
        <v>7295802.36508724</v>
      </c>
    </row>
    <row r="46" spans="1:25" s="6" customFormat="1" ht="25.5" customHeight="1" x14ac:dyDescent="0.3">
      <c r="A46" s="77" t="s">
        <v>115</v>
      </c>
      <c r="B46" s="74" t="s">
        <v>116</v>
      </c>
      <c r="C46" s="74"/>
      <c r="D46" s="74"/>
      <c r="E46" s="74"/>
      <c r="F46" s="74"/>
      <c r="G46" s="74"/>
      <c r="H46" s="74"/>
      <c r="I46" s="63"/>
      <c r="J46" s="74"/>
      <c r="K46" s="74"/>
      <c r="L46" s="74"/>
      <c r="M46" s="74"/>
      <c r="O46" s="74"/>
      <c r="P46" s="74"/>
      <c r="Q46" s="74"/>
      <c r="R46" s="74"/>
      <c r="T46" s="74"/>
      <c r="U46" s="74"/>
      <c r="V46" s="74"/>
      <c r="W46" s="74"/>
      <c r="Y46" s="74"/>
    </row>
    <row r="47" spans="1:25" s="6" customFormat="1" ht="25.5" customHeight="1" x14ac:dyDescent="0.3">
      <c r="A47" s="75" t="s">
        <v>117</v>
      </c>
      <c r="B47" s="76" t="s">
        <v>118</v>
      </c>
      <c r="C47" s="2" t="s">
        <v>179</v>
      </c>
      <c r="D47" s="79">
        <v>1</v>
      </c>
      <c r="E47" s="64">
        <v>0</v>
      </c>
      <c r="F47" s="64">
        <v>4</v>
      </c>
      <c r="G47" s="64">
        <v>4</v>
      </c>
      <c r="H47" s="1">
        <f t="shared" si="0"/>
        <v>8</v>
      </c>
      <c r="I47" s="63"/>
      <c r="J47" s="25">
        <f>+'ANEXO 3 - PROY COSTOS'!N47</f>
        <v>525977.67605150002</v>
      </c>
      <c r="K47" s="27">
        <f t="shared" ref="K47:K48" si="43">J47*19%</f>
        <v>99935.758449785004</v>
      </c>
      <c r="L47" s="27">
        <f t="shared" si="20"/>
        <v>625913.43450128497</v>
      </c>
      <c r="M47" s="29">
        <f t="shared" si="14"/>
        <v>0</v>
      </c>
      <c r="O47" s="25">
        <f t="shared" ref="O47:O48" si="44">J47+(J47*4.4%)</f>
        <v>549120.693797766</v>
      </c>
      <c r="P47" s="27">
        <f t="shared" ref="P47:P48" si="45">O47*19%</f>
        <v>104332.93182157553</v>
      </c>
      <c r="Q47" s="27">
        <f t="shared" si="21"/>
        <v>653453.6256193415</v>
      </c>
      <c r="R47" s="29">
        <f t="shared" ref="R47:R48" si="46">+Q47*F47*D47</f>
        <v>2613814.502477366</v>
      </c>
      <c r="T47" s="25">
        <f t="shared" si="10"/>
        <v>565594.31461169897</v>
      </c>
      <c r="U47" s="27">
        <f t="shared" si="11"/>
        <v>107462.9197762228</v>
      </c>
      <c r="V47" s="27">
        <f t="shared" si="22"/>
        <v>673057.23438792175</v>
      </c>
      <c r="W47" s="29">
        <f t="shared" ref="W47:W48" si="47">+V47*G47*D47</f>
        <v>2692228.937551687</v>
      </c>
      <c r="Y47" s="29">
        <f t="shared" si="4"/>
        <v>5306043.440029053</v>
      </c>
    </row>
    <row r="48" spans="1:25" s="6" customFormat="1" ht="25.5" customHeight="1" x14ac:dyDescent="0.3">
      <c r="A48" s="75" t="s">
        <v>119</v>
      </c>
      <c r="B48" s="76" t="s">
        <v>120</v>
      </c>
      <c r="C48" s="2" t="s">
        <v>179</v>
      </c>
      <c r="D48" s="79">
        <v>1</v>
      </c>
      <c r="E48" s="64">
        <v>0</v>
      </c>
      <c r="F48" s="64">
        <v>4</v>
      </c>
      <c r="G48" s="64">
        <v>4</v>
      </c>
      <c r="H48" s="1">
        <f t="shared" si="0"/>
        <v>8</v>
      </c>
      <c r="I48" s="63"/>
      <c r="J48" s="25">
        <f>+'ANEXO 3 - PROY COSTOS'!N48</f>
        <v>802822.38673050003</v>
      </c>
      <c r="K48" s="27">
        <f t="shared" si="43"/>
        <v>152536.253478795</v>
      </c>
      <c r="L48" s="27">
        <f t="shared" si="20"/>
        <v>955358.64020929509</v>
      </c>
      <c r="M48" s="29">
        <f t="shared" si="14"/>
        <v>0</v>
      </c>
      <c r="O48" s="25">
        <f t="shared" si="44"/>
        <v>838146.571746642</v>
      </c>
      <c r="P48" s="27">
        <f t="shared" si="45"/>
        <v>159247.84863186197</v>
      </c>
      <c r="Q48" s="27">
        <f t="shared" si="21"/>
        <v>997394.42037850397</v>
      </c>
      <c r="R48" s="29">
        <f t="shared" si="46"/>
        <v>3989577.6815140159</v>
      </c>
      <c r="T48" s="25">
        <f t="shared" si="10"/>
        <v>863290.9688990413</v>
      </c>
      <c r="U48" s="27">
        <f t="shared" si="11"/>
        <v>164025.28409081785</v>
      </c>
      <c r="V48" s="27">
        <f t="shared" si="22"/>
        <v>1027316.2529898591</v>
      </c>
      <c r="W48" s="29">
        <f t="shared" si="47"/>
        <v>4109265.0119594363</v>
      </c>
      <c r="Y48" s="29">
        <f t="shared" si="4"/>
        <v>8098842.6934734527</v>
      </c>
    </row>
    <row r="49" spans="1:25" s="6" customFormat="1" ht="25.5" customHeight="1" x14ac:dyDescent="0.3">
      <c r="A49" s="73">
        <v>2</v>
      </c>
      <c r="B49" s="74" t="s">
        <v>121</v>
      </c>
      <c r="C49" s="74"/>
      <c r="D49" s="74"/>
      <c r="E49" s="74"/>
      <c r="F49" s="74"/>
      <c r="G49" s="74"/>
      <c r="H49" s="74"/>
      <c r="I49" s="63"/>
      <c r="J49" s="74"/>
      <c r="K49" s="74"/>
      <c r="L49" s="74"/>
      <c r="M49" s="115"/>
      <c r="O49" s="74"/>
      <c r="P49" s="74"/>
      <c r="Q49" s="74"/>
      <c r="R49" s="116"/>
      <c r="T49" s="74"/>
      <c r="U49" s="74"/>
      <c r="V49" s="74"/>
      <c r="W49" s="116"/>
      <c r="Y49" s="74"/>
    </row>
    <row r="50" spans="1:25" s="6" customFormat="1" ht="25.5" customHeight="1" x14ac:dyDescent="0.3">
      <c r="A50" s="73" t="s">
        <v>122</v>
      </c>
      <c r="B50" s="74" t="s">
        <v>123</v>
      </c>
      <c r="C50" s="74"/>
      <c r="D50" s="74"/>
      <c r="E50" s="74"/>
      <c r="F50" s="74"/>
      <c r="G50" s="74"/>
      <c r="H50" s="74"/>
      <c r="I50" s="63"/>
      <c r="J50" s="74"/>
      <c r="K50" s="74"/>
      <c r="L50" s="74"/>
      <c r="M50" s="74"/>
      <c r="O50" s="74"/>
      <c r="P50" s="74"/>
      <c r="Q50" s="74"/>
      <c r="R50" s="74"/>
      <c r="T50" s="74"/>
      <c r="U50" s="74"/>
      <c r="V50" s="74"/>
      <c r="W50" s="74"/>
      <c r="Y50" s="74"/>
    </row>
    <row r="51" spans="1:25" s="6" customFormat="1" ht="25.5" customHeight="1" x14ac:dyDescent="0.3">
      <c r="A51" s="75" t="s">
        <v>124</v>
      </c>
      <c r="B51" s="76" t="s">
        <v>125</v>
      </c>
      <c r="C51" s="2" t="s">
        <v>144</v>
      </c>
      <c r="D51" s="79">
        <v>1</v>
      </c>
      <c r="E51" s="64">
        <v>0</v>
      </c>
      <c r="F51" s="64">
        <v>4</v>
      </c>
      <c r="G51" s="64">
        <f>3+(1/1)</f>
        <v>4</v>
      </c>
      <c r="H51" s="1">
        <f t="shared" ref="H51:H52" si="48">+G51+F51+E51</f>
        <v>8</v>
      </c>
      <c r="I51" s="63"/>
      <c r="J51" s="25">
        <f>+'ANEXO 3 - PROY COSTOS'!N51</f>
        <v>295203.68</v>
      </c>
      <c r="K51" s="27">
        <f t="shared" ref="K51:K52" si="49">J51*19%</f>
        <v>56088.699200000003</v>
      </c>
      <c r="L51" s="27">
        <f t="shared" si="20"/>
        <v>351292.37919999997</v>
      </c>
      <c r="M51" s="29">
        <f t="shared" ref="M51:M52" si="50">+L51*E51*D51</f>
        <v>0</v>
      </c>
      <c r="O51" s="25">
        <f t="shared" ref="O51:O52" si="51">J51+(J51*4.4%)</f>
        <v>308192.64191999997</v>
      </c>
      <c r="P51" s="27">
        <f t="shared" ref="P51:P52" si="52">O51*19%</f>
        <v>58556.601964799993</v>
      </c>
      <c r="Q51" s="27">
        <f t="shared" si="21"/>
        <v>366749.24388479994</v>
      </c>
      <c r="R51" s="29">
        <f t="shared" ref="R51:R52" si="53">+Q51*F51*D51</f>
        <v>1466996.9755391998</v>
      </c>
      <c r="T51" s="25">
        <f t="shared" si="10"/>
        <v>317438.42117759999</v>
      </c>
      <c r="U51" s="27">
        <f t="shared" si="11"/>
        <v>60313.300023743999</v>
      </c>
      <c r="V51" s="27">
        <f t="shared" si="22"/>
        <v>377751.72120134399</v>
      </c>
      <c r="W51" s="29">
        <f t="shared" ref="W51:W52" si="54">+V51*G51*D51</f>
        <v>1511006.8848053759</v>
      </c>
      <c r="Y51" s="29">
        <f t="shared" si="4"/>
        <v>2978003.8603445757</v>
      </c>
    </row>
    <row r="52" spans="1:25" s="6" customFormat="1" ht="25.5" customHeight="1" x14ac:dyDescent="0.3">
      <c r="A52" s="75" t="s">
        <v>126</v>
      </c>
      <c r="B52" s="76" t="s">
        <v>127</v>
      </c>
      <c r="C52" s="2" t="s">
        <v>144</v>
      </c>
      <c r="D52" s="79">
        <v>1</v>
      </c>
      <c r="E52" s="64">
        <v>0</v>
      </c>
      <c r="F52" s="64">
        <v>4</v>
      </c>
      <c r="G52" s="64">
        <f>3+(1/1)</f>
        <v>4</v>
      </c>
      <c r="H52" s="1">
        <f t="shared" si="48"/>
        <v>8</v>
      </c>
      <c r="I52" s="63"/>
      <c r="J52" s="25">
        <f>+'ANEXO 3 - PROY COSTOS'!N52</f>
        <v>295203.68</v>
      </c>
      <c r="K52" s="27">
        <f t="shared" si="49"/>
        <v>56088.699200000003</v>
      </c>
      <c r="L52" s="27">
        <f t="shared" si="20"/>
        <v>351292.37919999997</v>
      </c>
      <c r="M52" s="29">
        <f t="shared" si="50"/>
        <v>0</v>
      </c>
      <c r="O52" s="25">
        <f t="shared" si="51"/>
        <v>308192.64191999997</v>
      </c>
      <c r="P52" s="27">
        <f t="shared" si="52"/>
        <v>58556.601964799993</v>
      </c>
      <c r="Q52" s="27">
        <f t="shared" si="21"/>
        <v>366749.24388479994</v>
      </c>
      <c r="R52" s="29">
        <f t="shared" si="53"/>
        <v>1466996.9755391998</v>
      </c>
      <c r="T52" s="25">
        <f t="shared" si="10"/>
        <v>317438.42117759999</v>
      </c>
      <c r="U52" s="27">
        <f t="shared" si="11"/>
        <v>60313.300023743999</v>
      </c>
      <c r="V52" s="27">
        <f t="shared" si="22"/>
        <v>377751.72120134399</v>
      </c>
      <c r="W52" s="29">
        <f t="shared" si="54"/>
        <v>1511006.8848053759</v>
      </c>
      <c r="Y52" s="29">
        <f t="shared" si="4"/>
        <v>2978003.8603445757</v>
      </c>
    </row>
    <row r="53" spans="1:25" s="6" customFormat="1" ht="25.5" customHeight="1" x14ac:dyDescent="0.3">
      <c r="A53" s="77" t="s">
        <v>128</v>
      </c>
      <c r="B53" s="74" t="s">
        <v>129</v>
      </c>
      <c r="C53" s="74"/>
      <c r="D53" s="74"/>
      <c r="E53" s="74"/>
      <c r="F53" s="74"/>
      <c r="G53" s="74"/>
      <c r="H53" s="74"/>
      <c r="I53" s="63"/>
      <c r="J53" s="74"/>
      <c r="K53" s="74"/>
      <c r="L53" s="74"/>
      <c r="M53" s="74"/>
      <c r="O53" s="74"/>
      <c r="P53" s="74"/>
      <c r="Q53" s="74"/>
      <c r="R53" s="74"/>
      <c r="T53" s="74"/>
      <c r="U53" s="74"/>
      <c r="V53" s="74"/>
      <c r="W53" s="74"/>
      <c r="Y53" s="74"/>
    </row>
    <row r="54" spans="1:25" s="6" customFormat="1" ht="25.5" customHeight="1" x14ac:dyDescent="0.3">
      <c r="A54" s="75" t="s">
        <v>130</v>
      </c>
      <c r="B54" s="76" t="s">
        <v>131</v>
      </c>
      <c r="C54" s="2" t="s">
        <v>144</v>
      </c>
      <c r="D54" s="79">
        <v>4</v>
      </c>
      <c r="E54" s="64">
        <v>0</v>
      </c>
      <c r="F54" s="64">
        <v>4</v>
      </c>
      <c r="G54" s="64">
        <f>3+(4/4)</f>
        <v>4</v>
      </c>
      <c r="H54" s="1">
        <f t="shared" ref="H54" si="55">+G54+F54+E54</f>
        <v>8</v>
      </c>
      <c r="I54" s="63"/>
      <c r="J54" s="25">
        <f>+'ANEXO 3 - PROY COSTOS'!N54</f>
        <v>216105.6054425</v>
      </c>
      <c r="K54" s="27">
        <f>J54*19%</f>
        <v>41060.065034075</v>
      </c>
      <c r="L54" s="27">
        <f t="shared" si="20"/>
        <v>257165.670476575</v>
      </c>
      <c r="M54" s="29">
        <f t="shared" ref="M54" si="56">+L54*E54*D54</f>
        <v>0</v>
      </c>
      <c r="O54" s="25">
        <f>J54+(J54*4.4%)</f>
        <v>225614.25208197001</v>
      </c>
      <c r="P54" s="27">
        <f>O54*19%</f>
        <v>42866.707895574305</v>
      </c>
      <c r="Q54" s="27">
        <f t="shared" si="21"/>
        <v>268480.95997754432</v>
      </c>
      <c r="R54" s="29">
        <f>+Q54*F54*D54</f>
        <v>4295695.3596407091</v>
      </c>
      <c r="T54" s="25">
        <f t="shared" si="10"/>
        <v>232382.67964442912</v>
      </c>
      <c r="U54" s="27">
        <f t="shared" si="11"/>
        <v>44152.709132441538</v>
      </c>
      <c r="V54" s="27">
        <f t="shared" si="22"/>
        <v>276535.38877687068</v>
      </c>
      <c r="W54" s="29">
        <f>+V54*G54*D54</f>
        <v>4424566.2204299308</v>
      </c>
      <c r="Y54" s="29">
        <f t="shared" si="4"/>
        <v>8720261.5800706409</v>
      </c>
    </row>
    <row r="55" spans="1:25" s="6" customFormat="1" ht="25.5" customHeight="1" x14ac:dyDescent="0.3">
      <c r="A55" s="77" t="s">
        <v>132</v>
      </c>
      <c r="B55" s="74" t="s">
        <v>133</v>
      </c>
      <c r="C55" s="74"/>
      <c r="D55" s="74"/>
      <c r="E55" s="74"/>
      <c r="F55" s="74"/>
      <c r="G55" s="74"/>
      <c r="H55" s="74"/>
      <c r="I55" s="63"/>
      <c r="J55" s="74"/>
      <c r="K55" s="74"/>
      <c r="L55" s="74"/>
      <c r="M55" s="74"/>
      <c r="O55" s="74"/>
      <c r="P55" s="74"/>
      <c r="Q55" s="74"/>
      <c r="R55" s="74"/>
      <c r="T55" s="74"/>
      <c r="U55" s="74"/>
      <c r="V55" s="74"/>
      <c r="W55" s="74"/>
      <c r="Y55" s="74"/>
    </row>
    <row r="56" spans="1:25" s="6" customFormat="1" ht="25.5" customHeight="1" x14ac:dyDescent="0.3">
      <c r="A56" s="75" t="s">
        <v>134</v>
      </c>
      <c r="B56" s="76" t="s">
        <v>135</v>
      </c>
      <c r="C56" s="2" t="s">
        <v>144</v>
      </c>
      <c r="D56" s="79">
        <v>18</v>
      </c>
      <c r="E56" s="64">
        <v>0</v>
      </c>
      <c r="F56" s="64">
        <v>4</v>
      </c>
      <c r="G56" s="64">
        <f>3+(18/18)</f>
        <v>4</v>
      </c>
      <c r="H56" s="1">
        <f t="shared" ref="H56:H58" si="57">+G56+F56+E56</f>
        <v>8</v>
      </c>
      <c r="I56" s="63"/>
      <c r="J56" s="25">
        <f>+'ANEXO 3 - PROY COSTOS'!N56</f>
        <v>151115.56410399999</v>
      </c>
      <c r="K56" s="27">
        <f t="shared" ref="K56:K58" si="58">J56*19%</f>
        <v>28711.95717976</v>
      </c>
      <c r="L56" s="27">
        <f t="shared" si="20"/>
        <v>179827.52128376</v>
      </c>
      <c r="M56" s="29">
        <f t="shared" ref="M56:M58" si="59">+L56*E56*D56</f>
        <v>0</v>
      </c>
      <c r="O56" s="25">
        <f t="shared" ref="O56:O58" si="60">J56+(J56*4.4%)</f>
        <v>157764.648924576</v>
      </c>
      <c r="P56" s="27">
        <f t="shared" ref="P56:P58" si="61">O56*19%</f>
        <v>29975.28329566944</v>
      </c>
      <c r="Q56" s="27">
        <f t="shared" si="21"/>
        <v>187739.93222024545</v>
      </c>
      <c r="R56" s="29">
        <f t="shared" ref="R56:R58" si="62">+Q56*F56*D56</f>
        <v>13517275.119857673</v>
      </c>
      <c r="T56" s="25">
        <f t="shared" si="10"/>
        <v>162497.58839231328</v>
      </c>
      <c r="U56" s="27">
        <f t="shared" si="11"/>
        <v>30874.541794539524</v>
      </c>
      <c r="V56" s="27">
        <f t="shared" si="22"/>
        <v>193372.1301868528</v>
      </c>
      <c r="W56" s="29">
        <f t="shared" ref="W56:W58" si="63">+V56*G56*D56</f>
        <v>13922793.373453401</v>
      </c>
      <c r="Y56" s="29">
        <f t="shared" si="4"/>
        <v>27440068.493311074</v>
      </c>
    </row>
    <row r="57" spans="1:25" s="6" customFormat="1" ht="25.5" customHeight="1" x14ac:dyDescent="0.3">
      <c r="A57" s="75" t="s">
        <v>136</v>
      </c>
      <c r="B57" s="76" t="s">
        <v>137</v>
      </c>
      <c r="C57" s="2" t="s">
        <v>144</v>
      </c>
      <c r="D57" s="79">
        <v>1</v>
      </c>
      <c r="E57" s="64">
        <v>0</v>
      </c>
      <c r="F57" s="64">
        <v>4</v>
      </c>
      <c r="G57" s="64">
        <f>3+(1/1)</f>
        <v>4</v>
      </c>
      <c r="H57" s="1">
        <f t="shared" si="57"/>
        <v>8</v>
      </c>
      <c r="I57" s="63"/>
      <c r="J57" s="25">
        <f>+'ANEXO 3 - PROY COSTOS'!N57</f>
        <v>151115.56410399999</v>
      </c>
      <c r="K57" s="27">
        <f t="shared" si="58"/>
        <v>28711.95717976</v>
      </c>
      <c r="L57" s="27">
        <f t="shared" si="20"/>
        <v>179827.52128376</v>
      </c>
      <c r="M57" s="29">
        <f t="shared" si="59"/>
        <v>0</v>
      </c>
      <c r="O57" s="25">
        <f t="shared" si="60"/>
        <v>157764.648924576</v>
      </c>
      <c r="P57" s="27">
        <f t="shared" si="61"/>
        <v>29975.28329566944</v>
      </c>
      <c r="Q57" s="27">
        <f t="shared" si="21"/>
        <v>187739.93222024545</v>
      </c>
      <c r="R57" s="29">
        <f t="shared" si="62"/>
        <v>750959.7288809818</v>
      </c>
      <c r="T57" s="25">
        <f t="shared" si="10"/>
        <v>162497.58839231328</v>
      </c>
      <c r="U57" s="27">
        <f t="shared" si="11"/>
        <v>30874.541794539524</v>
      </c>
      <c r="V57" s="27">
        <f t="shared" si="22"/>
        <v>193372.1301868528</v>
      </c>
      <c r="W57" s="29">
        <f t="shared" si="63"/>
        <v>773488.52074741118</v>
      </c>
      <c r="Y57" s="29">
        <f t="shared" si="4"/>
        <v>1524448.249628393</v>
      </c>
    </row>
    <row r="58" spans="1:25" s="6" customFormat="1" ht="25.5" customHeight="1" x14ac:dyDescent="0.3">
      <c r="A58" s="75" t="s">
        <v>138</v>
      </c>
      <c r="B58" s="76" t="s">
        <v>139</v>
      </c>
      <c r="C58" s="2" t="s">
        <v>144</v>
      </c>
      <c r="D58" s="79">
        <v>1</v>
      </c>
      <c r="E58" s="64">
        <v>0</v>
      </c>
      <c r="F58" s="64">
        <v>4</v>
      </c>
      <c r="G58" s="64">
        <f>3+(1/1)</f>
        <v>4</v>
      </c>
      <c r="H58" s="1">
        <f t="shared" si="57"/>
        <v>8</v>
      </c>
      <c r="I58" s="63"/>
      <c r="J58" s="25">
        <f>+'ANEXO 3 - PROY COSTOS'!N58</f>
        <v>151115.56410399999</v>
      </c>
      <c r="K58" s="27">
        <f t="shared" si="58"/>
        <v>28711.95717976</v>
      </c>
      <c r="L58" s="27">
        <f t="shared" si="20"/>
        <v>179827.52128376</v>
      </c>
      <c r="M58" s="29">
        <f t="shared" si="59"/>
        <v>0</v>
      </c>
      <c r="O58" s="25">
        <f t="shared" si="60"/>
        <v>157764.648924576</v>
      </c>
      <c r="P58" s="27">
        <f t="shared" si="61"/>
        <v>29975.28329566944</v>
      </c>
      <c r="Q58" s="27">
        <f t="shared" si="21"/>
        <v>187739.93222024545</v>
      </c>
      <c r="R58" s="29">
        <f t="shared" si="62"/>
        <v>750959.7288809818</v>
      </c>
      <c r="T58" s="25">
        <f t="shared" si="10"/>
        <v>162497.58839231328</v>
      </c>
      <c r="U58" s="27">
        <f t="shared" si="11"/>
        <v>30874.541794539524</v>
      </c>
      <c r="V58" s="27">
        <f t="shared" si="22"/>
        <v>193372.1301868528</v>
      </c>
      <c r="W58" s="29">
        <f t="shared" si="63"/>
        <v>773488.52074741118</v>
      </c>
      <c r="Y58" s="29">
        <f t="shared" si="4"/>
        <v>1524448.249628393</v>
      </c>
    </row>
    <row r="59" spans="1:25" s="6" customFormat="1" ht="25.5" customHeight="1" x14ac:dyDescent="0.3">
      <c r="A59" s="77" t="s">
        <v>140</v>
      </c>
      <c r="B59" s="74" t="s">
        <v>141</v>
      </c>
      <c r="C59" s="74"/>
      <c r="D59" s="74"/>
      <c r="E59" s="74"/>
      <c r="F59" s="74"/>
      <c r="G59" s="74"/>
      <c r="H59" s="74"/>
      <c r="I59" s="63"/>
      <c r="J59" s="74"/>
      <c r="K59" s="74"/>
      <c r="L59" s="74"/>
      <c r="M59" s="74"/>
      <c r="O59" s="74"/>
      <c r="P59" s="74"/>
      <c r="Q59" s="74"/>
      <c r="R59" s="74"/>
      <c r="T59" s="74"/>
      <c r="U59" s="74"/>
      <c r="V59" s="74"/>
      <c r="W59" s="74"/>
      <c r="Y59" s="74"/>
    </row>
    <row r="60" spans="1:25" s="6" customFormat="1" ht="25.5" customHeight="1" x14ac:dyDescent="0.3">
      <c r="A60" s="75" t="s">
        <v>142</v>
      </c>
      <c r="B60" s="76" t="s">
        <v>143</v>
      </c>
      <c r="C60" s="2" t="s">
        <v>144</v>
      </c>
      <c r="D60" s="79">
        <v>1</v>
      </c>
      <c r="E60" s="64">
        <v>0</v>
      </c>
      <c r="F60" s="64">
        <v>4</v>
      </c>
      <c r="G60" s="64">
        <f>3+(1/1)</f>
        <v>4</v>
      </c>
      <c r="H60" s="1">
        <f t="shared" ref="H60" si="64">+G60+F60+E60</f>
        <v>8</v>
      </c>
      <c r="I60" s="63"/>
      <c r="J60" s="25">
        <f>+'ANEXO 3 - PROY COSTOS'!N60</f>
        <v>193372.26500000001</v>
      </c>
      <c r="K60" s="27">
        <f>J60*19%</f>
        <v>36740.730350000005</v>
      </c>
      <c r="L60" s="27">
        <f t="shared" si="20"/>
        <v>230112.99535000001</v>
      </c>
      <c r="M60" s="29">
        <f t="shared" ref="M60" si="65">+L60*E60*D60</f>
        <v>0</v>
      </c>
      <c r="O60" s="25">
        <f>J60+(J60*4.4%)</f>
        <v>201880.64466000002</v>
      </c>
      <c r="P60" s="27">
        <f>O60*19%</f>
        <v>38357.322485400007</v>
      </c>
      <c r="Q60" s="27">
        <f t="shared" si="21"/>
        <v>240237.96714540003</v>
      </c>
      <c r="R60" s="29">
        <f>+Q60*F60*D60</f>
        <v>960951.86858160014</v>
      </c>
      <c r="T60" s="25">
        <f t="shared" si="10"/>
        <v>207937.06399980001</v>
      </c>
      <c r="U60" s="27">
        <f t="shared" si="11"/>
        <v>39508.042159962002</v>
      </c>
      <c r="V60" s="27">
        <f t="shared" si="22"/>
        <v>247445.10615976201</v>
      </c>
      <c r="W60" s="29">
        <f>+V60*G60*D60</f>
        <v>989780.42463904805</v>
      </c>
      <c r="Y60" s="29">
        <f t="shared" si="4"/>
        <v>1950732.2932206481</v>
      </c>
    </row>
    <row r="61" spans="1:25" s="6" customFormat="1" ht="46.5" customHeight="1" x14ac:dyDescent="0.3">
      <c r="A61" s="147" t="s">
        <v>9</v>
      </c>
      <c r="B61" s="147"/>
      <c r="C61" s="147"/>
      <c r="D61" s="147"/>
      <c r="E61" s="147"/>
      <c r="F61" s="147"/>
      <c r="G61" s="147"/>
      <c r="H61" s="147"/>
      <c r="I61" s="12"/>
      <c r="J61" s="10"/>
      <c r="K61" s="10"/>
      <c r="L61" s="10"/>
      <c r="M61" s="33">
        <f>SUM(M7:M60)</f>
        <v>29732385.38665707</v>
      </c>
      <c r="O61" s="10"/>
      <c r="P61" s="10"/>
      <c r="Q61" s="10"/>
      <c r="R61" s="33">
        <f>SUM(R7:R60)</f>
        <v>413238418.98468214</v>
      </c>
      <c r="T61" s="10"/>
      <c r="U61" s="10"/>
      <c r="V61" s="10"/>
      <c r="W61" s="33">
        <f>SUM(W7:W60)</f>
        <v>393663742.90024251</v>
      </c>
      <c r="Y61" s="33">
        <f>SUM(Y7:Y60)</f>
        <v>836634547.27158165</v>
      </c>
    </row>
    <row r="62" spans="1:25" ht="30" customHeight="1" x14ac:dyDescent="0.2">
      <c r="A62" s="151" t="s">
        <v>10</v>
      </c>
      <c r="B62" s="151"/>
      <c r="C62" s="151"/>
      <c r="D62" s="151"/>
      <c r="E62" s="151"/>
      <c r="F62" s="151"/>
      <c r="G62" s="151"/>
      <c r="H62" s="151"/>
      <c r="I62" s="53"/>
      <c r="J62" s="57"/>
      <c r="K62" s="58"/>
      <c r="L62" s="58"/>
      <c r="M62" s="56"/>
      <c r="O62" s="57"/>
      <c r="P62" s="58"/>
      <c r="Q62" s="58"/>
      <c r="R62" s="56"/>
      <c r="T62" s="57"/>
      <c r="U62" s="58"/>
      <c r="V62" s="58"/>
      <c r="W62" s="56"/>
      <c r="Y62" s="54"/>
    </row>
    <row r="63" spans="1:25" ht="49.5" customHeight="1" x14ac:dyDescent="0.2">
      <c r="A63" s="43" t="s">
        <v>11</v>
      </c>
      <c r="B63" s="152" t="s">
        <v>12</v>
      </c>
      <c r="C63" s="152"/>
      <c r="D63" s="152"/>
      <c r="E63" s="152"/>
      <c r="F63" s="152"/>
      <c r="G63" s="44" t="s">
        <v>14</v>
      </c>
      <c r="H63" s="44" t="s">
        <v>13</v>
      </c>
      <c r="I63" s="50"/>
      <c r="J63" s="44" t="s">
        <v>19</v>
      </c>
      <c r="K63" s="44" t="s">
        <v>6</v>
      </c>
      <c r="L63" s="44" t="s">
        <v>15</v>
      </c>
      <c r="M63" s="44" t="s">
        <v>8</v>
      </c>
      <c r="O63" s="44" t="s">
        <v>19</v>
      </c>
      <c r="P63" s="44" t="s">
        <v>6</v>
      </c>
      <c r="Q63" s="44" t="s">
        <v>15</v>
      </c>
      <c r="R63" s="44" t="s">
        <v>8</v>
      </c>
      <c r="T63" s="44" t="s">
        <v>19</v>
      </c>
      <c r="U63" s="44" t="s">
        <v>6</v>
      </c>
      <c r="V63" s="44" t="s">
        <v>15</v>
      </c>
      <c r="W63" s="44" t="s">
        <v>8</v>
      </c>
      <c r="Y63" s="44" t="s">
        <v>8</v>
      </c>
    </row>
    <row r="64" spans="1:25" s="6" customFormat="1" ht="44.25" customHeight="1" x14ac:dyDescent="0.3">
      <c r="A64" s="101">
        <v>1</v>
      </c>
      <c r="B64" s="143" t="s">
        <v>145</v>
      </c>
      <c r="C64" s="144"/>
      <c r="D64" s="144"/>
      <c r="E64" s="144"/>
      <c r="F64" s="145"/>
      <c r="G64" s="20" t="s">
        <v>16</v>
      </c>
      <c r="H64" s="20">
        <v>1</v>
      </c>
      <c r="I64" s="13"/>
      <c r="J64" s="25">
        <f>+'ANEXO 3 - PROY COSTOS'!N64</f>
        <v>1226941.2183730002</v>
      </c>
      <c r="K64" s="27">
        <f t="shared" ref="K64:K101" si="66">J64*19%</f>
        <v>233118.83149087004</v>
      </c>
      <c r="L64" s="27">
        <f>+K64+J64</f>
        <v>1460060.0498638703</v>
      </c>
      <c r="M64" s="29">
        <f t="shared" ref="M64:M83" si="67">+L64*H64</f>
        <v>1460060.0498638703</v>
      </c>
      <c r="O64" s="25">
        <f t="shared" ref="O64:O101" si="68">J64+(J64*4.4%)</f>
        <v>1280926.6319814122</v>
      </c>
      <c r="P64" s="27">
        <f t="shared" ref="P64:P101" si="69">O64*19%</f>
        <v>243376.0600764683</v>
      </c>
      <c r="Q64" s="27">
        <f t="shared" ref="Q64:Q83" si="70">+P64+O64</f>
        <v>1524302.6920578806</v>
      </c>
      <c r="R64" s="29">
        <f t="shared" ref="R64:R83" si="71">+Q64*H64</f>
        <v>1524302.6920578806</v>
      </c>
      <c r="T64" s="25">
        <f t="shared" ref="T64:T101" si="72">O64+(O64*3%)</f>
        <v>1319354.4309408546</v>
      </c>
      <c r="U64" s="27">
        <f t="shared" ref="U64:U101" si="73">T64*19%</f>
        <v>250677.34187876238</v>
      </c>
      <c r="V64" s="27">
        <f>+U64+T64</f>
        <v>1570031.7728196171</v>
      </c>
      <c r="W64" s="29">
        <f t="shared" ref="W64:W83" si="74">+V64*H64</f>
        <v>1570031.7728196171</v>
      </c>
      <c r="Y64" s="29">
        <f>+W64+R64+M64</f>
        <v>4554394.5147413677</v>
      </c>
    </row>
    <row r="65" spans="1:25" s="6" customFormat="1" ht="44.25" customHeight="1" x14ac:dyDescent="0.3">
      <c r="A65" s="101">
        <v>2</v>
      </c>
      <c r="B65" s="143" t="s">
        <v>146</v>
      </c>
      <c r="C65" s="144"/>
      <c r="D65" s="144"/>
      <c r="E65" s="144"/>
      <c r="F65" s="145"/>
      <c r="G65" s="20" t="s">
        <v>16</v>
      </c>
      <c r="H65" s="20">
        <v>1</v>
      </c>
      <c r="I65" s="13"/>
      <c r="J65" s="25">
        <f>+'ANEXO 3 - PROY COSTOS'!N65</f>
        <v>260125.57171824999</v>
      </c>
      <c r="K65" s="27">
        <f t="shared" si="66"/>
        <v>49423.858626467496</v>
      </c>
      <c r="L65" s="27">
        <f t="shared" ref="L65:L83" si="75">+K65+J65</f>
        <v>309549.43034471746</v>
      </c>
      <c r="M65" s="29">
        <f t="shared" si="67"/>
        <v>309549.43034471746</v>
      </c>
      <c r="O65" s="25">
        <f t="shared" si="68"/>
        <v>271571.09687385301</v>
      </c>
      <c r="P65" s="27">
        <f t="shared" si="69"/>
        <v>51598.508406032073</v>
      </c>
      <c r="Q65" s="27">
        <f t="shared" si="70"/>
        <v>323169.60527988506</v>
      </c>
      <c r="R65" s="29">
        <f t="shared" si="71"/>
        <v>323169.60527988506</v>
      </c>
      <c r="T65" s="25">
        <f t="shared" si="72"/>
        <v>279718.22978006862</v>
      </c>
      <c r="U65" s="27">
        <f t="shared" si="73"/>
        <v>53146.463658213041</v>
      </c>
      <c r="V65" s="27">
        <f t="shared" ref="V65:V83" si="76">+U65+T65</f>
        <v>332864.69343828165</v>
      </c>
      <c r="W65" s="29">
        <f t="shared" si="74"/>
        <v>332864.69343828165</v>
      </c>
      <c r="Y65" s="29">
        <f t="shared" ref="Y65:Y101" si="77">+W65+R65+M65</f>
        <v>965583.72906288423</v>
      </c>
    </row>
    <row r="66" spans="1:25" s="6" customFormat="1" ht="44.25" customHeight="1" x14ac:dyDescent="0.3">
      <c r="A66" s="101">
        <v>3</v>
      </c>
      <c r="B66" s="143" t="s">
        <v>147</v>
      </c>
      <c r="C66" s="144"/>
      <c r="D66" s="144"/>
      <c r="E66" s="144"/>
      <c r="F66" s="145"/>
      <c r="G66" s="20" t="s">
        <v>16</v>
      </c>
      <c r="H66" s="20">
        <v>1</v>
      </c>
      <c r="I66" s="13"/>
      <c r="J66" s="25">
        <f>+'ANEXO 3 - PROY COSTOS'!N66</f>
        <v>293886.65671825001</v>
      </c>
      <c r="K66" s="27">
        <f t="shared" si="66"/>
        <v>55838.464776467503</v>
      </c>
      <c r="L66" s="27">
        <f t="shared" si="75"/>
        <v>349725.12149471755</v>
      </c>
      <c r="M66" s="29">
        <f t="shared" si="67"/>
        <v>349725.12149471755</v>
      </c>
      <c r="O66" s="25">
        <f t="shared" si="68"/>
        <v>306817.66961385304</v>
      </c>
      <c r="P66" s="27">
        <f t="shared" si="69"/>
        <v>58295.357226632077</v>
      </c>
      <c r="Q66" s="27">
        <f t="shared" si="70"/>
        <v>365113.02684048511</v>
      </c>
      <c r="R66" s="29">
        <f t="shared" si="71"/>
        <v>365113.02684048511</v>
      </c>
      <c r="T66" s="25">
        <f t="shared" si="72"/>
        <v>316022.19970226864</v>
      </c>
      <c r="U66" s="27">
        <f t="shared" si="73"/>
        <v>60044.217943431046</v>
      </c>
      <c r="V66" s="27">
        <f t="shared" si="76"/>
        <v>376066.41764569969</v>
      </c>
      <c r="W66" s="29">
        <f t="shared" si="74"/>
        <v>376066.41764569969</v>
      </c>
      <c r="Y66" s="29">
        <f t="shared" si="77"/>
        <v>1090904.5659809024</v>
      </c>
    </row>
    <row r="67" spans="1:25" s="6" customFormat="1" ht="58.5" customHeight="1" x14ac:dyDescent="0.3">
      <c r="A67" s="101">
        <v>4</v>
      </c>
      <c r="B67" s="143" t="s">
        <v>148</v>
      </c>
      <c r="C67" s="144"/>
      <c r="D67" s="144"/>
      <c r="E67" s="144"/>
      <c r="F67" s="145"/>
      <c r="G67" s="20" t="s">
        <v>16</v>
      </c>
      <c r="H67" s="20">
        <v>1</v>
      </c>
      <c r="I67" s="13"/>
      <c r="J67" s="25">
        <f>+'ANEXO 3 - PROY COSTOS'!N67</f>
        <v>354155.13671825</v>
      </c>
      <c r="K67" s="27">
        <f t="shared" si="66"/>
        <v>67289.475976467496</v>
      </c>
      <c r="L67" s="27">
        <f t="shared" si="75"/>
        <v>421444.61269471748</v>
      </c>
      <c r="M67" s="29">
        <f t="shared" si="67"/>
        <v>421444.61269471748</v>
      </c>
      <c r="O67" s="25">
        <f t="shared" si="68"/>
        <v>369737.96273385303</v>
      </c>
      <c r="P67" s="27">
        <f t="shared" si="69"/>
        <v>70250.212919432073</v>
      </c>
      <c r="Q67" s="27">
        <f t="shared" si="70"/>
        <v>439988.17565328511</v>
      </c>
      <c r="R67" s="29">
        <f t="shared" si="71"/>
        <v>439988.17565328511</v>
      </c>
      <c r="T67" s="25">
        <f t="shared" si="72"/>
        <v>380830.10161586863</v>
      </c>
      <c r="U67" s="27">
        <f t="shared" si="73"/>
        <v>72357.719307015039</v>
      </c>
      <c r="V67" s="27">
        <f t="shared" si="76"/>
        <v>453187.82092288369</v>
      </c>
      <c r="W67" s="29">
        <f t="shared" si="74"/>
        <v>453187.82092288369</v>
      </c>
      <c r="Y67" s="29">
        <f t="shared" si="77"/>
        <v>1314620.6092708863</v>
      </c>
    </row>
    <row r="68" spans="1:25" s="6" customFormat="1" ht="44.25" customHeight="1" x14ac:dyDescent="0.3">
      <c r="A68" s="101">
        <v>5</v>
      </c>
      <c r="B68" s="143" t="s">
        <v>149</v>
      </c>
      <c r="C68" s="144"/>
      <c r="D68" s="144"/>
      <c r="E68" s="144"/>
      <c r="F68" s="145"/>
      <c r="G68" s="20" t="s">
        <v>16</v>
      </c>
      <c r="H68" s="20">
        <v>1</v>
      </c>
      <c r="I68" s="13"/>
      <c r="J68" s="25">
        <f>+'ANEXO 3 - PROY COSTOS'!N68</f>
        <v>418300.46421825001</v>
      </c>
      <c r="K68" s="27">
        <f t="shared" si="66"/>
        <v>79477.088201467501</v>
      </c>
      <c r="L68" s="27">
        <f t="shared" si="75"/>
        <v>497777.55241971754</v>
      </c>
      <c r="M68" s="29">
        <f t="shared" si="67"/>
        <v>497777.55241971754</v>
      </c>
      <c r="O68" s="25">
        <f t="shared" si="68"/>
        <v>436705.68464385299</v>
      </c>
      <c r="P68" s="27">
        <f t="shared" si="69"/>
        <v>82974.080082332075</v>
      </c>
      <c r="Q68" s="27">
        <f t="shared" si="70"/>
        <v>519679.76472618507</v>
      </c>
      <c r="R68" s="29">
        <f t="shared" si="71"/>
        <v>519679.76472618507</v>
      </c>
      <c r="T68" s="25">
        <f t="shared" si="72"/>
        <v>449806.85518316861</v>
      </c>
      <c r="U68" s="27">
        <f t="shared" si="73"/>
        <v>85463.302484802043</v>
      </c>
      <c r="V68" s="27">
        <f t="shared" si="76"/>
        <v>535270.15766797063</v>
      </c>
      <c r="W68" s="29">
        <f t="shared" si="74"/>
        <v>535270.15766797063</v>
      </c>
      <c r="Y68" s="29">
        <f t="shared" si="77"/>
        <v>1552727.4748138734</v>
      </c>
    </row>
    <row r="69" spans="1:25" s="6" customFormat="1" ht="44.25" customHeight="1" x14ac:dyDescent="0.3">
      <c r="A69" s="101">
        <v>6</v>
      </c>
      <c r="B69" s="143" t="s">
        <v>150</v>
      </c>
      <c r="C69" s="144"/>
      <c r="D69" s="144"/>
      <c r="E69" s="144"/>
      <c r="F69" s="145"/>
      <c r="G69" s="20" t="s">
        <v>16</v>
      </c>
      <c r="H69" s="20">
        <v>1</v>
      </c>
      <c r="I69" s="13"/>
      <c r="J69" s="25">
        <f>+'ANEXO 3 - PROY COSTOS'!N69</f>
        <v>493472.63921824994</v>
      </c>
      <c r="K69" s="27">
        <f t="shared" si="66"/>
        <v>93759.801451467487</v>
      </c>
      <c r="L69" s="27">
        <f t="shared" si="75"/>
        <v>587232.44066971738</v>
      </c>
      <c r="M69" s="29">
        <f t="shared" si="67"/>
        <v>587232.44066971738</v>
      </c>
      <c r="O69" s="25">
        <f t="shared" si="68"/>
        <v>515185.43534385297</v>
      </c>
      <c r="P69" s="27">
        <f t="shared" si="69"/>
        <v>97885.232715332066</v>
      </c>
      <c r="Q69" s="27">
        <f t="shared" si="70"/>
        <v>613070.66805918503</v>
      </c>
      <c r="R69" s="29">
        <f t="shared" si="71"/>
        <v>613070.66805918503</v>
      </c>
      <c r="T69" s="25">
        <f t="shared" si="72"/>
        <v>530640.99840416852</v>
      </c>
      <c r="U69" s="27">
        <f t="shared" si="73"/>
        <v>100821.78969679202</v>
      </c>
      <c r="V69" s="27">
        <f t="shared" si="76"/>
        <v>631462.78810096055</v>
      </c>
      <c r="W69" s="29">
        <f t="shared" si="74"/>
        <v>631462.78810096055</v>
      </c>
      <c r="Y69" s="29">
        <f t="shared" si="77"/>
        <v>1831765.8968298631</v>
      </c>
    </row>
    <row r="70" spans="1:25" s="6" customFormat="1" ht="44.25" customHeight="1" x14ac:dyDescent="0.3">
      <c r="A70" s="101">
        <v>7</v>
      </c>
      <c r="B70" s="143" t="s">
        <v>151</v>
      </c>
      <c r="C70" s="144"/>
      <c r="D70" s="144"/>
      <c r="E70" s="144"/>
      <c r="F70" s="145"/>
      <c r="G70" s="20" t="s">
        <v>16</v>
      </c>
      <c r="H70" s="20">
        <v>1</v>
      </c>
      <c r="I70" s="13"/>
      <c r="J70" s="25">
        <f>+'ANEXO 3 - PROY COSTOS'!N70</f>
        <v>104023.73269125</v>
      </c>
      <c r="K70" s="27">
        <f t="shared" si="66"/>
        <v>19764.509211337499</v>
      </c>
      <c r="L70" s="27">
        <f t="shared" si="75"/>
        <v>123788.2419025875</v>
      </c>
      <c r="M70" s="29">
        <f t="shared" si="67"/>
        <v>123788.2419025875</v>
      </c>
      <c r="O70" s="25">
        <f t="shared" si="68"/>
        <v>108600.77692966499</v>
      </c>
      <c r="P70" s="27">
        <f t="shared" si="69"/>
        <v>20634.14761663635</v>
      </c>
      <c r="Q70" s="27">
        <f t="shared" si="70"/>
        <v>129234.92454630134</v>
      </c>
      <c r="R70" s="29">
        <f t="shared" si="71"/>
        <v>129234.92454630134</v>
      </c>
      <c r="T70" s="25">
        <f t="shared" si="72"/>
        <v>111858.80023755494</v>
      </c>
      <c r="U70" s="27">
        <f t="shared" si="73"/>
        <v>21253.172045135438</v>
      </c>
      <c r="V70" s="27">
        <f t="shared" si="76"/>
        <v>133111.97228269037</v>
      </c>
      <c r="W70" s="29">
        <f t="shared" si="74"/>
        <v>133111.97228269037</v>
      </c>
      <c r="Y70" s="29">
        <f t="shared" si="77"/>
        <v>386135.13873157918</v>
      </c>
    </row>
    <row r="71" spans="1:25" s="6" customFormat="1" ht="44.25" customHeight="1" x14ac:dyDescent="0.3">
      <c r="A71" s="101">
        <v>8</v>
      </c>
      <c r="B71" s="143" t="s">
        <v>152</v>
      </c>
      <c r="C71" s="144"/>
      <c r="D71" s="144"/>
      <c r="E71" s="144"/>
      <c r="F71" s="145"/>
      <c r="G71" s="20" t="s">
        <v>16</v>
      </c>
      <c r="H71" s="20">
        <v>1</v>
      </c>
      <c r="I71" s="13"/>
      <c r="J71" s="25">
        <f>+'ANEXO 3 - PROY COSTOS'!N71</f>
        <v>104023.73269125</v>
      </c>
      <c r="K71" s="27">
        <f t="shared" si="66"/>
        <v>19764.509211337499</v>
      </c>
      <c r="L71" s="27">
        <f t="shared" si="75"/>
        <v>123788.2419025875</v>
      </c>
      <c r="M71" s="29">
        <f t="shared" si="67"/>
        <v>123788.2419025875</v>
      </c>
      <c r="O71" s="25">
        <f t="shared" si="68"/>
        <v>108600.77692966499</v>
      </c>
      <c r="P71" s="27">
        <f t="shared" si="69"/>
        <v>20634.14761663635</v>
      </c>
      <c r="Q71" s="27">
        <f t="shared" si="70"/>
        <v>129234.92454630134</v>
      </c>
      <c r="R71" s="29">
        <f t="shared" si="71"/>
        <v>129234.92454630134</v>
      </c>
      <c r="T71" s="25">
        <f t="shared" si="72"/>
        <v>111858.80023755494</v>
      </c>
      <c r="U71" s="27">
        <f t="shared" si="73"/>
        <v>21253.172045135438</v>
      </c>
      <c r="V71" s="27">
        <f t="shared" si="76"/>
        <v>133111.97228269037</v>
      </c>
      <c r="W71" s="29">
        <f t="shared" si="74"/>
        <v>133111.97228269037</v>
      </c>
      <c r="Y71" s="29">
        <f t="shared" si="77"/>
        <v>386135.13873157918</v>
      </c>
    </row>
    <row r="72" spans="1:25" s="6" customFormat="1" ht="44.25" customHeight="1" x14ac:dyDescent="0.3">
      <c r="A72" s="101">
        <v>9</v>
      </c>
      <c r="B72" s="143" t="s">
        <v>153</v>
      </c>
      <c r="C72" s="144"/>
      <c r="D72" s="144"/>
      <c r="E72" s="144"/>
      <c r="F72" s="145"/>
      <c r="G72" s="20" t="s">
        <v>16</v>
      </c>
      <c r="H72" s="20">
        <v>1</v>
      </c>
      <c r="I72" s="13"/>
      <c r="J72" s="25">
        <f>+'ANEXO 3 - PROY COSTOS'!N72</f>
        <v>104023.73269125</v>
      </c>
      <c r="K72" s="27">
        <f t="shared" si="66"/>
        <v>19764.509211337499</v>
      </c>
      <c r="L72" s="27">
        <f t="shared" si="75"/>
        <v>123788.2419025875</v>
      </c>
      <c r="M72" s="29">
        <f t="shared" si="67"/>
        <v>123788.2419025875</v>
      </c>
      <c r="O72" s="25">
        <f t="shared" si="68"/>
        <v>108600.77692966499</v>
      </c>
      <c r="P72" s="27">
        <f t="shared" si="69"/>
        <v>20634.14761663635</v>
      </c>
      <c r="Q72" s="27">
        <f t="shared" si="70"/>
        <v>129234.92454630134</v>
      </c>
      <c r="R72" s="29">
        <f t="shared" si="71"/>
        <v>129234.92454630134</v>
      </c>
      <c r="T72" s="25">
        <f t="shared" si="72"/>
        <v>111858.80023755494</v>
      </c>
      <c r="U72" s="27">
        <f t="shared" si="73"/>
        <v>21253.172045135438</v>
      </c>
      <c r="V72" s="27">
        <f t="shared" si="76"/>
        <v>133111.97228269037</v>
      </c>
      <c r="W72" s="29">
        <f t="shared" si="74"/>
        <v>133111.97228269037</v>
      </c>
      <c r="Y72" s="29">
        <f t="shared" si="77"/>
        <v>386135.13873157918</v>
      </c>
    </row>
    <row r="73" spans="1:25" s="6" customFormat="1" ht="44.25" customHeight="1" x14ac:dyDescent="0.3">
      <c r="A73" s="101">
        <v>10</v>
      </c>
      <c r="B73" s="143" t="s">
        <v>154</v>
      </c>
      <c r="C73" s="144"/>
      <c r="D73" s="144"/>
      <c r="E73" s="144"/>
      <c r="F73" s="145"/>
      <c r="G73" s="20" t="s">
        <v>16</v>
      </c>
      <c r="H73" s="20">
        <v>1</v>
      </c>
      <c r="I73" s="13"/>
      <c r="J73" s="25">
        <f>+'ANEXO 3 - PROY COSTOS'!N73</f>
        <v>104411.08133750001</v>
      </c>
      <c r="K73" s="27">
        <f t="shared" si="66"/>
        <v>19838.105454125001</v>
      </c>
      <c r="L73" s="27">
        <f t="shared" si="75"/>
        <v>124249.18679162502</v>
      </c>
      <c r="M73" s="29">
        <f t="shared" si="67"/>
        <v>124249.18679162502</v>
      </c>
      <c r="O73" s="25">
        <f t="shared" si="68"/>
        <v>109005.16891635001</v>
      </c>
      <c r="P73" s="27">
        <f t="shared" si="69"/>
        <v>20710.982094106501</v>
      </c>
      <c r="Q73" s="27">
        <f t="shared" si="70"/>
        <v>129716.15101045651</v>
      </c>
      <c r="R73" s="29">
        <f t="shared" si="71"/>
        <v>129716.15101045651</v>
      </c>
      <c r="T73" s="25">
        <f t="shared" si="72"/>
        <v>112275.32398384051</v>
      </c>
      <c r="U73" s="27">
        <f t="shared" si="73"/>
        <v>21332.311556929697</v>
      </c>
      <c r="V73" s="27">
        <f t="shared" si="76"/>
        <v>133607.63554077022</v>
      </c>
      <c r="W73" s="29">
        <f t="shared" si="74"/>
        <v>133607.63554077022</v>
      </c>
      <c r="Y73" s="29">
        <f t="shared" si="77"/>
        <v>387572.97334285174</v>
      </c>
    </row>
    <row r="74" spans="1:25" s="6" customFormat="1" ht="44.25" customHeight="1" x14ac:dyDescent="0.3">
      <c r="A74" s="101">
        <v>11</v>
      </c>
      <c r="B74" s="143" t="s">
        <v>155</v>
      </c>
      <c r="C74" s="144"/>
      <c r="D74" s="144"/>
      <c r="E74" s="144"/>
      <c r="F74" s="145"/>
      <c r="G74" s="20" t="s">
        <v>16</v>
      </c>
      <c r="H74" s="20">
        <v>1</v>
      </c>
      <c r="I74" s="13"/>
      <c r="J74" s="25">
        <f>+'ANEXO 3 - PROY COSTOS'!N74</f>
        <v>104023.73269125</v>
      </c>
      <c r="K74" s="27">
        <f t="shared" si="66"/>
        <v>19764.509211337499</v>
      </c>
      <c r="L74" s="27">
        <f t="shared" si="75"/>
        <v>123788.2419025875</v>
      </c>
      <c r="M74" s="29">
        <f t="shared" si="67"/>
        <v>123788.2419025875</v>
      </c>
      <c r="O74" s="25">
        <f t="shared" si="68"/>
        <v>108600.77692966499</v>
      </c>
      <c r="P74" s="27">
        <f t="shared" si="69"/>
        <v>20634.14761663635</v>
      </c>
      <c r="Q74" s="27">
        <f t="shared" si="70"/>
        <v>129234.92454630134</v>
      </c>
      <c r="R74" s="29">
        <f t="shared" si="71"/>
        <v>129234.92454630134</v>
      </c>
      <c r="T74" s="25">
        <f t="shared" si="72"/>
        <v>111858.80023755494</v>
      </c>
      <c r="U74" s="27">
        <f t="shared" si="73"/>
        <v>21253.172045135438</v>
      </c>
      <c r="V74" s="27">
        <f t="shared" si="76"/>
        <v>133111.97228269037</v>
      </c>
      <c r="W74" s="29">
        <f t="shared" si="74"/>
        <v>133111.97228269037</v>
      </c>
      <c r="Y74" s="29">
        <f t="shared" si="77"/>
        <v>386135.13873157918</v>
      </c>
    </row>
    <row r="75" spans="1:25" s="6" customFormat="1" ht="44.25" customHeight="1" x14ac:dyDescent="0.3">
      <c r="A75" s="101">
        <v>12</v>
      </c>
      <c r="B75" s="143" t="s">
        <v>156</v>
      </c>
      <c r="C75" s="144"/>
      <c r="D75" s="144"/>
      <c r="E75" s="144"/>
      <c r="F75" s="145"/>
      <c r="G75" s="20" t="s">
        <v>16</v>
      </c>
      <c r="H75" s="20">
        <v>1</v>
      </c>
      <c r="I75" s="13"/>
      <c r="J75" s="25">
        <f>+'ANEXO 3 - PROY COSTOS'!N75</f>
        <v>104023.73269125</v>
      </c>
      <c r="K75" s="27">
        <f t="shared" si="66"/>
        <v>19764.509211337499</v>
      </c>
      <c r="L75" s="27">
        <f t="shared" si="75"/>
        <v>123788.2419025875</v>
      </c>
      <c r="M75" s="29">
        <f t="shared" si="67"/>
        <v>123788.2419025875</v>
      </c>
      <c r="O75" s="25">
        <f t="shared" si="68"/>
        <v>108600.77692966499</v>
      </c>
      <c r="P75" s="27">
        <f t="shared" si="69"/>
        <v>20634.14761663635</v>
      </c>
      <c r="Q75" s="27">
        <f t="shared" si="70"/>
        <v>129234.92454630134</v>
      </c>
      <c r="R75" s="29">
        <f t="shared" si="71"/>
        <v>129234.92454630134</v>
      </c>
      <c r="T75" s="25">
        <f t="shared" si="72"/>
        <v>111858.80023755494</v>
      </c>
      <c r="U75" s="27">
        <f t="shared" si="73"/>
        <v>21253.172045135438</v>
      </c>
      <c r="V75" s="27">
        <f t="shared" si="76"/>
        <v>133111.97228269037</v>
      </c>
      <c r="W75" s="29">
        <f t="shared" si="74"/>
        <v>133111.97228269037</v>
      </c>
      <c r="Y75" s="29">
        <f t="shared" si="77"/>
        <v>386135.13873157918</v>
      </c>
    </row>
    <row r="76" spans="1:25" s="6" customFormat="1" ht="44.25" customHeight="1" x14ac:dyDescent="0.3">
      <c r="A76" s="101">
        <v>13</v>
      </c>
      <c r="B76" s="143" t="s">
        <v>157</v>
      </c>
      <c r="C76" s="144"/>
      <c r="D76" s="144"/>
      <c r="E76" s="144"/>
      <c r="F76" s="145"/>
      <c r="G76" s="20" t="s">
        <v>16</v>
      </c>
      <c r="H76" s="20">
        <v>1</v>
      </c>
      <c r="I76" s="13"/>
      <c r="J76" s="25">
        <f>+'ANEXO 3 - PROY COSTOS'!N76</f>
        <v>105121.44505825001</v>
      </c>
      <c r="K76" s="27">
        <f t="shared" si="66"/>
        <v>19973.074561067504</v>
      </c>
      <c r="L76" s="27">
        <f t="shared" si="75"/>
        <v>125094.51961931752</v>
      </c>
      <c r="M76" s="29">
        <f t="shared" si="67"/>
        <v>125094.51961931752</v>
      </c>
      <c r="O76" s="25">
        <f t="shared" si="68"/>
        <v>109746.78864081301</v>
      </c>
      <c r="P76" s="27">
        <f t="shared" si="69"/>
        <v>20851.889841754473</v>
      </c>
      <c r="Q76" s="27">
        <f t="shared" si="70"/>
        <v>130598.67848256748</v>
      </c>
      <c r="R76" s="29">
        <f t="shared" si="71"/>
        <v>130598.67848256748</v>
      </c>
      <c r="T76" s="25">
        <f t="shared" si="72"/>
        <v>113039.19230003741</v>
      </c>
      <c r="U76" s="27">
        <f t="shared" si="73"/>
        <v>21477.446537007108</v>
      </c>
      <c r="V76" s="27">
        <f t="shared" si="76"/>
        <v>134516.63883704451</v>
      </c>
      <c r="W76" s="29">
        <f t="shared" si="74"/>
        <v>134516.63883704451</v>
      </c>
      <c r="Y76" s="29">
        <f t="shared" si="77"/>
        <v>390209.83693892951</v>
      </c>
    </row>
    <row r="77" spans="1:25" s="6" customFormat="1" ht="44.25" customHeight="1" x14ac:dyDescent="0.3">
      <c r="A77" s="101">
        <v>14</v>
      </c>
      <c r="B77" s="143" t="s">
        <v>158</v>
      </c>
      <c r="C77" s="144"/>
      <c r="D77" s="144"/>
      <c r="E77" s="144"/>
      <c r="F77" s="145"/>
      <c r="G77" s="20" t="s">
        <v>16</v>
      </c>
      <c r="H77" s="20">
        <v>1</v>
      </c>
      <c r="I77" s="13"/>
      <c r="J77" s="25">
        <f>+'ANEXO 3 - PROY COSTOS'!N77</f>
        <v>105121.44505825001</v>
      </c>
      <c r="K77" s="27">
        <f t="shared" si="66"/>
        <v>19973.074561067504</v>
      </c>
      <c r="L77" s="27">
        <f t="shared" si="75"/>
        <v>125094.51961931752</v>
      </c>
      <c r="M77" s="29">
        <f t="shared" si="67"/>
        <v>125094.51961931752</v>
      </c>
      <c r="O77" s="25">
        <f t="shared" si="68"/>
        <v>109746.78864081301</v>
      </c>
      <c r="P77" s="27">
        <f t="shared" si="69"/>
        <v>20851.889841754473</v>
      </c>
      <c r="Q77" s="27">
        <f t="shared" si="70"/>
        <v>130598.67848256748</v>
      </c>
      <c r="R77" s="29">
        <f t="shared" si="71"/>
        <v>130598.67848256748</v>
      </c>
      <c r="T77" s="25">
        <f t="shared" si="72"/>
        <v>113039.19230003741</v>
      </c>
      <c r="U77" s="27">
        <f t="shared" si="73"/>
        <v>21477.446537007108</v>
      </c>
      <c r="V77" s="27">
        <f t="shared" si="76"/>
        <v>134516.63883704451</v>
      </c>
      <c r="W77" s="29">
        <f t="shared" si="74"/>
        <v>134516.63883704451</v>
      </c>
      <c r="Y77" s="29">
        <f t="shared" si="77"/>
        <v>390209.83693892951</v>
      </c>
    </row>
    <row r="78" spans="1:25" s="6" customFormat="1" ht="44.25" customHeight="1" x14ac:dyDescent="0.3">
      <c r="A78" s="101">
        <v>15</v>
      </c>
      <c r="B78" s="143" t="s">
        <v>159</v>
      </c>
      <c r="C78" s="144"/>
      <c r="D78" s="144"/>
      <c r="E78" s="144"/>
      <c r="F78" s="145"/>
      <c r="G78" s="20" t="s">
        <v>16</v>
      </c>
      <c r="H78" s="20">
        <v>1</v>
      </c>
      <c r="I78" s="13"/>
      <c r="J78" s="25">
        <f>+'ANEXO 3 - PROY COSTOS'!N78</f>
        <v>131297.30426075001</v>
      </c>
      <c r="K78" s="27">
        <f t="shared" si="66"/>
        <v>24946.487809542501</v>
      </c>
      <c r="L78" s="27">
        <f t="shared" si="75"/>
        <v>156243.79207029252</v>
      </c>
      <c r="M78" s="29">
        <f t="shared" si="67"/>
        <v>156243.79207029252</v>
      </c>
      <c r="O78" s="25">
        <f t="shared" si="68"/>
        <v>137074.38564822302</v>
      </c>
      <c r="P78" s="27">
        <f t="shared" si="69"/>
        <v>26044.133273162373</v>
      </c>
      <c r="Q78" s="27">
        <f t="shared" si="70"/>
        <v>163118.5189213854</v>
      </c>
      <c r="R78" s="29">
        <f t="shared" si="71"/>
        <v>163118.5189213854</v>
      </c>
      <c r="T78" s="25">
        <f t="shared" si="72"/>
        <v>141186.6172176697</v>
      </c>
      <c r="U78" s="27">
        <f t="shared" si="73"/>
        <v>26825.457271357242</v>
      </c>
      <c r="V78" s="27">
        <f t="shared" si="76"/>
        <v>168012.07448902694</v>
      </c>
      <c r="W78" s="29">
        <f t="shared" si="74"/>
        <v>168012.07448902694</v>
      </c>
      <c r="Y78" s="29">
        <f t="shared" si="77"/>
        <v>487374.38548070483</v>
      </c>
    </row>
    <row r="79" spans="1:25" s="6" customFormat="1" ht="44.25" customHeight="1" x14ac:dyDescent="0.3">
      <c r="A79" s="101">
        <v>16</v>
      </c>
      <c r="B79" s="143" t="s">
        <v>160</v>
      </c>
      <c r="C79" s="144"/>
      <c r="D79" s="144"/>
      <c r="E79" s="144"/>
      <c r="F79" s="145"/>
      <c r="G79" s="20" t="s">
        <v>16</v>
      </c>
      <c r="H79" s="20">
        <v>1</v>
      </c>
      <c r="I79" s="13"/>
      <c r="J79" s="25">
        <f>+'ANEXO 3 - PROY COSTOS'!N79</f>
        <v>112862.457536</v>
      </c>
      <c r="K79" s="27">
        <f t="shared" si="66"/>
        <v>21443.866931839999</v>
      </c>
      <c r="L79" s="27">
        <f t="shared" si="75"/>
        <v>134306.32446783999</v>
      </c>
      <c r="M79" s="29">
        <f t="shared" si="67"/>
        <v>134306.32446783999</v>
      </c>
      <c r="O79" s="25">
        <f t="shared" si="68"/>
        <v>117828.405667584</v>
      </c>
      <c r="P79" s="27">
        <f t="shared" si="69"/>
        <v>22387.39707684096</v>
      </c>
      <c r="Q79" s="27">
        <f t="shared" si="70"/>
        <v>140215.80274442496</v>
      </c>
      <c r="R79" s="29">
        <f t="shared" si="71"/>
        <v>140215.80274442496</v>
      </c>
      <c r="T79" s="25">
        <f t="shared" si="72"/>
        <v>121363.25783761151</v>
      </c>
      <c r="U79" s="27">
        <f t="shared" si="73"/>
        <v>23059.018989146189</v>
      </c>
      <c r="V79" s="27">
        <f t="shared" si="76"/>
        <v>144422.2768267577</v>
      </c>
      <c r="W79" s="29">
        <f t="shared" si="74"/>
        <v>144422.2768267577</v>
      </c>
      <c r="Y79" s="29">
        <f t="shared" si="77"/>
        <v>418944.40403902263</v>
      </c>
    </row>
    <row r="80" spans="1:25" s="6" customFormat="1" ht="44.25" customHeight="1" x14ac:dyDescent="0.3">
      <c r="A80" s="101">
        <v>17</v>
      </c>
      <c r="B80" s="143" t="s">
        <v>161</v>
      </c>
      <c r="C80" s="144"/>
      <c r="D80" s="144"/>
      <c r="E80" s="144"/>
      <c r="F80" s="145"/>
      <c r="G80" s="20" t="s">
        <v>16</v>
      </c>
      <c r="H80" s="20">
        <v>1</v>
      </c>
      <c r="I80" s="13"/>
      <c r="J80" s="25">
        <f>+'ANEXO 3 - PROY COSTOS'!N80</f>
        <v>169253.64255449999</v>
      </c>
      <c r="K80" s="27">
        <f t="shared" si="66"/>
        <v>32158.192085355</v>
      </c>
      <c r="L80" s="27">
        <f t="shared" si="75"/>
        <v>201411.83463985499</v>
      </c>
      <c r="M80" s="29">
        <f t="shared" si="67"/>
        <v>201411.83463985499</v>
      </c>
      <c r="O80" s="25">
        <f t="shared" si="68"/>
        <v>176700.802826898</v>
      </c>
      <c r="P80" s="27">
        <f t="shared" si="69"/>
        <v>33573.152537110618</v>
      </c>
      <c r="Q80" s="27">
        <f t="shared" si="70"/>
        <v>210273.95536400861</v>
      </c>
      <c r="R80" s="29">
        <f t="shared" si="71"/>
        <v>210273.95536400861</v>
      </c>
      <c r="T80" s="25">
        <f t="shared" si="72"/>
        <v>182001.82691170493</v>
      </c>
      <c r="U80" s="27">
        <f t="shared" si="73"/>
        <v>34580.347113223936</v>
      </c>
      <c r="V80" s="27">
        <f t="shared" si="76"/>
        <v>216582.17402492889</v>
      </c>
      <c r="W80" s="29">
        <f t="shared" si="74"/>
        <v>216582.17402492889</v>
      </c>
      <c r="Y80" s="29">
        <f t="shared" si="77"/>
        <v>628267.96402879246</v>
      </c>
    </row>
    <row r="81" spans="1:25" s="6" customFormat="1" ht="44.25" customHeight="1" x14ac:dyDescent="0.3">
      <c r="A81" s="101">
        <v>18</v>
      </c>
      <c r="B81" s="143" t="s">
        <v>162</v>
      </c>
      <c r="C81" s="144"/>
      <c r="D81" s="144"/>
      <c r="E81" s="144"/>
      <c r="F81" s="145"/>
      <c r="G81" s="20" t="s">
        <v>16</v>
      </c>
      <c r="H81" s="20">
        <v>1</v>
      </c>
      <c r="I81" s="13"/>
      <c r="J81" s="25">
        <f>+'ANEXO 3 - PROY COSTOS'!N81</f>
        <v>169253.64255449999</v>
      </c>
      <c r="K81" s="27">
        <f t="shared" si="66"/>
        <v>32158.192085355</v>
      </c>
      <c r="L81" s="27">
        <f t="shared" si="75"/>
        <v>201411.83463985499</v>
      </c>
      <c r="M81" s="29">
        <f t="shared" si="67"/>
        <v>201411.83463985499</v>
      </c>
      <c r="O81" s="25">
        <f t="shared" si="68"/>
        <v>176700.802826898</v>
      </c>
      <c r="P81" s="27">
        <f t="shared" si="69"/>
        <v>33573.152537110618</v>
      </c>
      <c r="Q81" s="27">
        <f t="shared" si="70"/>
        <v>210273.95536400861</v>
      </c>
      <c r="R81" s="29">
        <f t="shared" si="71"/>
        <v>210273.95536400861</v>
      </c>
      <c r="T81" s="25">
        <f t="shared" si="72"/>
        <v>182001.82691170493</v>
      </c>
      <c r="U81" s="27">
        <f t="shared" si="73"/>
        <v>34580.347113223936</v>
      </c>
      <c r="V81" s="27">
        <f t="shared" si="76"/>
        <v>216582.17402492889</v>
      </c>
      <c r="W81" s="29">
        <f t="shared" si="74"/>
        <v>216582.17402492889</v>
      </c>
      <c r="Y81" s="29">
        <f t="shared" si="77"/>
        <v>628267.96402879246</v>
      </c>
    </row>
    <row r="82" spans="1:25" s="6" customFormat="1" ht="44.25" customHeight="1" x14ac:dyDescent="0.3">
      <c r="A82" s="101">
        <v>19</v>
      </c>
      <c r="B82" s="143" t="s">
        <v>163</v>
      </c>
      <c r="C82" s="144"/>
      <c r="D82" s="144"/>
      <c r="E82" s="144"/>
      <c r="F82" s="145"/>
      <c r="G82" s="20" t="s">
        <v>16</v>
      </c>
      <c r="H82" s="20">
        <v>1</v>
      </c>
      <c r="I82" s="13"/>
      <c r="J82" s="25">
        <f>+'ANEXO 3 - PROY COSTOS'!N82</f>
        <v>169253.64255449999</v>
      </c>
      <c r="K82" s="27">
        <f t="shared" si="66"/>
        <v>32158.192085355</v>
      </c>
      <c r="L82" s="27">
        <f t="shared" si="75"/>
        <v>201411.83463985499</v>
      </c>
      <c r="M82" s="29">
        <f t="shared" si="67"/>
        <v>201411.83463985499</v>
      </c>
      <c r="O82" s="25">
        <f t="shared" si="68"/>
        <v>176700.802826898</v>
      </c>
      <c r="P82" s="27">
        <f t="shared" si="69"/>
        <v>33573.152537110618</v>
      </c>
      <c r="Q82" s="27">
        <f t="shared" si="70"/>
        <v>210273.95536400861</v>
      </c>
      <c r="R82" s="29">
        <f t="shared" si="71"/>
        <v>210273.95536400861</v>
      </c>
      <c r="T82" s="25">
        <f t="shared" si="72"/>
        <v>182001.82691170493</v>
      </c>
      <c r="U82" s="27">
        <f t="shared" si="73"/>
        <v>34580.347113223936</v>
      </c>
      <c r="V82" s="27">
        <f t="shared" si="76"/>
        <v>216582.17402492889</v>
      </c>
      <c r="W82" s="29">
        <f t="shared" si="74"/>
        <v>216582.17402492889</v>
      </c>
      <c r="Y82" s="29">
        <f t="shared" si="77"/>
        <v>628267.96402879246</v>
      </c>
    </row>
    <row r="83" spans="1:25" s="6" customFormat="1" ht="44.25" customHeight="1" x14ac:dyDescent="0.3">
      <c r="A83" s="101">
        <v>20</v>
      </c>
      <c r="B83" s="143" t="s">
        <v>164</v>
      </c>
      <c r="C83" s="144"/>
      <c r="D83" s="144"/>
      <c r="E83" s="144"/>
      <c r="F83" s="145"/>
      <c r="G83" s="20" t="s">
        <v>16</v>
      </c>
      <c r="H83" s="20">
        <v>1</v>
      </c>
      <c r="I83" s="13"/>
      <c r="J83" s="25">
        <f>+'ANEXO 3 - PROY COSTOS'!N83</f>
        <v>169253.64255449999</v>
      </c>
      <c r="K83" s="27">
        <f t="shared" si="66"/>
        <v>32158.192085355</v>
      </c>
      <c r="L83" s="27">
        <f t="shared" si="75"/>
        <v>201411.83463985499</v>
      </c>
      <c r="M83" s="29">
        <f t="shared" si="67"/>
        <v>201411.83463985499</v>
      </c>
      <c r="O83" s="25">
        <f t="shared" si="68"/>
        <v>176700.802826898</v>
      </c>
      <c r="P83" s="27">
        <f t="shared" si="69"/>
        <v>33573.152537110618</v>
      </c>
      <c r="Q83" s="27">
        <f t="shared" si="70"/>
        <v>210273.95536400861</v>
      </c>
      <c r="R83" s="29">
        <f t="shared" si="71"/>
        <v>210273.95536400861</v>
      </c>
      <c r="T83" s="25">
        <f t="shared" si="72"/>
        <v>182001.82691170493</v>
      </c>
      <c r="U83" s="27">
        <f t="shared" si="73"/>
        <v>34580.347113223936</v>
      </c>
      <c r="V83" s="27">
        <f t="shared" si="76"/>
        <v>216582.17402492889</v>
      </c>
      <c r="W83" s="29">
        <f t="shared" si="74"/>
        <v>216582.17402492889</v>
      </c>
      <c r="Y83" s="29">
        <f t="shared" si="77"/>
        <v>628267.96402879246</v>
      </c>
    </row>
    <row r="84" spans="1:25" s="6" customFormat="1" ht="44.25" customHeight="1" x14ac:dyDescent="0.3">
      <c r="A84" s="101">
        <v>21</v>
      </c>
      <c r="B84" s="143" t="s">
        <v>165</v>
      </c>
      <c r="C84" s="144"/>
      <c r="D84" s="144"/>
      <c r="E84" s="144"/>
      <c r="F84" s="145"/>
      <c r="G84" s="20" t="s">
        <v>16</v>
      </c>
      <c r="H84" s="20">
        <v>1</v>
      </c>
      <c r="I84" s="13"/>
      <c r="J84" s="25">
        <f>+'ANEXO 3 - PROY COSTOS'!N84</f>
        <v>169253.64255449999</v>
      </c>
      <c r="K84" s="27">
        <f t="shared" si="66"/>
        <v>32158.192085355</v>
      </c>
      <c r="L84" s="27">
        <f t="shared" ref="L84:L95" si="78">+K84+J84</f>
        <v>201411.83463985499</v>
      </c>
      <c r="M84" s="29">
        <f t="shared" ref="M84:M95" si="79">+L84*H84</f>
        <v>201411.83463985499</v>
      </c>
      <c r="O84" s="25">
        <f t="shared" si="68"/>
        <v>176700.802826898</v>
      </c>
      <c r="P84" s="27">
        <f t="shared" si="69"/>
        <v>33573.152537110618</v>
      </c>
      <c r="Q84" s="27">
        <f t="shared" ref="Q84:Q95" si="80">+P84+O84</f>
        <v>210273.95536400861</v>
      </c>
      <c r="R84" s="29">
        <f t="shared" ref="R84:R95" si="81">+Q84*H84</f>
        <v>210273.95536400861</v>
      </c>
      <c r="T84" s="25">
        <f t="shared" si="72"/>
        <v>182001.82691170493</v>
      </c>
      <c r="U84" s="27">
        <f t="shared" si="73"/>
        <v>34580.347113223936</v>
      </c>
      <c r="V84" s="27">
        <f t="shared" ref="V84:V95" si="82">+U84+T84</f>
        <v>216582.17402492889</v>
      </c>
      <c r="W84" s="29">
        <f t="shared" ref="W84:W95" si="83">+V84*H84</f>
        <v>216582.17402492889</v>
      </c>
      <c r="Y84" s="29">
        <f t="shared" si="77"/>
        <v>628267.96402879246</v>
      </c>
    </row>
    <row r="85" spans="1:25" s="6" customFormat="1" ht="44.25" customHeight="1" x14ac:dyDescent="0.3">
      <c r="A85" s="101">
        <v>22</v>
      </c>
      <c r="B85" s="143" t="s">
        <v>166</v>
      </c>
      <c r="C85" s="144"/>
      <c r="D85" s="144"/>
      <c r="E85" s="144"/>
      <c r="F85" s="145"/>
      <c r="G85" s="20" t="s">
        <v>16</v>
      </c>
      <c r="H85" s="20">
        <v>1</v>
      </c>
      <c r="I85" s="13"/>
      <c r="J85" s="25">
        <f>+'ANEXO 3 - PROY COSTOS'!N85</f>
        <v>833339.72499999998</v>
      </c>
      <c r="K85" s="27">
        <f t="shared" si="66"/>
        <v>158334.54775</v>
      </c>
      <c r="L85" s="27">
        <f t="shared" si="78"/>
        <v>991674.27275</v>
      </c>
      <c r="M85" s="29">
        <f t="shared" si="79"/>
        <v>991674.27275</v>
      </c>
      <c r="O85" s="25">
        <f t="shared" si="68"/>
        <v>870006.67290000001</v>
      </c>
      <c r="P85" s="27">
        <f t="shared" si="69"/>
        <v>165301.26785100001</v>
      </c>
      <c r="Q85" s="27">
        <f t="shared" si="80"/>
        <v>1035307.9407510001</v>
      </c>
      <c r="R85" s="29">
        <f t="shared" si="81"/>
        <v>1035307.9407510001</v>
      </c>
      <c r="T85" s="25">
        <f t="shared" si="72"/>
        <v>896106.87308699999</v>
      </c>
      <c r="U85" s="27">
        <f t="shared" si="73"/>
        <v>170260.30588653</v>
      </c>
      <c r="V85" s="27">
        <f t="shared" si="82"/>
        <v>1066367.17897353</v>
      </c>
      <c r="W85" s="29">
        <f t="shared" si="83"/>
        <v>1066367.17897353</v>
      </c>
      <c r="Y85" s="29">
        <f t="shared" si="77"/>
        <v>3093349.3924745298</v>
      </c>
    </row>
    <row r="86" spans="1:25" s="6" customFormat="1" ht="44.25" customHeight="1" x14ac:dyDescent="0.3">
      <c r="A86" s="101">
        <v>23</v>
      </c>
      <c r="B86" s="143" t="s">
        <v>167</v>
      </c>
      <c r="C86" s="144"/>
      <c r="D86" s="144"/>
      <c r="E86" s="144"/>
      <c r="F86" s="145"/>
      <c r="G86" s="20" t="s">
        <v>16</v>
      </c>
      <c r="H86" s="20">
        <v>1</v>
      </c>
      <c r="I86" s="13"/>
      <c r="J86" s="25">
        <f>+'ANEXO 3 - PROY COSTOS'!N86</f>
        <v>894423.755</v>
      </c>
      <c r="K86" s="27">
        <f t="shared" si="66"/>
        <v>169940.51345</v>
      </c>
      <c r="L86" s="27">
        <f t="shared" si="78"/>
        <v>1064364.2684500001</v>
      </c>
      <c r="M86" s="29">
        <f t="shared" si="79"/>
        <v>1064364.2684500001</v>
      </c>
      <c r="O86" s="25">
        <f t="shared" si="68"/>
        <v>933778.40021999995</v>
      </c>
      <c r="P86" s="27">
        <f t="shared" si="69"/>
        <v>177417.89604180001</v>
      </c>
      <c r="Q86" s="27">
        <f t="shared" si="80"/>
        <v>1111196.2962618</v>
      </c>
      <c r="R86" s="29">
        <f t="shared" si="81"/>
        <v>1111196.2962618</v>
      </c>
      <c r="T86" s="25">
        <f t="shared" si="72"/>
        <v>961791.75222659996</v>
      </c>
      <c r="U86" s="27">
        <f t="shared" si="73"/>
        <v>182740.432923054</v>
      </c>
      <c r="V86" s="27">
        <f t="shared" si="82"/>
        <v>1144532.185149654</v>
      </c>
      <c r="W86" s="29">
        <f t="shared" si="83"/>
        <v>1144532.185149654</v>
      </c>
      <c r="Y86" s="29">
        <f t="shared" si="77"/>
        <v>3320092.7498614546</v>
      </c>
    </row>
    <row r="87" spans="1:25" s="6" customFormat="1" ht="44.25" customHeight="1" x14ac:dyDescent="0.3">
      <c r="A87" s="101">
        <v>24</v>
      </c>
      <c r="B87" s="143" t="s">
        <v>193</v>
      </c>
      <c r="C87" s="144"/>
      <c r="D87" s="144"/>
      <c r="E87" s="144"/>
      <c r="F87" s="145"/>
      <c r="G87" s="20" t="s">
        <v>16</v>
      </c>
      <c r="H87" s="20">
        <v>1</v>
      </c>
      <c r="I87" s="13"/>
      <c r="J87" s="25">
        <f>+'ANEXO 3 - PROY COSTOS'!N87</f>
        <v>1497792</v>
      </c>
      <c r="K87" s="27">
        <f t="shared" si="66"/>
        <v>284580.47999999998</v>
      </c>
      <c r="L87" s="27">
        <f t="shared" ref="L87:L90" si="84">+K87+J87</f>
        <v>1782372.48</v>
      </c>
      <c r="M87" s="29">
        <f t="shared" ref="M87:M90" si="85">+L87*H87</f>
        <v>1782372.48</v>
      </c>
      <c r="O87" s="25">
        <f t="shared" si="68"/>
        <v>1563694.848</v>
      </c>
      <c r="P87" s="27">
        <f t="shared" si="69"/>
        <v>297102.02111999999</v>
      </c>
      <c r="Q87" s="27">
        <f t="shared" ref="Q87:Q90" si="86">+P87+O87</f>
        <v>1860796.8691199999</v>
      </c>
      <c r="R87" s="29">
        <f t="shared" ref="R87:R90" si="87">+Q87*H87</f>
        <v>1860796.8691199999</v>
      </c>
      <c r="T87" s="25">
        <f t="shared" si="72"/>
        <v>1610605.6934400001</v>
      </c>
      <c r="U87" s="27">
        <f t="shared" si="73"/>
        <v>306015.08175360004</v>
      </c>
      <c r="V87" s="27">
        <f t="shared" ref="V87:V90" si="88">+U87+T87</f>
        <v>1916620.7751936</v>
      </c>
      <c r="W87" s="29">
        <f t="shared" ref="W87:W90" si="89">+V87*H87</f>
        <v>1916620.7751936</v>
      </c>
      <c r="Y87" s="29">
        <f t="shared" si="77"/>
        <v>5559790.1243136004</v>
      </c>
    </row>
    <row r="88" spans="1:25" s="6" customFormat="1" ht="44.25" customHeight="1" x14ac:dyDescent="0.3">
      <c r="A88" s="101">
        <v>25</v>
      </c>
      <c r="B88" s="143" t="s">
        <v>194</v>
      </c>
      <c r="C88" s="144"/>
      <c r="D88" s="144"/>
      <c r="E88" s="144"/>
      <c r="F88" s="145"/>
      <c r="G88" s="20" t="s">
        <v>16</v>
      </c>
      <c r="H88" s="20">
        <v>1</v>
      </c>
      <c r="I88" s="13"/>
      <c r="J88" s="25">
        <f>+'ANEXO 3 - PROY COSTOS'!N88</f>
        <v>2373580</v>
      </c>
      <c r="K88" s="27">
        <f t="shared" si="66"/>
        <v>450980.2</v>
      </c>
      <c r="L88" s="27">
        <f t="shared" si="84"/>
        <v>2824560.2</v>
      </c>
      <c r="M88" s="29">
        <f t="shared" si="85"/>
        <v>2824560.2</v>
      </c>
      <c r="O88" s="25">
        <f t="shared" si="68"/>
        <v>2478017.52</v>
      </c>
      <c r="P88" s="27">
        <f t="shared" si="69"/>
        <v>470823.32880000002</v>
      </c>
      <c r="Q88" s="27">
        <f t="shared" si="86"/>
        <v>2948840.8487999998</v>
      </c>
      <c r="R88" s="29">
        <f t="shared" si="87"/>
        <v>2948840.8487999998</v>
      </c>
      <c r="T88" s="25">
        <f t="shared" si="72"/>
        <v>2552358.0455999998</v>
      </c>
      <c r="U88" s="27">
        <f t="shared" si="73"/>
        <v>484948.02866399998</v>
      </c>
      <c r="V88" s="27">
        <f t="shared" si="88"/>
        <v>3037306.0742639997</v>
      </c>
      <c r="W88" s="29">
        <f t="shared" si="89"/>
        <v>3037306.0742639997</v>
      </c>
      <c r="Y88" s="29">
        <f t="shared" si="77"/>
        <v>8810707.1230640002</v>
      </c>
    </row>
    <row r="89" spans="1:25" s="6" customFormat="1" ht="44.25" customHeight="1" x14ac:dyDescent="0.3">
      <c r="A89" s="101">
        <v>26</v>
      </c>
      <c r="B89" s="143" t="s">
        <v>195</v>
      </c>
      <c r="C89" s="144"/>
      <c r="D89" s="144"/>
      <c r="E89" s="144"/>
      <c r="F89" s="145"/>
      <c r="G89" s="20" t="s">
        <v>16</v>
      </c>
      <c r="H89" s="20">
        <v>1</v>
      </c>
      <c r="I89" s="13"/>
      <c r="J89" s="25">
        <f>+'ANEXO 3 - PROY COSTOS'!N89</f>
        <v>716550</v>
      </c>
      <c r="K89" s="27">
        <f t="shared" si="66"/>
        <v>136144.5</v>
      </c>
      <c r="L89" s="27">
        <f t="shared" si="84"/>
        <v>852694.5</v>
      </c>
      <c r="M89" s="29">
        <f t="shared" si="85"/>
        <v>852694.5</v>
      </c>
      <c r="O89" s="25">
        <f t="shared" si="68"/>
        <v>748078.2</v>
      </c>
      <c r="P89" s="27">
        <f t="shared" si="69"/>
        <v>142134.85799999998</v>
      </c>
      <c r="Q89" s="27">
        <f t="shared" si="86"/>
        <v>890213.05799999996</v>
      </c>
      <c r="R89" s="29">
        <f t="shared" si="87"/>
        <v>890213.05799999996</v>
      </c>
      <c r="T89" s="25">
        <f t="shared" si="72"/>
        <v>770520.54599999997</v>
      </c>
      <c r="U89" s="27">
        <f t="shared" si="73"/>
        <v>146398.90374000001</v>
      </c>
      <c r="V89" s="27">
        <f t="shared" si="88"/>
        <v>916919.44973999995</v>
      </c>
      <c r="W89" s="29">
        <f t="shared" si="89"/>
        <v>916919.44973999995</v>
      </c>
      <c r="Y89" s="29">
        <f t="shared" si="77"/>
        <v>2659827.0077399998</v>
      </c>
    </row>
    <row r="90" spans="1:25" s="6" customFormat="1" ht="44.25" customHeight="1" x14ac:dyDescent="0.3">
      <c r="A90" s="101">
        <v>27</v>
      </c>
      <c r="B90" s="143" t="s">
        <v>196</v>
      </c>
      <c r="C90" s="144"/>
      <c r="D90" s="144"/>
      <c r="E90" s="144"/>
      <c r="F90" s="145"/>
      <c r="G90" s="20" t="s">
        <v>16</v>
      </c>
      <c r="H90" s="20">
        <v>1</v>
      </c>
      <c r="I90" s="13"/>
      <c r="J90" s="25">
        <f>+'ANEXO 3 - PROY COSTOS'!N90</f>
        <v>766550</v>
      </c>
      <c r="K90" s="27">
        <f t="shared" si="66"/>
        <v>145644.5</v>
      </c>
      <c r="L90" s="27">
        <f t="shared" si="84"/>
        <v>912194.5</v>
      </c>
      <c r="M90" s="29">
        <f t="shared" si="85"/>
        <v>912194.5</v>
      </c>
      <c r="O90" s="25">
        <f t="shared" si="68"/>
        <v>800278.2</v>
      </c>
      <c r="P90" s="27">
        <f t="shared" si="69"/>
        <v>152052.85800000001</v>
      </c>
      <c r="Q90" s="27">
        <f t="shared" si="86"/>
        <v>952331.05799999996</v>
      </c>
      <c r="R90" s="29">
        <f t="shared" si="87"/>
        <v>952331.05799999996</v>
      </c>
      <c r="T90" s="25">
        <f t="shared" si="72"/>
        <v>824286.54599999997</v>
      </c>
      <c r="U90" s="27">
        <f t="shared" si="73"/>
        <v>156614.44373999999</v>
      </c>
      <c r="V90" s="27">
        <f t="shared" si="88"/>
        <v>980900.98973999999</v>
      </c>
      <c r="W90" s="29">
        <f t="shared" si="89"/>
        <v>980900.98973999999</v>
      </c>
      <c r="Y90" s="29">
        <f t="shared" si="77"/>
        <v>2845426.5477399998</v>
      </c>
    </row>
    <row r="91" spans="1:25" s="6" customFormat="1" ht="44.25" customHeight="1" x14ac:dyDescent="0.3">
      <c r="A91" s="101">
        <v>28</v>
      </c>
      <c r="B91" s="143" t="s">
        <v>168</v>
      </c>
      <c r="C91" s="144"/>
      <c r="D91" s="144"/>
      <c r="E91" s="144"/>
      <c r="F91" s="145"/>
      <c r="G91" s="20" t="s">
        <v>16</v>
      </c>
      <c r="H91" s="20">
        <v>1</v>
      </c>
      <c r="I91" s="13"/>
      <c r="J91" s="25">
        <f>+'ANEXO 3 - PROY COSTOS'!N91</f>
        <v>22090858.437322251</v>
      </c>
      <c r="K91" s="27">
        <f t="shared" si="66"/>
        <v>4197263.1030912278</v>
      </c>
      <c r="L91" s="27">
        <f t="shared" si="78"/>
        <v>26288121.54041348</v>
      </c>
      <c r="M91" s="29">
        <f t="shared" si="79"/>
        <v>26288121.54041348</v>
      </c>
      <c r="O91" s="25">
        <f t="shared" si="68"/>
        <v>23062856.20856443</v>
      </c>
      <c r="P91" s="27">
        <f t="shared" si="69"/>
        <v>4381942.6796272416</v>
      </c>
      <c r="Q91" s="27">
        <f t="shared" si="80"/>
        <v>27444798.88819167</v>
      </c>
      <c r="R91" s="29">
        <f t="shared" si="81"/>
        <v>27444798.88819167</v>
      </c>
      <c r="T91" s="25">
        <f t="shared" si="72"/>
        <v>23754741.894821364</v>
      </c>
      <c r="U91" s="27">
        <f t="shared" si="73"/>
        <v>4513400.9600160597</v>
      </c>
      <c r="V91" s="27">
        <f t="shared" si="82"/>
        <v>28268142.854837425</v>
      </c>
      <c r="W91" s="29">
        <f t="shared" si="83"/>
        <v>28268142.854837425</v>
      </c>
      <c r="Y91" s="29">
        <f t="shared" si="77"/>
        <v>82001063.283442572</v>
      </c>
    </row>
    <row r="92" spans="1:25" s="6" customFormat="1" ht="44.25" customHeight="1" x14ac:dyDescent="0.3">
      <c r="A92" s="101">
        <v>29</v>
      </c>
      <c r="B92" s="143" t="s">
        <v>169</v>
      </c>
      <c r="C92" s="144"/>
      <c r="D92" s="144"/>
      <c r="E92" s="144"/>
      <c r="F92" s="145"/>
      <c r="G92" s="20" t="s">
        <v>16</v>
      </c>
      <c r="H92" s="20">
        <v>1</v>
      </c>
      <c r="I92" s="13"/>
      <c r="J92" s="25">
        <f>+'ANEXO 3 - PROY COSTOS'!N92</f>
        <v>16323895.615077749</v>
      </c>
      <c r="K92" s="27">
        <f t="shared" si="66"/>
        <v>3101540.1668647723</v>
      </c>
      <c r="L92" s="27">
        <f t="shared" si="78"/>
        <v>19425435.78194252</v>
      </c>
      <c r="M92" s="29">
        <f t="shared" si="79"/>
        <v>19425435.78194252</v>
      </c>
      <c r="O92" s="25">
        <f t="shared" si="68"/>
        <v>17042147.02214117</v>
      </c>
      <c r="P92" s="27">
        <f t="shared" si="69"/>
        <v>3238007.9342068224</v>
      </c>
      <c r="Q92" s="27">
        <f t="shared" si="80"/>
        <v>20280154.956347991</v>
      </c>
      <c r="R92" s="29">
        <f t="shared" si="81"/>
        <v>20280154.956347991</v>
      </c>
      <c r="T92" s="25">
        <f t="shared" si="72"/>
        <v>17553411.432805404</v>
      </c>
      <c r="U92" s="27">
        <f t="shared" si="73"/>
        <v>3335148.1722330269</v>
      </c>
      <c r="V92" s="27">
        <f t="shared" si="82"/>
        <v>20888559.605038431</v>
      </c>
      <c r="W92" s="29">
        <f t="shared" si="83"/>
        <v>20888559.605038431</v>
      </c>
      <c r="Y92" s="29">
        <f t="shared" si="77"/>
        <v>60594150.343328938</v>
      </c>
    </row>
    <row r="93" spans="1:25" s="6" customFormat="1" ht="44.25" customHeight="1" x14ac:dyDescent="0.3">
      <c r="A93" s="101">
        <v>30</v>
      </c>
      <c r="B93" s="143" t="s">
        <v>170</v>
      </c>
      <c r="C93" s="144"/>
      <c r="D93" s="144"/>
      <c r="E93" s="144"/>
      <c r="F93" s="145"/>
      <c r="G93" s="20" t="s">
        <v>16</v>
      </c>
      <c r="H93" s="20">
        <v>1</v>
      </c>
      <c r="I93" s="13"/>
      <c r="J93" s="25">
        <f>+'ANEXO 3 - PROY COSTOS'!N93</f>
        <v>855448.9441374999</v>
      </c>
      <c r="K93" s="27">
        <f t="shared" si="66"/>
        <v>162535.29938612497</v>
      </c>
      <c r="L93" s="27">
        <f t="shared" si="78"/>
        <v>1017984.2435236248</v>
      </c>
      <c r="M93" s="29">
        <f t="shared" si="79"/>
        <v>1017984.2435236248</v>
      </c>
      <c r="O93" s="25">
        <f t="shared" si="68"/>
        <v>893088.69767954992</v>
      </c>
      <c r="P93" s="27">
        <f t="shared" si="69"/>
        <v>169686.85255911449</v>
      </c>
      <c r="Q93" s="27">
        <f t="shared" si="80"/>
        <v>1062775.5502386645</v>
      </c>
      <c r="R93" s="29">
        <f t="shared" si="81"/>
        <v>1062775.5502386645</v>
      </c>
      <c r="T93" s="25">
        <f t="shared" si="72"/>
        <v>919881.35860993643</v>
      </c>
      <c r="U93" s="27">
        <f t="shared" si="73"/>
        <v>174777.45813588792</v>
      </c>
      <c r="V93" s="27">
        <f t="shared" si="82"/>
        <v>1094658.8167458244</v>
      </c>
      <c r="W93" s="29">
        <f t="shared" si="83"/>
        <v>1094658.8167458244</v>
      </c>
      <c r="Y93" s="29">
        <f t="shared" si="77"/>
        <v>3175418.6105081136</v>
      </c>
    </row>
    <row r="94" spans="1:25" s="6" customFormat="1" ht="44.25" customHeight="1" x14ac:dyDescent="0.3">
      <c r="A94" s="101">
        <v>31</v>
      </c>
      <c r="B94" s="143" t="s">
        <v>171</v>
      </c>
      <c r="C94" s="144"/>
      <c r="D94" s="144"/>
      <c r="E94" s="144"/>
      <c r="F94" s="145"/>
      <c r="G94" s="20" t="s">
        <v>16</v>
      </c>
      <c r="H94" s="20">
        <v>1</v>
      </c>
      <c r="I94" s="13"/>
      <c r="J94" s="25">
        <f>+'ANEXO 3 - PROY COSTOS'!N94</f>
        <v>855448.9441374999</v>
      </c>
      <c r="K94" s="27">
        <f t="shared" si="66"/>
        <v>162535.29938612497</v>
      </c>
      <c r="L94" s="27">
        <f t="shared" si="78"/>
        <v>1017984.2435236248</v>
      </c>
      <c r="M94" s="29">
        <f t="shared" si="79"/>
        <v>1017984.2435236248</v>
      </c>
      <c r="O94" s="25">
        <f t="shared" si="68"/>
        <v>893088.69767954992</v>
      </c>
      <c r="P94" s="27">
        <f t="shared" si="69"/>
        <v>169686.85255911449</v>
      </c>
      <c r="Q94" s="27">
        <f t="shared" si="80"/>
        <v>1062775.5502386645</v>
      </c>
      <c r="R94" s="29">
        <f t="shared" si="81"/>
        <v>1062775.5502386645</v>
      </c>
      <c r="T94" s="25">
        <f t="shared" si="72"/>
        <v>919881.35860993643</v>
      </c>
      <c r="U94" s="27">
        <f t="shared" si="73"/>
        <v>174777.45813588792</v>
      </c>
      <c r="V94" s="27">
        <f t="shared" si="82"/>
        <v>1094658.8167458244</v>
      </c>
      <c r="W94" s="29">
        <f t="shared" si="83"/>
        <v>1094658.8167458244</v>
      </c>
      <c r="Y94" s="29">
        <f t="shared" si="77"/>
        <v>3175418.6105081136</v>
      </c>
    </row>
    <row r="95" spans="1:25" s="6" customFormat="1" ht="44.25" customHeight="1" x14ac:dyDescent="0.3">
      <c r="A95" s="101">
        <v>32</v>
      </c>
      <c r="B95" s="143" t="s">
        <v>172</v>
      </c>
      <c r="C95" s="144"/>
      <c r="D95" s="144"/>
      <c r="E95" s="144"/>
      <c r="F95" s="145"/>
      <c r="G95" s="20" t="s">
        <v>16</v>
      </c>
      <c r="H95" s="20">
        <v>1</v>
      </c>
      <c r="I95" s="13"/>
      <c r="J95" s="25">
        <f>+'ANEXO 3 - PROY COSTOS'!N95</f>
        <v>861807.77864999999</v>
      </c>
      <c r="K95" s="27">
        <f t="shared" si="66"/>
        <v>163743.47794350001</v>
      </c>
      <c r="L95" s="27">
        <f t="shared" si="78"/>
        <v>1025551.2565935</v>
      </c>
      <c r="M95" s="29">
        <f t="shared" si="79"/>
        <v>1025551.2565935</v>
      </c>
      <c r="O95" s="25">
        <f t="shared" si="68"/>
        <v>899727.32091060001</v>
      </c>
      <c r="P95" s="27">
        <f t="shared" si="69"/>
        <v>170948.19097301402</v>
      </c>
      <c r="Q95" s="27">
        <f t="shared" si="80"/>
        <v>1070675.5118836141</v>
      </c>
      <c r="R95" s="29">
        <f t="shared" si="81"/>
        <v>1070675.5118836141</v>
      </c>
      <c r="T95" s="25">
        <f t="shared" si="72"/>
        <v>926719.14053791796</v>
      </c>
      <c r="U95" s="27">
        <f t="shared" si="73"/>
        <v>176076.63670220441</v>
      </c>
      <c r="V95" s="27">
        <f t="shared" si="82"/>
        <v>1102795.7772401224</v>
      </c>
      <c r="W95" s="29">
        <f t="shared" si="83"/>
        <v>1102795.7772401224</v>
      </c>
      <c r="Y95" s="29">
        <f t="shared" si="77"/>
        <v>3199022.5457172366</v>
      </c>
    </row>
    <row r="96" spans="1:25" s="6" customFormat="1" ht="44.25" customHeight="1" x14ac:dyDescent="0.3">
      <c r="A96" s="124">
        <v>33</v>
      </c>
      <c r="B96" s="153" t="s">
        <v>173</v>
      </c>
      <c r="C96" s="154"/>
      <c r="D96" s="154"/>
      <c r="E96" s="154"/>
      <c r="F96" s="155"/>
      <c r="G96" s="20" t="s">
        <v>16</v>
      </c>
      <c r="H96" s="20">
        <v>1</v>
      </c>
      <c r="I96" s="13"/>
      <c r="J96" s="25">
        <f>+'ANEXO 3 - PROY COSTOS'!N96</f>
        <v>602698.79380850005</v>
      </c>
      <c r="K96" s="27">
        <f t="shared" si="66"/>
        <v>114512.77082361501</v>
      </c>
      <c r="L96" s="27">
        <f t="shared" ref="L96:L105" si="90">+K96+J96</f>
        <v>717211.56463211507</v>
      </c>
      <c r="M96" s="29">
        <f t="shared" ref="M96:M105" si="91">+L96*H96</f>
        <v>717211.56463211507</v>
      </c>
      <c r="O96" s="25">
        <f t="shared" si="68"/>
        <v>629217.54073607409</v>
      </c>
      <c r="P96" s="27">
        <f t="shared" si="69"/>
        <v>119551.33273985409</v>
      </c>
      <c r="Q96" s="27">
        <f t="shared" ref="Q96:Q105" si="92">+P96+O96</f>
        <v>748768.87347592821</v>
      </c>
      <c r="R96" s="29">
        <f t="shared" ref="R96:R105" si="93">+Q96*H96</f>
        <v>748768.87347592821</v>
      </c>
      <c r="T96" s="25">
        <f t="shared" si="72"/>
        <v>648094.0669581563</v>
      </c>
      <c r="U96" s="27">
        <f t="shared" si="73"/>
        <v>123137.87272204969</v>
      </c>
      <c r="V96" s="27">
        <f t="shared" ref="V96:V101" si="94">+U96+T96</f>
        <v>771231.93968020601</v>
      </c>
      <c r="W96" s="29">
        <f t="shared" ref="W96:W105" si="95">+V96*H96</f>
        <v>771231.93968020601</v>
      </c>
      <c r="Y96" s="29">
        <f t="shared" si="77"/>
        <v>2237212.3777882494</v>
      </c>
    </row>
    <row r="97" spans="1:25" s="6" customFormat="1" ht="44.25" customHeight="1" x14ac:dyDescent="0.3">
      <c r="A97" s="124">
        <v>34</v>
      </c>
      <c r="B97" s="143" t="s">
        <v>197</v>
      </c>
      <c r="C97" s="144"/>
      <c r="D97" s="144"/>
      <c r="E97" s="144"/>
      <c r="F97" s="145"/>
      <c r="G97" s="20" t="s">
        <v>16</v>
      </c>
      <c r="H97" s="20">
        <v>1</v>
      </c>
      <c r="I97" s="13"/>
      <c r="J97" s="25">
        <f>+'ANEXO 3 - PROY COSTOS'!N97</f>
        <v>1056649.3900000001</v>
      </c>
      <c r="K97" s="27">
        <f t="shared" si="66"/>
        <v>200763.38410000002</v>
      </c>
      <c r="L97" s="27">
        <f t="shared" si="90"/>
        <v>1257412.7741</v>
      </c>
      <c r="M97" s="29">
        <f t="shared" si="91"/>
        <v>1257412.7741</v>
      </c>
      <c r="O97" s="25">
        <f t="shared" si="68"/>
        <v>1103141.96316</v>
      </c>
      <c r="P97" s="27">
        <f t="shared" si="69"/>
        <v>209596.9730004</v>
      </c>
      <c r="Q97" s="27">
        <f t="shared" si="92"/>
        <v>1312738.9361604</v>
      </c>
      <c r="R97" s="29">
        <f t="shared" si="93"/>
        <v>1312738.9361604</v>
      </c>
      <c r="T97" s="25">
        <f t="shared" si="72"/>
        <v>1136236.2220548</v>
      </c>
      <c r="U97" s="27">
        <f t="shared" si="73"/>
        <v>215884.882190412</v>
      </c>
      <c r="V97" s="27">
        <f t="shared" si="94"/>
        <v>1352121.1042452119</v>
      </c>
      <c r="W97" s="29">
        <f t="shared" si="95"/>
        <v>1352121.1042452119</v>
      </c>
      <c r="Y97" s="29">
        <f t="shared" si="77"/>
        <v>3922272.814505612</v>
      </c>
    </row>
    <row r="98" spans="1:25" s="6" customFormat="1" ht="44.25" customHeight="1" x14ac:dyDescent="0.3">
      <c r="A98" s="124">
        <v>35</v>
      </c>
      <c r="B98" s="143" t="s">
        <v>198</v>
      </c>
      <c r="C98" s="144"/>
      <c r="D98" s="144"/>
      <c r="E98" s="144"/>
      <c r="F98" s="145"/>
      <c r="G98" s="20" t="s">
        <v>16</v>
      </c>
      <c r="H98" s="20">
        <v>1</v>
      </c>
      <c r="I98" s="13"/>
      <c r="J98" s="25">
        <f>+'ANEXO 3 - PROY COSTOS'!N98</f>
        <v>75285.475000000006</v>
      </c>
      <c r="K98" s="27">
        <f t="shared" si="66"/>
        <v>14304.240250000001</v>
      </c>
      <c r="L98" s="27">
        <f t="shared" si="90"/>
        <v>89589.715250000008</v>
      </c>
      <c r="M98" s="29">
        <f t="shared" si="91"/>
        <v>89589.715250000008</v>
      </c>
      <c r="O98" s="25">
        <f t="shared" si="68"/>
        <v>78598.035900000003</v>
      </c>
      <c r="P98" s="27">
        <f t="shared" si="69"/>
        <v>14933.626821</v>
      </c>
      <c r="Q98" s="27">
        <f t="shared" si="92"/>
        <v>93531.662721000001</v>
      </c>
      <c r="R98" s="29">
        <f t="shared" si="93"/>
        <v>93531.662721000001</v>
      </c>
      <c r="T98" s="25">
        <f t="shared" si="72"/>
        <v>80955.976976999998</v>
      </c>
      <c r="U98" s="27">
        <f t="shared" si="73"/>
        <v>15381.635625630001</v>
      </c>
      <c r="V98" s="27">
        <f t="shared" si="94"/>
        <v>96337.612602630004</v>
      </c>
      <c r="W98" s="29">
        <f t="shared" si="95"/>
        <v>96337.612602630004</v>
      </c>
      <c r="Y98" s="29">
        <f t="shared" si="77"/>
        <v>279458.99057363003</v>
      </c>
    </row>
    <row r="99" spans="1:25" s="6" customFormat="1" ht="44.25" customHeight="1" x14ac:dyDescent="0.3">
      <c r="A99" s="124">
        <v>36</v>
      </c>
      <c r="B99" s="143" t="s">
        <v>199</v>
      </c>
      <c r="C99" s="144"/>
      <c r="D99" s="144"/>
      <c r="E99" s="144"/>
      <c r="F99" s="145"/>
      <c r="G99" s="20" t="s">
        <v>16</v>
      </c>
      <c r="H99" s="20">
        <v>1</v>
      </c>
      <c r="I99" s="13"/>
      <c r="J99" s="25">
        <f>+'ANEXO 3 - PROY COSTOS'!N99</f>
        <v>333352.51500000001</v>
      </c>
      <c r="K99" s="27">
        <f t="shared" si="66"/>
        <v>63336.977850000003</v>
      </c>
      <c r="L99" s="27">
        <f t="shared" si="90"/>
        <v>396689.49285000004</v>
      </c>
      <c r="M99" s="29">
        <f t="shared" si="91"/>
        <v>396689.49285000004</v>
      </c>
      <c r="O99" s="25">
        <f t="shared" si="68"/>
        <v>348020.02566000004</v>
      </c>
      <c r="P99" s="27">
        <f t="shared" si="69"/>
        <v>66123.804875400005</v>
      </c>
      <c r="Q99" s="27">
        <f t="shared" si="92"/>
        <v>414143.83053540008</v>
      </c>
      <c r="R99" s="29">
        <f t="shared" si="93"/>
        <v>414143.83053540008</v>
      </c>
      <c r="T99" s="25">
        <f t="shared" si="72"/>
        <v>358460.62642980006</v>
      </c>
      <c r="U99" s="27">
        <f t="shared" si="73"/>
        <v>68107.51902166201</v>
      </c>
      <c r="V99" s="27">
        <f t="shared" si="94"/>
        <v>426568.14545146207</v>
      </c>
      <c r="W99" s="29">
        <f t="shared" si="95"/>
        <v>426568.14545146207</v>
      </c>
      <c r="Y99" s="29">
        <f t="shared" si="77"/>
        <v>1237401.4688368621</v>
      </c>
    </row>
    <row r="100" spans="1:25" s="6" customFormat="1" ht="44.25" customHeight="1" x14ac:dyDescent="0.3">
      <c r="A100" s="124">
        <v>37</v>
      </c>
      <c r="B100" s="143" t="s">
        <v>200</v>
      </c>
      <c r="C100" s="144"/>
      <c r="D100" s="144"/>
      <c r="E100" s="144"/>
      <c r="F100" s="145"/>
      <c r="G100" s="20" t="s">
        <v>16</v>
      </c>
      <c r="H100" s="20">
        <v>1</v>
      </c>
      <c r="I100" s="13"/>
      <c r="J100" s="25">
        <f>+'ANEXO 3 - PROY COSTOS'!N100</f>
        <v>346358.93</v>
      </c>
      <c r="K100" s="27">
        <f t="shared" si="66"/>
        <v>65808.1967</v>
      </c>
      <c r="L100" s="27">
        <f t="shared" si="90"/>
        <v>412167.12670000002</v>
      </c>
      <c r="M100" s="29">
        <f t="shared" si="91"/>
        <v>412167.12670000002</v>
      </c>
      <c r="O100" s="25">
        <f t="shared" si="68"/>
        <v>361598.72291999997</v>
      </c>
      <c r="P100" s="27">
        <f t="shared" si="69"/>
        <v>68703.757354799993</v>
      </c>
      <c r="Q100" s="27">
        <f t="shared" si="92"/>
        <v>430302.48027479998</v>
      </c>
      <c r="R100" s="29">
        <f t="shared" si="93"/>
        <v>430302.48027479998</v>
      </c>
      <c r="T100" s="25">
        <f t="shared" si="72"/>
        <v>372446.68460759998</v>
      </c>
      <c r="U100" s="27">
        <f t="shared" si="73"/>
        <v>70764.870075443992</v>
      </c>
      <c r="V100" s="27">
        <f t="shared" si="94"/>
        <v>443211.55468304397</v>
      </c>
      <c r="W100" s="29">
        <f t="shared" si="95"/>
        <v>443211.55468304397</v>
      </c>
      <c r="Y100" s="29">
        <f t="shared" si="77"/>
        <v>1285681.161657844</v>
      </c>
    </row>
    <row r="101" spans="1:25" s="6" customFormat="1" ht="44.25" customHeight="1" x14ac:dyDescent="0.3">
      <c r="A101" s="124">
        <v>38</v>
      </c>
      <c r="B101" s="143" t="s">
        <v>201</v>
      </c>
      <c r="C101" s="144"/>
      <c r="D101" s="144"/>
      <c r="E101" s="144"/>
      <c r="F101" s="145"/>
      <c r="G101" s="20" t="s">
        <v>16</v>
      </c>
      <c r="H101" s="20">
        <v>1</v>
      </c>
      <c r="I101" s="13"/>
      <c r="J101" s="25">
        <f>+'ANEXO 3 - PROY COSTOS'!N101</f>
        <v>512423.20499999996</v>
      </c>
      <c r="K101" s="27">
        <f t="shared" si="66"/>
        <v>97360.408949999997</v>
      </c>
      <c r="L101" s="27">
        <f t="shared" si="90"/>
        <v>609783.61394999991</v>
      </c>
      <c r="M101" s="29">
        <f t="shared" si="91"/>
        <v>609783.61394999991</v>
      </c>
      <c r="O101" s="25">
        <f t="shared" si="68"/>
        <v>534969.82601999992</v>
      </c>
      <c r="P101" s="27">
        <f t="shared" si="69"/>
        <v>101644.26694379999</v>
      </c>
      <c r="Q101" s="27">
        <f t="shared" si="92"/>
        <v>636614.09296379995</v>
      </c>
      <c r="R101" s="29">
        <f t="shared" si="93"/>
        <v>636614.09296379995</v>
      </c>
      <c r="T101" s="25">
        <f t="shared" si="72"/>
        <v>551018.92080059997</v>
      </c>
      <c r="U101" s="27">
        <f t="shared" si="73"/>
        <v>104693.594952114</v>
      </c>
      <c r="V101" s="27">
        <f t="shared" si="94"/>
        <v>655712.51575271401</v>
      </c>
      <c r="W101" s="29">
        <f t="shared" si="95"/>
        <v>655712.51575271401</v>
      </c>
      <c r="Y101" s="29">
        <f t="shared" si="77"/>
        <v>1902110.2226665139</v>
      </c>
    </row>
    <row r="102" spans="1:25" s="6" customFormat="1" ht="44.25" customHeight="1" x14ac:dyDescent="0.3">
      <c r="A102" s="124">
        <v>39</v>
      </c>
      <c r="B102" s="143" t="s">
        <v>202</v>
      </c>
      <c r="C102" s="144"/>
      <c r="D102" s="144"/>
      <c r="E102" s="144"/>
      <c r="F102" s="145"/>
      <c r="G102" s="20" t="s">
        <v>16</v>
      </c>
      <c r="H102" s="20">
        <v>1</v>
      </c>
      <c r="I102" s="13"/>
      <c r="J102" s="25">
        <f>+'ANEXO 3 - PROY COSTOS'!N102</f>
        <v>2367500</v>
      </c>
      <c r="K102" s="27">
        <f t="shared" ref="K102:K105" si="96">J102*19%</f>
        <v>449825</v>
      </c>
      <c r="L102" s="27">
        <f t="shared" si="90"/>
        <v>2817325</v>
      </c>
      <c r="M102" s="29">
        <f t="shared" si="91"/>
        <v>2817325</v>
      </c>
      <c r="O102" s="25">
        <f t="shared" ref="O102:O105" si="97">J102+(J102*4.4%)</f>
        <v>2471670</v>
      </c>
      <c r="P102" s="27">
        <f t="shared" ref="P102:P105" si="98">O102*19%</f>
        <v>469617.3</v>
      </c>
      <c r="Q102" s="27">
        <f t="shared" si="92"/>
        <v>2941287.3</v>
      </c>
      <c r="R102" s="29">
        <f t="shared" si="93"/>
        <v>2941287.3</v>
      </c>
      <c r="T102" s="25">
        <f t="shared" ref="T102:T105" si="99">O102+(O102*3%)</f>
        <v>2545820.1</v>
      </c>
      <c r="U102" s="27">
        <f t="shared" ref="U102:U105" si="100">T102*19%</f>
        <v>483705.81900000002</v>
      </c>
      <c r="V102" s="27">
        <f t="shared" ref="V102:V105" si="101">+U102+T102</f>
        <v>3029525.9190000002</v>
      </c>
      <c r="W102" s="29">
        <f t="shared" ref="W102:W104" si="102">+V102*H102</f>
        <v>3029525.9190000002</v>
      </c>
      <c r="Y102" s="29">
        <f t="shared" ref="Y102:Y105" si="103">+W102+R102+M102</f>
        <v>8788138.2190000005</v>
      </c>
    </row>
    <row r="103" spans="1:25" s="6" customFormat="1" ht="44.25" customHeight="1" x14ac:dyDescent="0.3">
      <c r="A103" s="124">
        <v>40</v>
      </c>
      <c r="B103" s="156" t="s">
        <v>206</v>
      </c>
      <c r="C103" s="157"/>
      <c r="D103" s="157"/>
      <c r="E103" s="157"/>
      <c r="F103" s="158"/>
      <c r="G103" s="20" t="s">
        <v>16</v>
      </c>
      <c r="H103" s="20">
        <v>1</v>
      </c>
      <c r="I103" s="13"/>
      <c r="J103" s="25">
        <f>+'ANEXO 3 - PROY COSTOS'!N103</f>
        <v>2325000</v>
      </c>
      <c r="K103" s="27">
        <f t="shared" si="96"/>
        <v>441750</v>
      </c>
      <c r="L103" s="27">
        <f t="shared" si="90"/>
        <v>2766750</v>
      </c>
      <c r="M103" s="29">
        <f t="shared" si="91"/>
        <v>2766750</v>
      </c>
      <c r="O103" s="25">
        <f t="shared" si="97"/>
        <v>2427300</v>
      </c>
      <c r="P103" s="27">
        <f t="shared" si="98"/>
        <v>461187</v>
      </c>
      <c r="Q103" s="27">
        <f t="shared" si="92"/>
        <v>2888487</v>
      </c>
      <c r="R103" s="29">
        <f t="shared" si="93"/>
        <v>2888487</v>
      </c>
      <c r="T103" s="25">
        <f t="shared" si="99"/>
        <v>2500119</v>
      </c>
      <c r="U103" s="27">
        <f t="shared" si="100"/>
        <v>475022.61</v>
      </c>
      <c r="V103" s="27">
        <f t="shared" si="101"/>
        <v>2975141.61</v>
      </c>
      <c r="W103" s="29">
        <f t="shared" si="102"/>
        <v>2975141.61</v>
      </c>
      <c r="Y103" s="29">
        <f t="shared" si="103"/>
        <v>8630378.6099999994</v>
      </c>
    </row>
    <row r="104" spans="1:25" s="6" customFormat="1" ht="44.25" customHeight="1" x14ac:dyDescent="0.3">
      <c r="A104" s="124">
        <v>41</v>
      </c>
      <c r="B104" s="156" t="s">
        <v>207</v>
      </c>
      <c r="C104" s="157"/>
      <c r="D104" s="157"/>
      <c r="E104" s="157"/>
      <c r="F104" s="158"/>
      <c r="G104" s="20" t="s">
        <v>16</v>
      </c>
      <c r="H104" s="20">
        <v>1</v>
      </c>
      <c r="I104" s="13"/>
      <c r="J104" s="25">
        <f>+'ANEXO 3 - PROY COSTOS'!N104</f>
        <v>2968000</v>
      </c>
      <c r="K104" s="27">
        <f t="shared" si="96"/>
        <v>563920</v>
      </c>
      <c r="L104" s="27">
        <f t="shared" si="90"/>
        <v>3531920</v>
      </c>
      <c r="M104" s="29">
        <f t="shared" si="91"/>
        <v>3531920</v>
      </c>
      <c r="O104" s="25">
        <f t="shared" si="97"/>
        <v>3098592</v>
      </c>
      <c r="P104" s="27">
        <f t="shared" si="98"/>
        <v>588732.48</v>
      </c>
      <c r="Q104" s="27">
        <f t="shared" si="92"/>
        <v>3687324.48</v>
      </c>
      <c r="R104" s="29">
        <f t="shared" si="93"/>
        <v>3687324.48</v>
      </c>
      <c r="T104" s="25">
        <f t="shared" si="99"/>
        <v>3191549.76</v>
      </c>
      <c r="U104" s="27">
        <f t="shared" si="100"/>
        <v>606394.45439999993</v>
      </c>
      <c r="V104" s="27">
        <f t="shared" si="101"/>
        <v>3797944.2143999999</v>
      </c>
      <c r="W104" s="29">
        <f t="shared" si="102"/>
        <v>3797944.2143999999</v>
      </c>
      <c r="Y104" s="29">
        <f t="shared" si="103"/>
        <v>11017188.694399999</v>
      </c>
    </row>
    <row r="105" spans="1:25" s="6" customFormat="1" ht="44.25" customHeight="1" thickBot="1" x14ac:dyDescent="0.35">
      <c r="A105" s="102">
        <v>42</v>
      </c>
      <c r="B105" s="163" t="s">
        <v>208</v>
      </c>
      <c r="C105" s="164"/>
      <c r="D105" s="164"/>
      <c r="E105" s="164"/>
      <c r="F105" s="165"/>
      <c r="G105" s="20" t="s">
        <v>16</v>
      </c>
      <c r="H105" s="20">
        <v>1</v>
      </c>
      <c r="I105" s="13"/>
      <c r="J105" s="25">
        <f>+'ANEXO 3 - PROY COSTOS'!N105</f>
        <v>2968000</v>
      </c>
      <c r="K105" s="27">
        <f t="shared" si="96"/>
        <v>563920</v>
      </c>
      <c r="L105" s="27">
        <f t="shared" si="90"/>
        <v>3531920</v>
      </c>
      <c r="M105" s="29">
        <f t="shared" si="91"/>
        <v>3531920</v>
      </c>
      <c r="O105" s="25">
        <f t="shared" si="97"/>
        <v>3098592</v>
      </c>
      <c r="P105" s="27">
        <f t="shared" si="98"/>
        <v>588732.48</v>
      </c>
      <c r="Q105" s="27">
        <f t="shared" si="92"/>
        <v>3687324.48</v>
      </c>
      <c r="R105" s="29">
        <f t="shared" si="93"/>
        <v>3687324.48</v>
      </c>
      <c r="T105" s="25">
        <f t="shared" si="99"/>
        <v>3191549.76</v>
      </c>
      <c r="U105" s="27">
        <f t="shared" si="100"/>
        <v>606394.45439999993</v>
      </c>
      <c r="V105" s="27">
        <f t="shared" si="101"/>
        <v>3797944.2143999999</v>
      </c>
      <c r="W105" s="29">
        <f t="shared" si="95"/>
        <v>3797944.2143999999</v>
      </c>
      <c r="Y105" s="29">
        <f t="shared" si="103"/>
        <v>11017188.694399999</v>
      </c>
    </row>
    <row r="106" spans="1:25" s="6" customFormat="1" ht="45.75" customHeight="1" x14ac:dyDescent="0.3">
      <c r="A106" s="147" t="s">
        <v>17</v>
      </c>
      <c r="B106" s="147"/>
      <c r="C106" s="147"/>
      <c r="D106" s="147"/>
      <c r="E106" s="147"/>
      <c r="F106" s="147"/>
      <c r="G106" s="147"/>
      <c r="H106" s="147"/>
      <c r="I106" s="14"/>
      <c r="J106" s="15"/>
      <c r="K106" s="15"/>
      <c r="M106" s="32">
        <f>SUM(M64:M105)</f>
        <v>79250484.507446945</v>
      </c>
      <c r="O106" s="15"/>
      <c r="P106" s="15"/>
      <c r="R106" s="32">
        <f>SUM(R64:R105)</f>
        <v>82737505.82577458</v>
      </c>
      <c r="T106" s="15"/>
      <c r="U106" s="15"/>
      <c r="W106" s="32">
        <f>SUM(W64:W105)</f>
        <v>85219631.000547826</v>
      </c>
      <c r="Y106" s="32">
        <f>SUM(Y64:Y105)</f>
        <v>247207621.33376938</v>
      </c>
    </row>
    <row r="107" spans="1:25" s="6" customFormat="1" ht="45.75" customHeight="1" x14ac:dyDescent="0.3">
      <c r="A107" s="166" t="s">
        <v>212</v>
      </c>
      <c r="B107" s="167"/>
      <c r="C107" s="167"/>
      <c r="D107" s="167"/>
      <c r="E107" s="167"/>
      <c r="F107" s="167"/>
      <c r="G107" s="167"/>
      <c r="H107" s="168"/>
      <c r="I107" s="14"/>
      <c r="J107" s="15"/>
      <c r="K107" s="15"/>
      <c r="M107" s="62" t="s">
        <v>26</v>
      </c>
      <c r="O107" s="15"/>
      <c r="P107" s="15"/>
      <c r="R107" s="62" t="s">
        <v>186</v>
      </c>
      <c r="T107" s="15"/>
      <c r="U107" s="15"/>
      <c r="W107" s="62" t="s">
        <v>187</v>
      </c>
      <c r="Y107" s="132" t="s">
        <v>215</v>
      </c>
    </row>
    <row r="108" spans="1:25" s="6" customFormat="1" ht="28.5" customHeight="1" x14ac:dyDescent="0.3">
      <c r="A108" s="160" t="s">
        <v>178</v>
      </c>
      <c r="B108" s="160"/>
      <c r="C108" s="160"/>
      <c r="D108" s="160"/>
      <c r="E108" s="160"/>
      <c r="F108" s="160"/>
      <c r="G108" s="160"/>
      <c r="H108" s="160"/>
      <c r="I108" s="14"/>
      <c r="J108" s="9"/>
      <c r="K108" s="9"/>
      <c r="M108" s="133">
        <f>+M61</f>
        <v>29732385.38665707</v>
      </c>
      <c r="O108" s="9"/>
      <c r="P108" s="9"/>
      <c r="R108" s="133">
        <f>R61</f>
        <v>413238418.98468214</v>
      </c>
      <c r="T108" s="9"/>
      <c r="U108" s="9"/>
      <c r="W108" s="133">
        <f>+W61</f>
        <v>393663742.90024251</v>
      </c>
      <c r="Y108" s="133">
        <f>+Y61</f>
        <v>836634547.27158165</v>
      </c>
    </row>
    <row r="109" spans="1:25" s="6" customFormat="1" ht="24" customHeight="1" x14ac:dyDescent="0.3">
      <c r="A109" s="169" t="s">
        <v>213</v>
      </c>
      <c r="B109" s="169"/>
      <c r="C109" s="169"/>
      <c r="D109" s="169"/>
      <c r="E109" s="169"/>
      <c r="F109" s="169"/>
      <c r="G109" s="169"/>
      <c r="H109" s="169"/>
      <c r="I109" s="8"/>
      <c r="J109" s="9"/>
      <c r="K109" s="9"/>
      <c r="L109" s="9"/>
      <c r="M109" s="134">
        <v>7267614.6100000003</v>
      </c>
      <c r="R109" s="134">
        <v>256761581.02000001</v>
      </c>
      <c r="W109" s="134">
        <v>238927924.09999999</v>
      </c>
      <c r="Y109" s="137">
        <f>SUM(M109+R109+W109)</f>
        <v>502957119.73000002</v>
      </c>
    </row>
    <row r="110" spans="1:25" s="6" customFormat="1" ht="24" customHeight="1" x14ac:dyDescent="0.3">
      <c r="A110" s="170" t="s">
        <v>214</v>
      </c>
      <c r="B110" s="170"/>
      <c r="C110" s="170"/>
      <c r="D110" s="170"/>
      <c r="E110" s="170"/>
      <c r="F110" s="170"/>
      <c r="G110" s="170"/>
      <c r="H110" s="170"/>
      <c r="I110" s="8"/>
      <c r="J110" s="9"/>
      <c r="K110" s="9"/>
      <c r="L110" s="9"/>
      <c r="M110" s="135">
        <f>SUM(M108:M109)</f>
        <v>36999999.996657073</v>
      </c>
      <c r="R110" s="136">
        <f>SUM(R108:R109)</f>
        <v>670000000.00468218</v>
      </c>
      <c r="W110" s="136">
        <f>SUM(W108:W109)</f>
        <v>632591667.00024247</v>
      </c>
      <c r="Y110" s="135">
        <f>SUM(Y108:Y109)</f>
        <v>1339591667.0015817</v>
      </c>
    </row>
    <row r="113" spans="1:21" ht="16.5" x14ac:dyDescent="0.3">
      <c r="B113" s="40" t="s">
        <v>20</v>
      </c>
      <c r="C113" s="40"/>
      <c r="D113" s="41"/>
      <c r="E113" s="41"/>
      <c r="F113" s="41"/>
      <c r="G113" s="41"/>
      <c r="H113" s="41"/>
      <c r="I113" s="41"/>
      <c r="J113" s="14"/>
      <c r="K113" s="14"/>
      <c r="L113" s="14"/>
      <c r="M113" s="14"/>
      <c r="N113" s="9"/>
      <c r="O113" s="19"/>
      <c r="P113" s="19"/>
      <c r="Q113" s="31"/>
    </row>
    <row r="114" spans="1:21" s="19" customFormat="1" ht="27.75" customHeight="1" x14ac:dyDescent="0.3">
      <c r="A114" s="16"/>
      <c r="B114" s="161" t="s">
        <v>34</v>
      </c>
      <c r="C114" s="161"/>
      <c r="D114" s="161"/>
      <c r="E114" s="161"/>
      <c r="F114" s="161"/>
      <c r="G114" s="161"/>
      <c r="H114" s="161"/>
      <c r="I114" s="66"/>
      <c r="J114" s="14"/>
      <c r="K114" s="14"/>
      <c r="L114" s="14"/>
      <c r="M114" s="14"/>
      <c r="N114" s="9"/>
      <c r="Q114" s="31"/>
      <c r="R114" s="16"/>
      <c r="S114" s="16"/>
      <c r="T114" s="16"/>
      <c r="U114" s="16"/>
    </row>
    <row r="115" spans="1:21" s="19" customFormat="1" ht="40.5" customHeight="1" x14ac:dyDescent="0.3">
      <c r="A115" s="16"/>
      <c r="B115" s="161" t="s">
        <v>205</v>
      </c>
      <c r="C115" s="161"/>
      <c r="D115" s="161"/>
      <c r="E115" s="161"/>
      <c r="F115" s="161"/>
      <c r="G115" s="161"/>
      <c r="H115" s="161"/>
      <c r="I115" s="70"/>
      <c r="J115" s="14"/>
      <c r="K115" s="14"/>
      <c r="L115" s="14"/>
      <c r="M115" s="14"/>
      <c r="N115" s="9"/>
      <c r="Q115" s="31"/>
      <c r="R115" s="16"/>
      <c r="S115" s="16"/>
      <c r="T115" s="16"/>
      <c r="U115" s="16"/>
    </row>
    <row r="116" spans="1:21" ht="50.25" customHeight="1" x14ac:dyDescent="0.3">
      <c r="B116" s="161" t="s">
        <v>35</v>
      </c>
      <c r="C116" s="161"/>
      <c r="D116" s="161"/>
      <c r="E116" s="161"/>
      <c r="F116" s="161"/>
      <c r="G116" s="161"/>
      <c r="H116" s="161"/>
      <c r="I116" s="70"/>
      <c r="J116" s="14"/>
      <c r="K116" s="14"/>
      <c r="L116" s="14"/>
      <c r="M116" s="14"/>
      <c r="N116" s="9"/>
      <c r="O116" s="19"/>
      <c r="P116" s="19"/>
      <c r="Q116" s="31"/>
    </row>
    <row r="117" spans="1:21" x14ac:dyDescent="0.2">
      <c r="J117" s="18"/>
      <c r="K117" s="18"/>
      <c r="L117" s="18"/>
      <c r="M117" s="18"/>
      <c r="N117" s="19"/>
      <c r="O117" s="19"/>
      <c r="P117" s="19"/>
      <c r="Q117" s="31"/>
    </row>
    <row r="118" spans="1:21" s="35" customFormat="1" ht="16.5" customHeight="1" x14ac:dyDescent="0.3">
      <c r="A118" s="67"/>
      <c r="B118" s="162" t="s">
        <v>211</v>
      </c>
      <c r="C118" s="162"/>
      <c r="D118" s="162"/>
      <c r="E118" s="162"/>
      <c r="F118" s="34"/>
      <c r="G118" s="34"/>
      <c r="H118" s="34"/>
      <c r="I118" s="71"/>
      <c r="J118" s="68"/>
      <c r="M118" s="68"/>
      <c r="N118" s="68"/>
      <c r="Q118" s="68"/>
      <c r="R118" s="68"/>
    </row>
    <row r="119" spans="1:21" s="35" customFormat="1" ht="16.5" customHeight="1" x14ac:dyDescent="0.3">
      <c r="A119" s="61"/>
      <c r="B119" s="159" t="s">
        <v>210</v>
      </c>
      <c r="C119" s="159"/>
      <c r="D119" s="36"/>
      <c r="E119" s="36"/>
      <c r="F119" s="34"/>
      <c r="G119" s="34"/>
      <c r="H119" s="34"/>
      <c r="I119" s="71"/>
      <c r="J119" s="68"/>
      <c r="M119" s="68"/>
      <c r="N119" s="68"/>
      <c r="Q119" s="68"/>
      <c r="R119" s="68"/>
    </row>
    <row r="120" spans="1:21" s="35" customFormat="1" ht="16.5" x14ac:dyDescent="0.3">
      <c r="A120" s="61"/>
      <c r="B120" s="37"/>
      <c r="C120" s="37"/>
      <c r="D120" s="37"/>
      <c r="E120" s="37"/>
      <c r="F120" s="38"/>
      <c r="G120" s="38"/>
      <c r="H120" s="38"/>
      <c r="I120" s="71"/>
      <c r="J120" s="68"/>
      <c r="M120" s="68"/>
      <c r="N120" s="68"/>
      <c r="Q120" s="68"/>
      <c r="R120" s="68"/>
    </row>
    <row r="121" spans="1:21" s="35" customFormat="1" ht="16.5" x14ac:dyDescent="0.3">
      <c r="A121" s="61"/>
      <c r="B121" s="37"/>
      <c r="C121" s="37"/>
      <c r="D121" s="37"/>
      <c r="E121" s="37"/>
      <c r="F121" s="38"/>
      <c r="G121" s="38"/>
      <c r="H121" s="38"/>
      <c r="I121" s="71"/>
      <c r="J121" s="68"/>
      <c r="M121" s="68"/>
      <c r="N121" s="68"/>
      <c r="Q121" s="68"/>
      <c r="R121" s="68"/>
    </row>
    <row r="122" spans="1:21" s="35" customFormat="1" ht="16.5" x14ac:dyDescent="0.3">
      <c r="A122" s="61"/>
      <c r="B122" s="37"/>
      <c r="C122" s="37"/>
      <c r="D122" s="37"/>
      <c r="E122" s="37"/>
      <c r="F122" s="38"/>
      <c r="G122" s="38"/>
      <c r="H122" s="38"/>
      <c r="I122" s="71"/>
      <c r="J122" s="68"/>
      <c r="M122" s="68"/>
      <c r="N122" s="68"/>
      <c r="Q122" s="68"/>
      <c r="R122" s="68"/>
    </row>
    <row r="123" spans="1:21" s="35" customFormat="1" ht="16.5" x14ac:dyDescent="0.3">
      <c r="A123" s="61"/>
      <c r="B123" s="37"/>
      <c r="C123" s="37"/>
      <c r="D123" s="37"/>
      <c r="E123" s="37"/>
      <c r="F123" s="38"/>
      <c r="G123" s="38"/>
      <c r="H123" s="38"/>
      <c r="I123" s="71"/>
      <c r="J123" s="68"/>
      <c r="M123" s="68"/>
      <c r="N123" s="68"/>
      <c r="Q123" s="68"/>
      <c r="R123" s="68"/>
    </row>
    <row r="124" spans="1:21" s="35" customFormat="1" ht="16.5" x14ac:dyDescent="0.3">
      <c r="A124" s="61"/>
      <c r="B124" s="37"/>
      <c r="C124" s="37"/>
      <c r="D124" s="37"/>
      <c r="E124" s="37"/>
      <c r="F124" s="38"/>
      <c r="G124" s="38"/>
      <c r="H124" s="38"/>
      <c r="I124" s="71"/>
      <c r="J124" s="68"/>
      <c r="M124" s="68"/>
      <c r="N124" s="68"/>
      <c r="Q124" s="68"/>
      <c r="R124" s="68"/>
    </row>
    <row r="125" spans="1:21" s="35" customFormat="1" ht="16.5" x14ac:dyDescent="0.3">
      <c r="A125" s="61"/>
      <c r="B125" s="39"/>
      <c r="C125" s="39"/>
      <c r="D125" s="37"/>
      <c r="E125" s="37"/>
      <c r="F125" s="38"/>
      <c r="G125" s="38"/>
      <c r="H125" s="38"/>
      <c r="I125" s="71"/>
      <c r="J125" s="68"/>
      <c r="M125" s="68"/>
      <c r="N125" s="68"/>
      <c r="Q125" s="68"/>
      <c r="R125" s="68"/>
    </row>
    <row r="126" spans="1:21" s="35" customFormat="1" ht="16.5" x14ac:dyDescent="0.3">
      <c r="A126" s="61"/>
      <c r="B126" s="39"/>
      <c r="C126" s="39"/>
      <c r="D126" s="37"/>
      <c r="E126" s="37"/>
      <c r="F126" s="38"/>
      <c r="G126" s="38"/>
      <c r="H126" s="38"/>
      <c r="I126" s="71"/>
      <c r="J126" s="68"/>
      <c r="M126" s="68"/>
      <c r="N126" s="68"/>
      <c r="Q126" s="68"/>
      <c r="R126" s="68"/>
    </row>
    <row r="127" spans="1:21" x14ac:dyDescent="0.2">
      <c r="J127" s="18"/>
      <c r="K127" s="18"/>
      <c r="L127" s="18"/>
      <c r="M127" s="18"/>
      <c r="N127" s="19"/>
      <c r="O127" s="19"/>
      <c r="P127" s="19"/>
      <c r="Q127" s="31"/>
    </row>
    <row r="128" spans="1:21" x14ac:dyDescent="0.2">
      <c r="J128" s="18"/>
      <c r="K128" s="18"/>
      <c r="L128" s="18"/>
      <c r="M128" s="18"/>
      <c r="N128" s="19"/>
      <c r="O128" s="19"/>
      <c r="P128" s="19"/>
      <c r="Q128" s="31"/>
    </row>
    <row r="129" spans="10:17" x14ac:dyDescent="0.2">
      <c r="J129" s="18"/>
      <c r="K129" s="18"/>
      <c r="L129" s="18"/>
      <c r="M129" s="18"/>
      <c r="N129" s="19"/>
      <c r="O129" s="19"/>
      <c r="P129" s="19"/>
      <c r="Q129" s="31"/>
    </row>
    <row r="130" spans="10:17" x14ac:dyDescent="0.2">
      <c r="J130" s="18"/>
      <c r="K130" s="18"/>
      <c r="L130" s="18"/>
      <c r="M130" s="18"/>
      <c r="N130" s="19"/>
      <c r="O130" s="19"/>
      <c r="P130" s="19"/>
      <c r="Q130" s="31"/>
    </row>
  </sheetData>
  <mergeCells count="65">
    <mergeCell ref="B103:F103"/>
    <mergeCell ref="B104:F104"/>
    <mergeCell ref="B119:C119"/>
    <mergeCell ref="A106:H106"/>
    <mergeCell ref="A108:H108"/>
    <mergeCell ref="B114:H114"/>
    <mergeCell ref="B115:H115"/>
    <mergeCell ref="B116:H116"/>
    <mergeCell ref="B118:C118"/>
    <mergeCell ref="D118:E118"/>
    <mergeCell ref="B105:F105"/>
    <mergeCell ref="A107:H107"/>
    <mergeCell ref="A109:H109"/>
    <mergeCell ref="A110:H110"/>
    <mergeCell ref="B93:F93"/>
    <mergeCell ref="B94:F94"/>
    <mergeCell ref="B95:F95"/>
    <mergeCell ref="B79:F79"/>
    <mergeCell ref="B80:F80"/>
    <mergeCell ref="B81:F81"/>
    <mergeCell ref="B82:F82"/>
    <mergeCell ref="B83:F83"/>
    <mergeCell ref="B84:F84"/>
    <mergeCell ref="B85:F85"/>
    <mergeCell ref="B86:F86"/>
    <mergeCell ref="B87:F87"/>
    <mergeCell ref="B88:F88"/>
    <mergeCell ref="B89:F89"/>
    <mergeCell ref="B90:F90"/>
    <mergeCell ref="B91:F91"/>
    <mergeCell ref="B96:F96"/>
    <mergeCell ref="B102:F102"/>
    <mergeCell ref="B98:F98"/>
    <mergeCell ref="B99:F99"/>
    <mergeCell ref="B100:F100"/>
    <mergeCell ref="B101:F101"/>
    <mergeCell ref="B97:F97"/>
    <mergeCell ref="B92:F92"/>
    <mergeCell ref="B78:F78"/>
    <mergeCell ref="B67:F67"/>
    <mergeCell ref="B68:F68"/>
    <mergeCell ref="B69:F69"/>
    <mergeCell ref="B70:F70"/>
    <mergeCell ref="B71:F71"/>
    <mergeCell ref="B72:F72"/>
    <mergeCell ref="B73:F73"/>
    <mergeCell ref="B74:F74"/>
    <mergeCell ref="B75:F75"/>
    <mergeCell ref="B76:F76"/>
    <mergeCell ref="B77:F77"/>
    <mergeCell ref="B66:F66"/>
    <mergeCell ref="T5:W5"/>
    <mergeCell ref="A61:H61"/>
    <mergeCell ref="A5:H5"/>
    <mergeCell ref="J5:M5"/>
    <mergeCell ref="O5:R5"/>
    <mergeCell ref="A62:H62"/>
    <mergeCell ref="B63:F63"/>
    <mergeCell ref="B64:F64"/>
    <mergeCell ref="B65:F65"/>
    <mergeCell ref="A1:Y1"/>
    <mergeCell ref="A2:B2"/>
    <mergeCell ref="C2:Y2"/>
    <mergeCell ref="A4:H4"/>
    <mergeCell ref="J4:Y4"/>
  </mergeCells>
  <pageMargins left="0.7" right="0.7" top="0.75" bottom="0.75" header="0.3" footer="0.3"/>
  <pageSetup paperSize="120" scale="34"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 1 - COTIZACIONES</vt:lpstr>
      <vt:lpstr>ANEXO 2 - HISTORICO</vt:lpstr>
      <vt:lpstr>ANEXO 3 - PROY COSTOS</vt:lpstr>
      <vt:lpstr>ANEXO 4 - ESTUDIO DEL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Leydi Marcela Rodriguez Baez</dc:creator>
  <cp:lastModifiedBy>Ludy Mayerly Silva Alvarez</cp:lastModifiedBy>
  <cp:lastPrinted>2024-11-05T14:24:37Z</cp:lastPrinted>
  <dcterms:created xsi:type="dcterms:W3CDTF">2024-01-31T14:07:07Z</dcterms:created>
  <dcterms:modified xsi:type="dcterms:W3CDTF">2026-10-21T22:49:21Z</dcterms:modified>
</cp:coreProperties>
</file>