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c894ceb8c2bda720/12 abril/Documents/CNMH/Procesos seleccion/Extintores/"/>
    </mc:Choice>
  </mc:AlternateContent>
  <xr:revisionPtr revIDLastSave="0" documentId="8_{CED8583C-4D20-4D09-B685-A4B461715645}" xr6:coauthVersionLast="47" xr6:coauthVersionMax="47" xr10:uidLastSave="{00000000-0000-0000-0000-000000000000}"/>
  <bookViews>
    <workbookView xWindow="-108" yWindow="-108" windowWidth="23256" windowHeight="12456" tabRatio="959" firstSheet="1" activeTab="1" xr2:uid="{00000000-000D-0000-FFFF-FFFF00000000}"/>
  </bookViews>
  <sheets>
    <sheet name="Analisis Estadistico" sheetId="12" state="hidden" r:id="rId1"/>
    <sheet name="Consolidado Cotizaciones" sheetId="33" r:id="rId2"/>
    <sheet name="Analisis Geometrica" sheetId="19" state="hidden" r:id="rId3"/>
    <sheet name="Analisis Armonica" sheetId="20" state="hidden" r:id="rId4"/>
    <sheet name="Analisis M.Aritmetica" sheetId="27" state="hidden" r:id="rId5"/>
    <sheet name="Analisis M.Geometrica" sheetId="28" state="hidden" r:id="rId6"/>
    <sheet name="Analisis M.Armonica" sheetId="29" state="hidden" r:id="rId7"/>
    <sheet name="Historicos" sheetId="31" state="hidden" r:id="rId8"/>
    <sheet name="Presupuesto Oficial" sheetId="4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3" l="1"/>
  <c r="F7" i="33" s="1"/>
  <c r="E6" i="33"/>
  <c r="F6" i="33" s="1"/>
  <c r="D8" i="33"/>
  <c r="F8" i="33" l="1"/>
  <c r="E8" i="33"/>
  <c r="D7" i="48" l="1"/>
  <c r="E6" i="48" l="1"/>
  <c r="E5" i="48"/>
  <c r="E7" i="48" l="1"/>
  <c r="G8" i="31"/>
  <c r="F8" i="31"/>
  <c r="F7" i="31"/>
  <c r="G7" i="31" s="1"/>
  <c r="H8" i="31" l="1"/>
  <c r="I8" i="31" s="1"/>
  <c r="H7" i="31"/>
  <c r="I7" i="31" s="1"/>
  <c r="G7" i="27"/>
  <c r="E9" i="29"/>
  <c r="D9" i="29"/>
  <c r="C9" i="29"/>
  <c r="G8" i="29"/>
  <c r="H8" i="29" s="1"/>
  <c r="F8" i="29"/>
  <c r="G7" i="29"/>
  <c r="F7" i="29"/>
  <c r="E9" i="28"/>
  <c r="D9" i="28"/>
  <c r="C9" i="28"/>
  <c r="G8" i="28"/>
  <c r="H8" i="28" s="1"/>
  <c r="F8" i="28"/>
  <c r="G7" i="28"/>
  <c r="F7" i="28"/>
  <c r="G8" i="27"/>
  <c r="H8" i="27" s="1"/>
  <c r="E9" i="27"/>
  <c r="D9" i="27"/>
  <c r="C9" i="27"/>
  <c r="F8" i="27"/>
  <c r="F7" i="27"/>
  <c r="G9" i="27" l="1"/>
  <c r="H7" i="27"/>
  <c r="G9" i="29"/>
  <c r="H7" i="29"/>
  <c r="G9" i="28"/>
  <c r="H7" i="28"/>
  <c r="F9" i="29"/>
  <c r="F9" i="28"/>
  <c r="F9" i="27"/>
  <c r="G15" i="20" l="1"/>
  <c r="H15" i="20" s="1"/>
  <c r="F15" i="20"/>
  <c r="F14" i="20"/>
  <c r="F13" i="20"/>
  <c r="F11" i="20"/>
  <c r="F9" i="20"/>
  <c r="F10" i="20"/>
  <c r="F8" i="20"/>
  <c r="F17" i="20" s="1"/>
  <c r="E17" i="20"/>
  <c r="D17" i="20"/>
  <c r="C17" i="20"/>
  <c r="G17" i="20" s="1"/>
  <c r="G14" i="20"/>
  <c r="G13" i="20"/>
  <c r="G11" i="20"/>
  <c r="H11" i="20" s="1"/>
  <c r="G10" i="20"/>
  <c r="G9" i="20"/>
  <c r="H9" i="20" s="1"/>
  <c r="G8" i="20"/>
  <c r="F15" i="19"/>
  <c r="G9" i="19"/>
  <c r="G8" i="19"/>
  <c r="G15" i="19"/>
  <c r="G14" i="19"/>
  <c r="G13" i="19"/>
  <c r="G11" i="19"/>
  <c r="G10" i="19"/>
  <c r="F14" i="19"/>
  <c r="F13" i="19"/>
  <c r="F9" i="19"/>
  <c r="F10" i="19"/>
  <c r="F11" i="19"/>
  <c r="F8" i="19"/>
  <c r="H8" i="19" s="1"/>
  <c r="E17" i="19"/>
  <c r="D17" i="19"/>
  <c r="C17" i="19"/>
  <c r="H15" i="19"/>
  <c r="H14" i="19"/>
  <c r="H11" i="19"/>
  <c r="H10" i="19"/>
  <c r="H9" i="19"/>
  <c r="F17" i="19"/>
  <c r="H10" i="20" l="1"/>
  <c r="G17" i="19"/>
  <c r="H17" i="19" s="1"/>
  <c r="H13" i="20"/>
  <c r="H14" i="20"/>
  <c r="H17" i="20"/>
  <c r="H8" i="20"/>
  <c r="H13" i="19"/>
  <c r="E10" i="12" l="1"/>
  <c r="F10" i="12" s="1"/>
  <c r="E9" i="12"/>
  <c r="F9" i="12" s="1"/>
  <c r="H16" i="12" s="1"/>
  <c r="H21" i="12" s="1"/>
  <c r="D12" i="12"/>
  <c r="E8" i="12"/>
  <c r="F8" i="12" s="1"/>
  <c r="H17" i="12" s="1"/>
  <c r="E24" i="12"/>
  <c r="F24" i="12" s="1"/>
  <c r="E23" i="12"/>
  <c r="F23" i="12" s="1"/>
  <c r="E22" i="12"/>
  <c r="F22" i="12" s="1"/>
  <c r="E21" i="12"/>
  <c r="F21" i="12" s="1"/>
  <c r="E20" i="12"/>
  <c r="F20" i="12" s="1"/>
  <c r="E7" i="12"/>
  <c r="F7" i="12" s="1"/>
  <c r="D11" i="12" l="1"/>
  <c r="D15" i="12" s="1"/>
  <c r="D13" i="12"/>
  <c r="E6" i="12"/>
  <c r="E11" i="12" s="1"/>
  <c r="D14" i="12"/>
  <c r="E13" i="12" l="1"/>
  <c r="E14" i="12"/>
  <c r="E12" i="12"/>
  <c r="E15" i="12" s="1"/>
  <c r="F6" i="12"/>
  <c r="I17" i="12"/>
  <c r="I20" i="12" s="1"/>
  <c r="F11" i="12" l="1"/>
  <c r="F14" i="12"/>
  <c r="F12" i="12"/>
  <c r="F13" i="12"/>
  <c r="F15" i="12" l="1"/>
</calcChain>
</file>

<file path=xl/sharedStrings.xml><?xml version="1.0" encoding="utf-8"?>
<sst xmlns="http://schemas.openxmlformats.org/spreadsheetml/2006/main" count="145" uniqueCount="67">
  <si>
    <t>Cotizacion N° 1</t>
  </si>
  <si>
    <t>Cotizacion N° 2</t>
  </si>
  <si>
    <t>Cotizacion N°1</t>
  </si>
  <si>
    <t xml:space="preserve"> Valor Total  Incluido Iva</t>
  </si>
  <si>
    <t>Cotizacion N°2</t>
  </si>
  <si>
    <t>Cotizacion N°3</t>
  </si>
  <si>
    <t>Media Aritmetica</t>
  </si>
  <si>
    <t>Media Geometrica</t>
  </si>
  <si>
    <t>Media Armonica</t>
  </si>
  <si>
    <t>Desviacion Estandar</t>
  </si>
  <si>
    <t>% Desviacion Estandar Valor  Total</t>
  </si>
  <si>
    <t>Cotizacion N° 4</t>
  </si>
  <si>
    <t>Cotizacion N° 3</t>
  </si>
  <si>
    <t>Cotizacion N° 5</t>
  </si>
  <si>
    <t>Descripción</t>
  </si>
  <si>
    <t xml:space="preserve">Valor antes de Iva </t>
  </si>
  <si>
    <t>Iva 19%</t>
  </si>
  <si>
    <t>Valor total IVA Incluido</t>
  </si>
  <si>
    <t xml:space="preserve"> Promedio </t>
  </si>
  <si>
    <t xml:space="preserve"> Desviación estándar </t>
  </si>
  <si>
    <t xml:space="preserve"> Mínimo </t>
  </si>
  <si>
    <t xml:space="preserve"> Máximo </t>
  </si>
  <si>
    <t xml:space="preserve"> % De desviación frente promedio </t>
  </si>
  <si>
    <t xml:space="preserve"> % De incremento  entre  las  cotizaciones más baja y más alta  </t>
  </si>
  <si>
    <t>Acorde a la Tabla anterior en la cual se evidencia una desviación estándar demasiado alta en relación al promedio se revisaron las cotizaciones (1,2,3,4 y 5 ) recibidas, las cuales cumplen con las especificaciones técnicas requeridas por la entidad; sin embargo se identificó que la cotización No. 5 presenta un incremento  significativo  en comparación a las  otras cotizaciones, es así que entre la  cotización  más baja Dos Mil Cuatrocientos Treinta  y Tres Millones Seiscientos Mil Pesos Mcte ( $ 2.433.600.000,00)  y la  cotización más alta Cuatro Mil Ciento  Sesenta y Cinco Millones de Pesos Mcte.($ 4.165.000.000,00) hay  un incremento del 41,57% lo cual representa un incremento significativo en la determinación del presupuesto Oficial  del proceso a desarrollar.
Conforme al análisis anterior, para definir el presupuesto oficial del este proceso se tuvieron en cuenta las cotizaciones No. 1,2,3 y 4 excluyendo las cotizaciones N° 5 sacando un promedio entre estas.</t>
  </si>
  <si>
    <t>1.3. Desarrollo primera versión con implementación y lanzamiento.</t>
  </si>
  <si>
    <t>3.1. Fase análisis.</t>
  </si>
  <si>
    <t>4.     Licenciamiento Requerido.</t>
  </si>
  <si>
    <t>Valor Total</t>
  </si>
  <si>
    <t>Desarrollo de Software como Servicio.</t>
  </si>
  <si>
    <t>1.2. Fase Diseño.</t>
  </si>
  <si>
    <t>1.1. Fase análisis.</t>
  </si>
  <si>
    <t>3.3. Desarrollo primera versión con implementación y lanzamiento.</t>
  </si>
  <si>
    <t>3.2. Fase Diseño.</t>
  </si>
  <si>
    <t>Valor Total (COP)</t>
  </si>
  <si>
    <t>3.Desarrollo del Sistema Fase 2</t>
  </si>
  <si>
    <t>2.Soporte técnico  y nuevas versiones (12 meses).</t>
  </si>
  <si>
    <t>Estudio  del Mercado / Senado de la Republica
"Contratar el de Desarrollo de Software, con Metodologías Ágiles, para la Construcción del Sistema de Información"</t>
  </si>
  <si>
    <t xml:space="preserve">1.Desarrollo del Sistema Fase 1. </t>
  </si>
  <si>
    <t>Certificados digitales función pública (SIIF Nación)</t>
  </si>
  <si>
    <t>Certificados digitales para realizar el proceso de facturación electrónica por Olimpia</t>
  </si>
  <si>
    <t>Estudio  del Mercado / Senado de la Republica
“Adquisición de Certificados de Función Pública con su Dispositivo Criptográfico Token para el Senado de la República”</t>
  </si>
  <si>
    <t>No</t>
  </si>
  <si>
    <t>Contrato</t>
  </si>
  <si>
    <t>IPC Año 2020 (1,61%)</t>
  </si>
  <si>
    <t>Valor  Total  año 2020</t>
  </si>
  <si>
    <t>IPC Año 2021 (5,62%)</t>
  </si>
  <si>
    <t xml:space="preserve">Valor  Total Año 2021 </t>
  </si>
  <si>
    <t>Contrato No 174 de 2020</t>
  </si>
  <si>
    <t>Total Token</t>
  </si>
  <si>
    <t>Valor  Unitario Iva Incluido</t>
  </si>
  <si>
    <r>
      <t>Contrato</t>
    </r>
    <r>
      <rPr>
        <sz val="9"/>
        <color rgb="FF000000"/>
        <rFont val="Calibri"/>
        <family val="2"/>
      </rPr>
      <t xml:space="preserve"> No 649 de 2021</t>
    </r>
  </si>
  <si>
    <t>Cantidad</t>
  </si>
  <si>
    <t xml:space="preserve">Descripcion </t>
  </si>
  <si>
    <t>Luis Alberto Rojas  R.</t>
  </si>
  <si>
    <t>Evaluador Financiero</t>
  </si>
  <si>
    <t>Carrera 7 No 32-42 Pisos 30 y 31 Bogotá, Colombia, Bogotá, D.C., Colombia. PBX: (57) 601 7965060
notificaciones@cnmh.gov.co</t>
  </si>
  <si>
    <t>Valor Unitario Incluido Iva</t>
  </si>
  <si>
    <t>Recarga, revision y mantenimiento Extintor multiproposito, ABC de 10 lb de capacidad.</t>
  </si>
  <si>
    <t>Recarga, revision y mantenimiento para Extintor de Dioxido de Cárbono C02 de 10 lb de Capacidad.</t>
  </si>
  <si>
    <t>Valor  Unitario Incluido  Iva</t>
  </si>
  <si>
    <t>Valor  Total Incluido  Iva</t>
  </si>
  <si>
    <r>
      <rPr>
        <b/>
        <u/>
        <sz val="10"/>
        <color theme="1"/>
        <rFont val="Calibri"/>
        <family val="2"/>
        <scheme val="minor"/>
      </rPr>
      <t>Estudio  del Mercado / "Centro Nacional de Memoria Historica - CNMH"</t>
    </r>
    <r>
      <rPr>
        <sz val="10"/>
        <color theme="1"/>
        <rFont val="Calibri"/>
        <family val="2"/>
        <scheme val="minor"/>
      </rPr>
      <t xml:space="preserve">
“Contratar la Recarga y Mantenimiento de los Extintores con sus Respectivos Accesorios y Señalización para el Centro Nacional de Memoria Histórica”</t>
    </r>
  </si>
  <si>
    <t>Historicos Proceso IPMC-06-2025</t>
  </si>
  <si>
    <t>IPC 5,10%</t>
  </si>
  <si>
    <t>Valor Unitario Actualizado Presente Neto</t>
  </si>
  <si>
    <r>
      <rPr>
        <b/>
        <u/>
        <sz val="11"/>
        <color theme="1"/>
        <rFont val="Calibri"/>
        <family val="2"/>
        <scheme val="minor"/>
      </rPr>
      <t>Estudio  del Mercado / "Centro Nacional de Memoria Historica - CNMH"</t>
    </r>
    <r>
      <rPr>
        <sz val="11"/>
        <color theme="1"/>
        <rFont val="Calibri"/>
        <family val="2"/>
        <scheme val="minor"/>
      </rPr>
      <t xml:space="preserve">
“Contratar la Recarga y Mantenimiento de los Extintores con sus Respectivos Accesorios y Señalización para el Centro Nacional de Memoria Histórica”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</si>
</sst>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theme="1"/>
      <name val="Century Gothic"/>
      <family val="2"/>
    </font>
    <font>
      <b/>
      <sz val="10"/>
      <color theme="5" tint="-0.249977111117893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color rgb="FFF2F2F2"/>
      <name val="Arial Narrow"/>
      <family val="2"/>
    </font>
    <font>
      <sz val="9"/>
      <color theme="1"/>
      <name val="Calibri"/>
      <family val="2"/>
    </font>
    <font>
      <b/>
      <u/>
      <sz val="8"/>
      <color rgb="FF000000"/>
      <name val="Calibri"/>
      <family val="2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6" fontId="8" fillId="0" borderId="1" xfId="0" applyNumberFormat="1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center" vertical="center"/>
    </xf>
    <xf numFmtId="44" fontId="0" fillId="0" borderId="0" xfId="3" applyFont="1"/>
    <xf numFmtId="0" fontId="3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8" fontId="0" fillId="0" borderId="0" xfId="0" applyNumberFormat="1"/>
    <xf numFmtId="44" fontId="5" fillId="0" borderId="1" xfId="3" applyFont="1" applyBorder="1" applyAlignment="1">
      <alignment horizontal="center" vertical="center"/>
    </xf>
    <xf numFmtId="6" fontId="5" fillId="0" borderId="1" xfId="3" applyNumberFormat="1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9" fontId="0" fillId="0" borderId="0" xfId="5" applyFont="1"/>
    <xf numFmtId="10" fontId="0" fillId="0" borderId="0" xfId="5" applyNumberFormat="1" applyFont="1"/>
    <xf numFmtId="0" fontId="11" fillId="3" borderId="1" xfId="0" applyFont="1" applyFill="1" applyBorder="1" applyAlignment="1">
      <alignment horizontal="center" vertical="center" wrapText="1"/>
    </xf>
    <xf numFmtId="42" fontId="0" fillId="0" borderId="0" xfId="4" applyFont="1"/>
    <xf numFmtId="0" fontId="4" fillId="4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3" fontId="13" fillId="3" borderId="1" xfId="1" applyFont="1" applyFill="1" applyBorder="1" applyAlignment="1">
      <alignment horizontal="center" vertical="center" wrapText="1"/>
    </xf>
    <xf numFmtId="164" fontId="14" fillId="5" borderId="1" xfId="3" applyNumberFormat="1" applyFont="1" applyFill="1" applyBorder="1" applyAlignment="1">
      <alignment horizontal="center" vertical="center"/>
    </xf>
    <xf numFmtId="10" fontId="14" fillId="5" borderId="1" xfId="5" applyNumberFormat="1" applyFont="1" applyFill="1" applyBorder="1" applyAlignment="1">
      <alignment horizontal="center" vertical="center"/>
    </xf>
    <xf numFmtId="10" fontId="14" fillId="5" borderId="1" xfId="0" applyNumberFormat="1" applyFont="1" applyFill="1" applyBorder="1" applyAlignment="1">
      <alignment horizontal="center" vertical="center"/>
    </xf>
    <xf numFmtId="10" fontId="0" fillId="0" borderId="0" xfId="4" applyNumberFormat="1" applyFont="1"/>
    <xf numFmtId="164" fontId="0" fillId="0" borderId="0" xfId="4" applyNumberFormat="1" applyFont="1"/>
    <xf numFmtId="10" fontId="0" fillId="0" borderId="0" xfId="0" applyNumberFormat="1"/>
    <xf numFmtId="8" fontId="15" fillId="0" borderId="0" xfId="0" applyNumberFormat="1" applyFont="1"/>
    <xf numFmtId="0" fontId="18" fillId="0" borderId="9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19" fillId="10" borderId="10" xfId="0" applyFont="1" applyFill="1" applyBorder="1" applyAlignment="1">
      <alignment vertical="center" wrapText="1"/>
    </xf>
    <xf numFmtId="6" fontId="8" fillId="11" borderId="1" xfId="0" applyNumberFormat="1" applyFont="1" applyFill="1" applyBorder="1" applyAlignment="1">
      <alignment horizontal="center" vertical="center"/>
    </xf>
    <xf numFmtId="6" fontId="5" fillId="11" borderId="1" xfId="3" applyNumberFormat="1" applyFont="1" applyFill="1" applyBorder="1" applyAlignment="1">
      <alignment horizontal="center" vertical="center"/>
    </xf>
    <xf numFmtId="10" fontId="0" fillId="0" borderId="1" xfId="5" applyNumberFormat="1" applyFont="1" applyBorder="1" applyAlignment="1">
      <alignment horizontal="center" vertical="center"/>
    </xf>
    <xf numFmtId="0" fontId="0" fillId="11" borderId="1" xfId="0" applyFill="1" applyBorder="1"/>
    <xf numFmtId="6" fontId="5" fillId="12" borderId="1" xfId="3" applyNumberFormat="1" applyFont="1" applyFill="1" applyBorder="1" applyAlignment="1">
      <alignment horizontal="center" vertical="center"/>
    </xf>
    <xf numFmtId="10" fontId="0" fillId="12" borderId="1" xfId="5" applyNumberFormat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44" fontId="0" fillId="0" borderId="1" xfId="3" applyFont="1" applyBorder="1"/>
    <xf numFmtId="44" fontId="0" fillId="0" borderId="1" xfId="3" applyFont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 wrapText="1"/>
    </xf>
    <xf numFmtId="8" fontId="22" fillId="0" borderId="1" xfId="0" applyNumberFormat="1" applyFont="1" applyBorder="1" applyAlignment="1">
      <alignment horizontal="center" vertical="center" wrapText="1"/>
    </xf>
    <xf numFmtId="44" fontId="2" fillId="0" borderId="1" xfId="3" applyFont="1" applyBorder="1"/>
    <xf numFmtId="44" fontId="2" fillId="14" borderId="1" xfId="0" applyNumberFormat="1" applyFont="1" applyFill="1" applyBorder="1"/>
    <xf numFmtId="44" fontId="0" fillId="0" borderId="0" xfId="0" applyNumberFormat="1"/>
    <xf numFmtId="0" fontId="18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23" fillId="0" borderId="1" xfId="3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44" fontId="11" fillId="2" borderId="1" xfId="0" applyNumberFormat="1" applyFont="1" applyFill="1" applyBorder="1" applyAlignment="1">
      <alignment horizontal="center" vertical="center"/>
    </xf>
    <xf numFmtId="9" fontId="10" fillId="0" borderId="0" xfId="0" applyNumberFormat="1" applyFont="1" applyAlignment="1">
      <alignment vertical="center"/>
    </xf>
    <xf numFmtId="44" fontId="10" fillId="0" borderId="0" xfId="3" applyFont="1" applyBorder="1" applyAlignment="1">
      <alignment vertical="center"/>
    </xf>
    <xf numFmtId="44" fontId="11" fillId="2" borderId="1" xfId="3" applyFont="1" applyFill="1" applyBorder="1" applyAlignment="1">
      <alignment horizontal="center" vertical="center"/>
    </xf>
    <xf numFmtId="44" fontId="8" fillId="0" borderId="1" xfId="3" applyFont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1" fontId="2" fillId="5" borderId="1" xfId="2" applyFont="1" applyFill="1" applyBorder="1" applyAlignment="1">
      <alignment horizontal="center" wrapText="1"/>
    </xf>
    <xf numFmtId="41" fontId="0" fillId="5" borderId="1" xfId="2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9" borderId="11" xfId="0" applyFont="1" applyFill="1" applyBorder="1" applyAlignment="1">
      <alignment horizontal="left" vertical="center" wrapText="1"/>
    </xf>
    <xf numFmtId="0" fontId="17" fillId="9" borderId="0" xfId="0" applyFont="1" applyFill="1" applyAlignment="1">
      <alignment horizontal="left" vertical="center" wrapText="1"/>
    </xf>
    <xf numFmtId="0" fontId="17" fillId="9" borderId="12" xfId="0" applyFont="1" applyFill="1" applyBorder="1" applyAlignment="1">
      <alignment horizontal="left" vertical="center" wrapText="1"/>
    </xf>
    <xf numFmtId="41" fontId="0" fillId="5" borderId="13" xfId="2" applyFont="1" applyFill="1" applyBorder="1" applyAlignment="1">
      <alignment horizontal="center"/>
    </xf>
    <xf numFmtId="41" fontId="0" fillId="5" borderId="14" xfId="2" applyFont="1" applyFill="1" applyBorder="1" applyAlignment="1">
      <alignment horizontal="center"/>
    </xf>
    <xf numFmtId="41" fontId="10" fillId="5" borderId="18" xfId="2" applyFont="1" applyFill="1" applyBorder="1" applyAlignment="1">
      <alignment horizontal="center" vertical="center" wrapText="1"/>
    </xf>
    <xf numFmtId="41" fontId="10" fillId="5" borderId="0" xfId="2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41" fontId="10" fillId="5" borderId="19" xfId="2" applyFont="1" applyFill="1" applyBorder="1" applyAlignment="1">
      <alignment horizontal="center" vertical="center" wrapText="1"/>
    </xf>
    <xf numFmtId="41" fontId="10" fillId="5" borderId="20" xfId="2" applyFont="1" applyFill="1" applyBorder="1" applyAlignment="1">
      <alignment horizontal="center" vertical="center" wrapText="1"/>
    </xf>
    <xf numFmtId="41" fontId="10" fillId="5" borderId="21" xfId="2" applyFont="1" applyFill="1" applyBorder="1" applyAlignment="1">
      <alignment horizontal="center" vertical="center" wrapText="1"/>
    </xf>
    <xf numFmtId="41" fontId="10" fillId="5" borderId="22" xfId="2" applyFont="1" applyFill="1" applyBorder="1" applyAlignment="1">
      <alignment horizontal="center" vertical="center" wrapText="1"/>
    </xf>
    <xf numFmtId="41" fontId="10" fillId="5" borderId="23" xfId="2" applyFont="1" applyFill="1" applyBorder="1" applyAlignment="1">
      <alignment horizontal="center" vertical="center" wrapText="1"/>
    </xf>
    <xf numFmtId="41" fontId="10" fillId="5" borderId="24" xfId="2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10</xdr:row>
      <xdr:rowOff>28575</xdr:rowOff>
    </xdr:from>
    <xdr:to>
      <xdr:col>4</xdr:col>
      <xdr:colOff>590550</xdr:colOff>
      <xdr:row>12</xdr:row>
      <xdr:rowOff>209550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6524625" y="5905500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847725</xdr:colOff>
      <xdr:row>1</xdr:row>
      <xdr:rowOff>19050</xdr:rowOff>
    </xdr:from>
    <xdr:to>
      <xdr:col>1</xdr:col>
      <xdr:colOff>2333625</xdr:colOff>
      <xdr:row>2</xdr:row>
      <xdr:rowOff>433070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143000" y="219075"/>
          <a:ext cx="148590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9</xdr:row>
      <xdr:rowOff>38100</xdr:rowOff>
    </xdr:from>
    <xdr:to>
      <xdr:col>2</xdr:col>
      <xdr:colOff>304800</xdr:colOff>
      <xdr:row>11</xdr:row>
      <xdr:rowOff>219075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2257425" y="3476625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876300</xdr:colOff>
      <xdr:row>1</xdr:row>
      <xdr:rowOff>76200</xdr:rowOff>
    </xdr:from>
    <xdr:to>
      <xdr:col>1</xdr:col>
      <xdr:colOff>2362200</xdr:colOff>
      <xdr:row>2</xdr:row>
      <xdr:rowOff>490220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171575" y="266700"/>
          <a:ext cx="148590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Q44"/>
  <sheetViews>
    <sheetView showGridLines="0" workbookViewId="0">
      <selection activeCell="F27" sqref="F27"/>
    </sheetView>
  </sheetViews>
  <sheetFormatPr baseColWidth="10" defaultRowHeight="14.4" x14ac:dyDescent="0.3"/>
  <cols>
    <col min="2" max="2" width="38" customWidth="1"/>
    <col min="3" max="3" width="38.6640625" customWidth="1"/>
    <col min="4" max="4" width="16.5546875" customWidth="1"/>
    <col min="5" max="5" width="14.33203125" customWidth="1"/>
    <col min="6" max="6" width="20.5546875" customWidth="1"/>
    <col min="8" max="8" width="15.5546875" style="14" bestFit="1" customWidth="1"/>
    <col min="9" max="9" width="15.88671875" customWidth="1"/>
    <col min="12" max="12" width="14" bestFit="1" customWidth="1"/>
  </cols>
  <sheetData>
    <row r="5" spans="3:17" x14ac:dyDescent="0.3">
      <c r="C5" s="13" t="s">
        <v>14</v>
      </c>
      <c r="D5" s="13" t="s">
        <v>15</v>
      </c>
      <c r="E5" s="13" t="s">
        <v>16</v>
      </c>
      <c r="F5" s="13" t="s">
        <v>17</v>
      </c>
    </row>
    <row r="6" spans="3:17" x14ac:dyDescent="0.3">
      <c r="C6" s="15" t="s">
        <v>0</v>
      </c>
      <c r="D6" s="16">
        <v>79788400</v>
      </c>
      <c r="E6" s="16">
        <f>+D6*19%</f>
        <v>15159796</v>
      </c>
      <c r="F6" s="17">
        <f>+D6+E6</f>
        <v>94948196</v>
      </c>
      <c r="I6" s="18"/>
    </row>
    <row r="7" spans="3:17" x14ac:dyDescent="0.3">
      <c r="C7" s="15" t="s">
        <v>1</v>
      </c>
      <c r="D7" s="16">
        <v>56108000</v>
      </c>
      <c r="E7" s="16">
        <f t="shared" ref="E7:E10" si="0">+D7*19%</f>
        <v>10660520</v>
      </c>
      <c r="F7" s="17">
        <f t="shared" ref="F7:F10" si="1">+D7+E7</f>
        <v>66768520</v>
      </c>
      <c r="I7" s="18"/>
    </row>
    <row r="8" spans="3:17" x14ac:dyDescent="0.3">
      <c r="C8" s="15" t="s">
        <v>12</v>
      </c>
      <c r="D8" s="16">
        <v>43078000</v>
      </c>
      <c r="E8" s="16">
        <f t="shared" ref="E8" si="2">+D8*19%</f>
        <v>8184820</v>
      </c>
      <c r="F8" s="17">
        <f t="shared" ref="F8" si="3">+D8+E8</f>
        <v>51262820</v>
      </c>
      <c r="I8" s="18"/>
    </row>
    <row r="9" spans="3:17" x14ac:dyDescent="0.3">
      <c r="C9" s="15" t="s">
        <v>11</v>
      </c>
      <c r="D9" s="16">
        <v>103021260.50420168</v>
      </c>
      <c r="E9" s="16">
        <f t="shared" si="0"/>
        <v>19574039.49579832</v>
      </c>
      <c r="F9" s="17">
        <f t="shared" si="1"/>
        <v>122595300</v>
      </c>
      <c r="I9" s="18"/>
    </row>
    <row r="10" spans="3:17" x14ac:dyDescent="0.3">
      <c r="C10" s="15" t="s">
        <v>13</v>
      </c>
      <c r="D10" s="16">
        <v>94069053.781512603</v>
      </c>
      <c r="E10" s="16">
        <f t="shared" si="0"/>
        <v>17873120.218487393</v>
      </c>
      <c r="F10" s="17">
        <f t="shared" si="1"/>
        <v>111942174</v>
      </c>
      <c r="I10" s="18"/>
    </row>
    <row r="11" spans="3:17" x14ac:dyDescent="0.3">
      <c r="C11" s="19" t="s">
        <v>18</v>
      </c>
      <c r="D11" s="20">
        <f>+AVERAGE(D6:D10)</f>
        <v>75212942.857142851</v>
      </c>
      <c r="E11" s="20">
        <f>+AVERAGE(E6:E10)</f>
        <v>14290459.142857144</v>
      </c>
      <c r="F11" s="20">
        <f>+AVERAGE(F6:F10)</f>
        <v>89503402</v>
      </c>
    </row>
    <row r="12" spans="3:17" x14ac:dyDescent="0.3">
      <c r="C12" s="19" t="s">
        <v>19</v>
      </c>
      <c r="D12" s="20">
        <f>+STDEVA(D6:D10)</f>
        <v>25236103.362170022</v>
      </c>
      <c r="E12" s="20">
        <f>+STDEVA(E6:E10)</f>
        <v>4794859.6388122933</v>
      </c>
      <c r="F12" s="20">
        <f>+STDEVA(F6:F10)</f>
        <v>30030963.000982303</v>
      </c>
    </row>
    <row r="13" spans="3:17" x14ac:dyDescent="0.3">
      <c r="C13" s="19" t="s">
        <v>20</v>
      </c>
      <c r="D13" s="20">
        <f>+MIN(D6:D10)</f>
        <v>43078000</v>
      </c>
      <c r="E13" s="20">
        <f>+MIN(E6:E10)</f>
        <v>8184820</v>
      </c>
      <c r="F13" s="20">
        <f>+MIN(F6:F10)</f>
        <v>51262820</v>
      </c>
      <c r="I13" s="14"/>
      <c r="J13" s="14"/>
      <c r="K13" s="14"/>
      <c r="L13" s="14"/>
      <c r="M13" s="14"/>
      <c r="N13" s="14"/>
      <c r="O13" s="14"/>
      <c r="P13" s="14"/>
      <c r="Q13" s="14"/>
    </row>
    <row r="14" spans="3:17" x14ac:dyDescent="0.3">
      <c r="C14" s="19" t="s">
        <v>21</v>
      </c>
      <c r="D14" s="20">
        <f>+MAX(D6:D10)</f>
        <v>103021260.50420168</v>
      </c>
      <c r="E14" s="20">
        <f>+MAX(E6:E10)</f>
        <v>19574039.49579832</v>
      </c>
      <c r="F14" s="20">
        <f>+MAX(F6:F10)</f>
        <v>122595300</v>
      </c>
      <c r="I14" s="14"/>
      <c r="J14" s="14"/>
      <c r="K14" s="14"/>
      <c r="L14" s="14"/>
      <c r="M14" s="14"/>
      <c r="N14" s="14"/>
      <c r="O14" s="14"/>
      <c r="P14" s="14"/>
      <c r="Q14" s="14"/>
    </row>
    <row r="15" spans="3:17" x14ac:dyDescent="0.3">
      <c r="C15" s="19" t="s">
        <v>22</v>
      </c>
      <c r="D15" s="21">
        <f>+D12/D11</f>
        <v>0.33552873220374718</v>
      </c>
      <c r="E15" s="21">
        <f>+E12/E11</f>
        <v>0.33552873220374635</v>
      </c>
      <c r="F15" s="21">
        <f>+F12/F11</f>
        <v>0.3355287322037469</v>
      </c>
      <c r="I15" s="14"/>
      <c r="J15" s="14"/>
      <c r="K15" s="14"/>
      <c r="L15" s="14"/>
      <c r="M15" s="14"/>
      <c r="N15" s="14"/>
      <c r="O15" s="14"/>
      <c r="P15" s="14"/>
      <c r="Q15" s="14"/>
    </row>
    <row r="16" spans="3:17" ht="25.2" x14ac:dyDescent="0.3">
      <c r="C16" s="19" t="s">
        <v>23</v>
      </c>
      <c r="D16" s="22">
        <v>0.58189999999999997</v>
      </c>
      <c r="E16" s="22">
        <v>0.58189999999999997</v>
      </c>
      <c r="F16" s="22">
        <v>0.58189999999999997</v>
      </c>
      <c r="H16" s="18">
        <f>+F9</f>
        <v>122595300</v>
      </c>
      <c r="I16" s="11">
        <v>1</v>
      </c>
      <c r="J16" s="14"/>
      <c r="K16" s="14"/>
      <c r="L16" s="14"/>
      <c r="M16" s="14"/>
      <c r="N16" s="14"/>
      <c r="O16" s="14"/>
      <c r="P16" s="14"/>
      <c r="Q16" s="14"/>
    </row>
    <row r="17" spans="3:17" x14ac:dyDescent="0.3">
      <c r="H17" s="18">
        <f>+F8</f>
        <v>51262820</v>
      </c>
      <c r="I17" s="12">
        <f>+H17*I16/H16</f>
        <v>0.41814669893544043</v>
      </c>
      <c r="J17" s="14"/>
      <c r="K17" s="14"/>
      <c r="L17" s="14"/>
      <c r="M17" s="14"/>
      <c r="N17" s="14"/>
      <c r="O17" s="14"/>
      <c r="P17" s="14"/>
      <c r="Q17" s="14"/>
    </row>
    <row r="18" spans="3:17" x14ac:dyDescent="0.3">
      <c r="H18"/>
      <c r="I18" s="23"/>
      <c r="J18" s="14"/>
      <c r="K18" s="14"/>
      <c r="L18" s="14"/>
      <c r="M18" s="14"/>
      <c r="N18" s="14"/>
      <c r="O18" s="14"/>
      <c r="P18" s="14"/>
      <c r="Q18" s="14"/>
    </row>
    <row r="19" spans="3:17" x14ac:dyDescent="0.3">
      <c r="H19"/>
      <c r="I19" s="23"/>
      <c r="J19" s="14"/>
      <c r="K19" s="14"/>
      <c r="L19" s="14"/>
      <c r="M19" s="14"/>
      <c r="N19" s="14"/>
      <c r="O19" s="14"/>
      <c r="P19" s="14"/>
      <c r="Q19" s="14"/>
    </row>
    <row r="20" spans="3:17" x14ac:dyDescent="0.3">
      <c r="D20" s="26">
        <v>94948196</v>
      </c>
      <c r="E20" s="14">
        <f>+D20/1.19</f>
        <v>79788400</v>
      </c>
      <c r="F20" s="14">
        <f>+D20-E20</f>
        <v>15159796</v>
      </c>
      <c r="G20" s="11"/>
      <c r="H20"/>
      <c r="I20" s="12">
        <f>+I16-I17</f>
        <v>0.58185330106455957</v>
      </c>
      <c r="J20" s="14"/>
      <c r="K20" s="14"/>
      <c r="L20" s="14"/>
      <c r="M20" s="14"/>
      <c r="N20" s="14"/>
      <c r="O20" s="14"/>
      <c r="P20" s="14"/>
      <c r="Q20" s="14"/>
    </row>
    <row r="21" spans="3:17" x14ac:dyDescent="0.3">
      <c r="D21" s="26">
        <v>66768520</v>
      </c>
      <c r="E21" s="14">
        <f>+D21/1.19</f>
        <v>56108000</v>
      </c>
      <c r="F21" s="14">
        <f>+D21-E21</f>
        <v>10660520</v>
      </c>
      <c r="G21" s="11"/>
      <c r="H21" s="4">
        <f>+H16/2</f>
        <v>61297650</v>
      </c>
      <c r="I21" s="14"/>
      <c r="J21" s="14"/>
      <c r="K21" s="14"/>
      <c r="L21" s="14"/>
      <c r="M21" s="14"/>
      <c r="N21" s="14"/>
      <c r="O21" s="14"/>
      <c r="P21" s="14"/>
      <c r="Q21" s="14"/>
    </row>
    <row r="22" spans="3:17" x14ac:dyDescent="0.3">
      <c r="D22" s="26">
        <v>51262820</v>
      </c>
      <c r="E22" s="14">
        <f t="shared" ref="E22:E24" si="4">+D22/1.19</f>
        <v>43078000</v>
      </c>
      <c r="F22" s="14">
        <f t="shared" ref="F22:F24" si="5">+D22-E22</f>
        <v>8184820</v>
      </c>
      <c r="G22" s="11"/>
      <c r="I22" s="14"/>
      <c r="J22" s="14"/>
      <c r="K22" s="14"/>
      <c r="L22" s="14"/>
      <c r="M22" s="14"/>
      <c r="N22" s="14"/>
      <c r="O22" s="14"/>
      <c r="P22" s="14"/>
      <c r="Q22" s="14"/>
    </row>
    <row r="23" spans="3:17" x14ac:dyDescent="0.3">
      <c r="D23" s="26">
        <v>122595300</v>
      </c>
      <c r="E23" s="14">
        <f t="shared" si="4"/>
        <v>103021260.50420168</v>
      </c>
      <c r="F23" s="14">
        <f t="shared" si="5"/>
        <v>19574039.49579832</v>
      </c>
      <c r="G23" s="11"/>
      <c r="H23" s="24"/>
      <c r="I23" s="14"/>
      <c r="J23" s="14"/>
      <c r="K23" s="14"/>
      <c r="L23" s="14"/>
      <c r="M23" s="14"/>
      <c r="N23" s="14"/>
      <c r="O23" s="14"/>
      <c r="P23" s="14"/>
      <c r="Q23" s="14"/>
    </row>
    <row r="24" spans="3:17" x14ac:dyDescent="0.3">
      <c r="D24" s="26">
        <v>111942174</v>
      </c>
      <c r="E24" s="14">
        <f t="shared" si="4"/>
        <v>94069053.781512603</v>
      </c>
      <c r="F24" s="14">
        <f t="shared" si="5"/>
        <v>17873120.218487397</v>
      </c>
      <c r="G24" s="12"/>
      <c r="I24" s="14"/>
      <c r="J24" s="14"/>
      <c r="K24" s="14"/>
      <c r="L24" s="14"/>
      <c r="M24" s="14"/>
      <c r="N24" s="14"/>
      <c r="O24" s="14"/>
      <c r="P24" s="14"/>
      <c r="Q24" s="14"/>
    </row>
    <row r="25" spans="3:17" x14ac:dyDescent="0.3">
      <c r="G25" s="25"/>
      <c r="I25" s="14"/>
      <c r="J25" s="14"/>
      <c r="K25" s="14"/>
      <c r="L25" s="14"/>
      <c r="M25" s="14"/>
      <c r="N25" s="14"/>
      <c r="O25" s="14"/>
      <c r="P25" s="14"/>
      <c r="Q25" s="14"/>
    </row>
    <row r="26" spans="3:17" x14ac:dyDescent="0.3">
      <c r="I26" s="14"/>
      <c r="J26" s="14"/>
      <c r="K26" s="14"/>
      <c r="L26" s="14"/>
      <c r="M26" s="14"/>
      <c r="N26" s="14"/>
      <c r="O26" s="14"/>
      <c r="P26" s="14"/>
      <c r="Q26" s="14"/>
    </row>
    <row r="27" spans="3:17" x14ac:dyDescent="0.3">
      <c r="I27" s="14"/>
      <c r="J27" s="14"/>
      <c r="K27" s="14"/>
      <c r="L27" s="14"/>
      <c r="M27" s="14"/>
      <c r="N27" s="14"/>
      <c r="O27" s="14"/>
      <c r="P27" s="14"/>
      <c r="Q27" s="14"/>
    </row>
    <row r="28" spans="3:17" x14ac:dyDescent="0.3">
      <c r="I28" s="14"/>
      <c r="J28" s="14"/>
      <c r="K28" s="14"/>
      <c r="L28" s="14"/>
      <c r="M28" s="14"/>
      <c r="N28" s="14"/>
      <c r="O28" s="14"/>
      <c r="P28" s="14"/>
      <c r="Q28" s="14"/>
    </row>
    <row r="29" spans="3:17" x14ac:dyDescent="0.3">
      <c r="C29" s="73" t="s">
        <v>24</v>
      </c>
      <c r="D29" s="76"/>
      <c r="E29" s="76"/>
      <c r="F29" s="76"/>
      <c r="G29" s="76"/>
      <c r="H29" s="76"/>
      <c r="I29" s="76"/>
      <c r="J29" s="14"/>
      <c r="K29" s="14"/>
      <c r="L29" s="14"/>
      <c r="M29" s="14"/>
      <c r="N29" s="14"/>
      <c r="O29" s="14"/>
      <c r="P29" s="14"/>
      <c r="Q29" s="14"/>
    </row>
    <row r="30" spans="3:17" x14ac:dyDescent="0.3">
      <c r="C30" s="76"/>
      <c r="D30" s="76"/>
      <c r="E30" s="76"/>
      <c r="F30" s="76"/>
      <c r="G30" s="76"/>
      <c r="H30" s="76"/>
      <c r="I30" s="76"/>
      <c r="J30" s="14"/>
      <c r="K30" s="14"/>
      <c r="L30" s="14"/>
      <c r="M30" s="14"/>
      <c r="N30" s="14"/>
      <c r="O30" s="14"/>
      <c r="P30" s="14"/>
      <c r="Q30" s="14"/>
    </row>
    <row r="31" spans="3:17" x14ac:dyDescent="0.3">
      <c r="C31" s="76"/>
      <c r="D31" s="76"/>
      <c r="E31" s="76"/>
      <c r="F31" s="76"/>
      <c r="G31" s="76"/>
      <c r="H31" s="76"/>
      <c r="I31" s="76"/>
      <c r="J31" s="14"/>
      <c r="K31" s="14"/>
      <c r="L31" s="14"/>
      <c r="M31" s="14"/>
      <c r="N31" s="14"/>
      <c r="O31" s="14"/>
      <c r="P31" s="14"/>
      <c r="Q31" s="14"/>
    </row>
    <row r="32" spans="3:17" x14ac:dyDescent="0.3">
      <c r="C32" s="76"/>
      <c r="D32" s="76"/>
      <c r="E32" s="76"/>
      <c r="F32" s="76"/>
      <c r="G32" s="76"/>
      <c r="H32" s="76"/>
      <c r="I32" s="76"/>
    </row>
    <row r="33" spans="3:9" x14ac:dyDescent="0.3">
      <c r="C33" s="76"/>
      <c r="D33" s="76"/>
      <c r="E33" s="76"/>
      <c r="F33" s="76"/>
      <c r="G33" s="76"/>
      <c r="H33" s="76"/>
      <c r="I33" s="76"/>
    </row>
    <row r="34" spans="3:9" x14ac:dyDescent="0.3">
      <c r="C34" s="76"/>
      <c r="D34" s="76"/>
      <c r="E34" s="76"/>
      <c r="F34" s="76"/>
      <c r="G34" s="76"/>
      <c r="H34" s="76"/>
      <c r="I34" s="76"/>
    </row>
    <row r="35" spans="3:9" x14ac:dyDescent="0.3">
      <c r="C35" s="76"/>
      <c r="D35" s="76"/>
      <c r="E35" s="76"/>
      <c r="F35" s="76"/>
      <c r="G35" s="76"/>
      <c r="H35" s="76"/>
      <c r="I35" s="76"/>
    </row>
    <row r="36" spans="3:9" x14ac:dyDescent="0.3">
      <c r="C36" s="76"/>
      <c r="D36" s="76"/>
      <c r="E36" s="76"/>
      <c r="F36" s="76"/>
      <c r="G36" s="76"/>
      <c r="H36" s="76"/>
      <c r="I36" s="76"/>
    </row>
    <row r="37" spans="3:9" x14ac:dyDescent="0.3">
      <c r="C37" s="76"/>
      <c r="D37" s="76"/>
      <c r="E37" s="76"/>
      <c r="F37" s="76"/>
      <c r="G37" s="76"/>
      <c r="H37" s="76"/>
      <c r="I37" s="76"/>
    </row>
    <row r="38" spans="3:9" x14ac:dyDescent="0.3">
      <c r="C38" s="76"/>
      <c r="D38" s="76"/>
      <c r="E38" s="76"/>
      <c r="F38" s="76"/>
      <c r="G38" s="76"/>
      <c r="H38" s="76"/>
      <c r="I38" s="76"/>
    </row>
    <row r="39" spans="3:9" x14ac:dyDescent="0.3">
      <c r="C39" s="76"/>
      <c r="D39" s="76"/>
      <c r="E39" s="76"/>
      <c r="F39" s="76"/>
      <c r="G39" s="76"/>
      <c r="H39" s="76"/>
      <c r="I39" s="76"/>
    </row>
    <row r="40" spans="3:9" x14ac:dyDescent="0.3">
      <c r="C40" s="76"/>
      <c r="D40" s="76"/>
      <c r="E40" s="76"/>
      <c r="F40" s="76"/>
      <c r="G40" s="76"/>
      <c r="H40" s="76"/>
      <c r="I40" s="76"/>
    </row>
    <row r="41" spans="3:9" x14ac:dyDescent="0.3">
      <c r="C41" s="76"/>
      <c r="D41" s="76"/>
      <c r="E41" s="76"/>
      <c r="F41" s="76"/>
      <c r="G41" s="76"/>
      <c r="H41" s="76"/>
      <c r="I41" s="76"/>
    </row>
    <row r="42" spans="3:9" x14ac:dyDescent="0.3">
      <c r="C42" s="76"/>
      <c r="D42" s="76"/>
      <c r="E42" s="76"/>
      <c r="F42" s="76"/>
      <c r="G42" s="76"/>
      <c r="H42" s="76"/>
      <c r="I42" s="76"/>
    </row>
    <row r="43" spans="3:9" x14ac:dyDescent="0.3">
      <c r="C43" s="76"/>
      <c r="D43" s="76"/>
      <c r="E43" s="76"/>
      <c r="F43" s="76"/>
      <c r="G43" s="76"/>
      <c r="H43" s="76"/>
      <c r="I43" s="76"/>
    </row>
    <row r="44" spans="3:9" x14ac:dyDescent="0.3">
      <c r="C44" s="76"/>
      <c r="D44" s="76"/>
      <c r="E44" s="76"/>
      <c r="F44" s="76"/>
      <c r="G44" s="76"/>
      <c r="H44" s="76"/>
      <c r="I44" s="76"/>
    </row>
  </sheetData>
  <mergeCells count="1">
    <mergeCell ref="C29:I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26"/>
  <sheetViews>
    <sheetView showGridLines="0" tabSelected="1" workbookViewId="0">
      <selection activeCell="D21" sqref="D21"/>
    </sheetView>
  </sheetViews>
  <sheetFormatPr baseColWidth="10" defaultRowHeight="14.4" x14ac:dyDescent="0.3"/>
  <cols>
    <col min="1" max="1" width="4.44140625" customWidth="1"/>
    <col min="2" max="2" width="45.33203125" customWidth="1"/>
    <col min="3" max="3" width="8.88671875" bestFit="1" customWidth="1"/>
    <col min="4" max="4" width="18.5546875" customWidth="1"/>
    <col min="5" max="5" width="18.33203125" customWidth="1"/>
    <col min="6" max="6" width="22.33203125" customWidth="1"/>
    <col min="7" max="7" width="13" bestFit="1" customWidth="1"/>
    <col min="9" max="9" width="12" bestFit="1" customWidth="1"/>
    <col min="11" max="11" width="12" bestFit="1" customWidth="1"/>
  </cols>
  <sheetData>
    <row r="2" spans="2:11" ht="17.25" customHeight="1" x14ac:dyDescent="0.3">
      <c r="B2" s="72"/>
      <c r="C2" s="73" t="s">
        <v>66</v>
      </c>
      <c r="D2" s="73"/>
      <c r="E2" s="73"/>
      <c r="F2" s="73"/>
    </row>
    <row r="3" spans="2:11" ht="45" customHeight="1" x14ac:dyDescent="0.3">
      <c r="B3" s="72"/>
      <c r="C3" s="73"/>
      <c r="D3" s="73"/>
      <c r="E3" s="73"/>
      <c r="F3" s="73"/>
    </row>
    <row r="4" spans="2:11" ht="24" customHeight="1" x14ac:dyDescent="0.3">
      <c r="B4" s="70" t="s">
        <v>53</v>
      </c>
      <c r="C4" s="70" t="s">
        <v>52</v>
      </c>
      <c r="D4" s="5" t="s">
        <v>63</v>
      </c>
      <c r="E4" s="74" t="s">
        <v>64</v>
      </c>
      <c r="F4" s="5" t="s">
        <v>65</v>
      </c>
    </row>
    <row r="5" spans="2:11" ht="23.25" customHeight="1" x14ac:dyDescent="0.3">
      <c r="B5" s="70"/>
      <c r="C5" s="70"/>
      <c r="D5" s="28" t="s">
        <v>57</v>
      </c>
      <c r="E5" s="75"/>
      <c r="F5" s="28" t="s">
        <v>57</v>
      </c>
    </row>
    <row r="6" spans="2:11" ht="31.2" x14ac:dyDescent="0.3">
      <c r="B6" s="56" t="s">
        <v>58</v>
      </c>
      <c r="C6" s="61">
        <v>1</v>
      </c>
      <c r="D6" s="69">
        <v>12000</v>
      </c>
      <c r="E6" s="69">
        <f>+D6*5.1%</f>
        <v>612</v>
      </c>
      <c r="F6" s="69">
        <f>+D6+E6</f>
        <v>12612</v>
      </c>
      <c r="G6" s="4"/>
      <c r="I6" s="4"/>
      <c r="J6" s="4"/>
      <c r="K6" s="4"/>
    </row>
    <row r="7" spans="2:11" ht="31.2" x14ac:dyDescent="0.3">
      <c r="B7" s="56" t="s">
        <v>59</v>
      </c>
      <c r="C7" s="61">
        <v>1</v>
      </c>
      <c r="D7" s="69">
        <v>40000</v>
      </c>
      <c r="E7" s="69">
        <f>+D7*5.1%</f>
        <v>2039.9999999999998</v>
      </c>
      <c r="F7" s="69">
        <f>+D7+E7</f>
        <v>42040</v>
      </c>
      <c r="G7" s="4"/>
      <c r="I7" s="4"/>
      <c r="J7" s="4"/>
      <c r="K7" s="4"/>
    </row>
    <row r="8" spans="2:11" x14ac:dyDescent="0.3">
      <c r="B8" s="59" t="s">
        <v>28</v>
      </c>
      <c r="C8" s="59"/>
      <c r="D8" s="10">
        <f>SUM(D6:D7)</f>
        <v>52000</v>
      </c>
      <c r="E8" s="10">
        <f>SUM(E6:E7)</f>
        <v>2652</v>
      </c>
      <c r="F8" s="10">
        <f>SUM(F6:F7)</f>
        <v>54652</v>
      </c>
      <c r="J8" s="4"/>
      <c r="K8" s="4"/>
    </row>
    <row r="9" spans="2:11" x14ac:dyDescent="0.3">
      <c r="B9" s="71" t="s">
        <v>56</v>
      </c>
      <c r="C9" s="71"/>
      <c r="D9" s="71"/>
      <c r="E9" s="71"/>
      <c r="F9" s="71"/>
      <c r="J9" s="4"/>
      <c r="K9" s="4"/>
    </row>
    <row r="10" spans="2:11" x14ac:dyDescent="0.3">
      <c r="B10" s="71"/>
      <c r="C10" s="71"/>
      <c r="D10" s="71"/>
      <c r="E10" s="71"/>
      <c r="F10" s="71"/>
      <c r="J10" s="4"/>
      <c r="K10" s="4"/>
    </row>
    <row r="13" spans="2:11" ht="21" customHeight="1" x14ac:dyDescent="0.3">
      <c r="F13" s="4"/>
    </row>
    <row r="14" spans="2:11" ht="15.6" x14ac:dyDescent="0.3">
      <c r="D14" s="60" t="s">
        <v>54</v>
      </c>
      <c r="E14" s="60"/>
      <c r="F14" s="66"/>
    </row>
    <row r="15" spans="2:11" ht="15.6" x14ac:dyDescent="0.3">
      <c r="D15" s="60" t="s">
        <v>55</v>
      </c>
      <c r="E15" s="60"/>
      <c r="F15" s="67"/>
    </row>
    <row r="16" spans="2:11" x14ac:dyDescent="0.3">
      <c r="D16" s="7"/>
      <c r="E16" s="7"/>
      <c r="F16" s="7"/>
    </row>
    <row r="17" spans="4:6" x14ac:dyDescent="0.3">
      <c r="D17" s="7"/>
      <c r="E17" s="7"/>
      <c r="F17" s="7"/>
    </row>
    <row r="18" spans="4:6" x14ac:dyDescent="0.3">
      <c r="D18" s="4"/>
      <c r="E18" s="4"/>
      <c r="F18" s="4"/>
    </row>
    <row r="19" spans="4:6" x14ac:dyDescent="0.3">
      <c r="D19" s="4"/>
      <c r="E19" s="4"/>
      <c r="F19" s="4"/>
    </row>
    <row r="22" spans="4:6" x14ac:dyDescent="0.3">
      <c r="D22" s="7"/>
      <c r="E22" s="7"/>
      <c r="F22" s="7"/>
    </row>
    <row r="24" spans="4:6" x14ac:dyDescent="0.3">
      <c r="D24" s="4"/>
      <c r="E24" s="4"/>
      <c r="F24" s="4"/>
    </row>
    <row r="25" spans="4:6" x14ac:dyDescent="0.3">
      <c r="D25" s="4"/>
      <c r="E25" s="4"/>
      <c r="F25" s="4"/>
    </row>
    <row r="26" spans="4:6" x14ac:dyDescent="0.3">
      <c r="D26" s="4"/>
      <c r="E26" s="4"/>
      <c r="F26" s="4"/>
    </row>
  </sheetData>
  <sheetProtection algorithmName="SHA-512" hashValue="sQ+SIflNW02UjHSXGtxB0aWpNVEWAnOApnlzkabzjG9g/d4UVVmcQ5anX3kv5X2sFL9d4f68qbRImqyAd+DtZA==" saltValue="ndTH17NT3UFz8bUVZuGreg==" spinCount="100000" sheet="1" objects="1" scenarios="1"/>
  <mergeCells count="6">
    <mergeCell ref="C4:C5"/>
    <mergeCell ref="B9:F10"/>
    <mergeCell ref="B2:B3"/>
    <mergeCell ref="B4:B5"/>
    <mergeCell ref="C2:F3"/>
    <mergeCell ref="E4:E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</sheetPr>
  <dimension ref="B1:H33"/>
  <sheetViews>
    <sheetView showGridLines="0" zoomScaleNormal="100" workbookViewId="0">
      <selection activeCell="E27" sqref="E27"/>
    </sheetView>
  </sheetViews>
  <sheetFormatPr baseColWidth="10" defaultRowHeight="14.4" x14ac:dyDescent="0.3"/>
  <cols>
    <col min="1" max="1" width="4.44140625" customWidth="1"/>
    <col min="2" max="2" width="52.6640625" customWidth="1"/>
    <col min="3" max="3" width="18.33203125" customWidth="1"/>
    <col min="4" max="4" width="16.109375" customWidth="1"/>
    <col min="5" max="5" width="15.88671875" customWidth="1"/>
    <col min="6" max="6" width="16.6640625" bestFit="1" customWidth="1"/>
    <col min="7" max="7" width="22.44140625" customWidth="1"/>
  </cols>
  <sheetData>
    <row r="1" spans="2:8" ht="15" thickBot="1" x14ac:dyDescent="0.35"/>
    <row r="2" spans="2:8" ht="17.25" customHeight="1" x14ac:dyDescent="0.3">
      <c r="B2" s="80"/>
      <c r="C2" s="82" t="s">
        <v>37</v>
      </c>
      <c r="D2" s="83"/>
      <c r="E2" s="83"/>
      <c r="F2" s="83"/>
      <c r="G2" s="83"/>
      <c r="H2" s="83"/>
    </row>
    <row r="3" spans="2:8" ht="34.5" customHeight="1" thickBot="1" x14ac:dyDescent="0.35">
      <c r="B3" s="81"/>
      <c r="C3" s="82"/>
      <c r="D3" s="83"/>
      <c r="E3" s="83"/>
      <c r="F3" s="83"/>
      <c r="G3" s="83"/>
      <c r="H3" s="83"/>
    </row>
    <row r="4" spans="2:8" ht="17.25" customHeight="1" x14ac:dyDescent="0.3">
      <c r="B4" s="84" t="s">
        <v>29</v>
      </c>
      <c r="C4" s="30" t="s">
        <v>2</v>
      </c>
      <c r="D4" s="5" t="s">
        <v>4</v>
      </c>
      <c r="E4" s="5" t="s">
        <v>5</v>
      </c>
      <c r="F4" s="87"/>
      <c r="G4" s="87"/>
      <c r="H4" s="87"/>
    </row>
    <row r="5" spans="2:8" ht="17.25" customHeight="1" x14ac:dyDescent="0.3">
      <c r="B5" s="85"/>
      <c r="C5" s="88" t="s">
        <v>34</v>
      </c>
      <c r="D5" s="90" t="s">
        <v>34</v>
      </c>
      <c r="E5" s="90" t="s">
        <v>34</v>
      </c>
      <c r="F5" s="6" t="s">
        <v>7</v>
      </c>
      <c r="G5" s="6" t="s">
        <v>9</v>
      </c>
      <c r="H5" s="92" t="s">
        <v>10</v>
      </c>
    </row>
    <row r="6" spans="2:8" ht="21" customHeight="1" thickBot="1" x14ac:dyDescent="0.35">
      <c r="B6" s="86"/>
      <c r="C6" s="89"/>
      <c r="D6" s="91"/>
      <c r="E6" s="91"/>
      <c r="F6" s="28" t="s">
        <v>3</v>
      </c>
      <c r="G6" s="28" t="s">
        <v>3</v>
      </c>
      <c r="H6" s="92"/>
    </row>
    <row r="7" spans="2:8" ht="15" customHeight="1" x14ac:dyDescent="0.3">
      <c r="B7" s="77" t="s">
        <v>38</v>
      </c>
      <c r="C7" s="78"/>
      <c r="D7" s="78"/>
      <c r="E7" s="78"/>
      <c r="F7" s="78"/>
      <c r="G7" s="78"/>
      <c r="H7" s="79"/>
    </row>
    <row r="8" spans="2:8" ht="15.6" x14ac:dyDescent="0.3">
      <c r="B8" s="27" t="s">
        <v>31</v>
      </c>
      <c r="C8" s="1">
        <v>560500000</v>
      </c>
      <c r="D8" s="1">
        <v>538598000</v>
      </c>
      <c r="E8" s="1">
        <v>498977000</v>
      </c>
      <c r="F8" s="9">
        <f>+GEOMEAN(C8:E8)</f>
        <v>532075947.36219543</v>
      </c>
      <c r="G8" s="9">
        <f>+_xlfn.STDEV.P(C8:E8)</f>
        <v>25461519.492930677</v>
      </c>
      <c r="H8" s="34">
        <f>+G8/F8</f>
        <v>4.7853167614807589E-2</v>
      </c>
    </row>
    <row r="9" spans="2:8" ht="15.6" x14ac:dyDescent="0.3">
      <c r="B9" s="27" t="s">
        <v>30</v>
      </c>
      <c r="C9" s="2">
        <v>540320000</v>
      </c>
      <c r="D9" s="2">
        <v>641145000</v>
      </c>
      <c r="E9" s="2">
        <v>498977000</v>
      </c>
      <c r="F9" s="9">
        <f t="shared" ref="F9:F14" si="0">+GEOMEAN(C9:E9)</f>
        <v>557052263.85835826</v>
      </c>
      <c r="G9" s="9">
        <f>+_xlfn.STDEV.P(C9:E9)</f>
        <v>59709169.682907231</v>
      </c>
      <c r="H9" s="34">
        <f>+G9/F9</f>
        <v>0.10718773364161301</v>
      </c>
    </row>
    <row r="10" spans="2:8" ht="31.2" x14ac:dyDescent="0.3">
      <c r="B10" s="27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1010872752.8046186</v>
      </c>
      <c r="G10" s="9">
        <f>+_xlfn.STDEV.P(C10:E10)</f>
        <v>47955939.84991733</v>
      </c>
      <c r="H10" s="34">
        <f>+G10/F10</f>
        <v>4.7440134989162427E-2</v>
      </c>
    </row>
    <row r="11" spans="2:8" ht="15.6" x14ac:dyDescent="0.3">
      <c r="B11" s="27" t="s">
        <v>36</v>
      </c>
      <c r="C11" s="1">
        <v>920500000</v>
      </c>
      <c r="D11" s="1">
        <v>1024355000</v>
      </c>
      <c r="E11" s="1">
        <v>997665000</v>
      </c>
      <c r="F11" s="9">
        <f t="shared" si="0"/>
        <v>979835131.97470129</v>
      </c>
      <c r="G11" s="9">
        <f>+_xlfn.STDEV.P(C11:E11)</f>
        <v>44036164.872371286</v>
      </c>
      <c r="H11" s="34">
        <f>+G11/F11</f>
        <v>4.4942422898864041E-2</v>
      </c>
    </row>
    <row r="12" spans="2:8" ht="15" customHeight="1" x14ac:dyDescent="0.3">
      <c r="B12" s="77" t="s">
        <v>35</v>
      </c>
      <c r="C12" s="78"/>
      <c r="D12" s="78"/>
      <c r="E12" s="78"/>
      <c r="F12" s="78"/>
      <c r="G12" s="78"/>
      <c r="H12" s="79"/>
    </row>
    <row r="13" spans="2:8" ht="15.6" x14ac:dyDescent="0.3">
      <c r="B13" s="27" t="s">
        <v>26</v>
      </c>
      <c r="C13" s="1">
        <v>340500000</v>
      </c>
      <c r="D13" s="1">
        <v>538598000</v>
      </c>
      <c r="E13" s="1">
        <v>498977000</v>
      </c>
      <c r="F13" s="9">
        <f t="shared" si="0"/>
        <v>450630718.62022907</v>
      </c>
      <c r="G13" s="9">
        <f>+_xlfn.STDEV.P(C13:E13)</f>
        <v>85587902.035795197</v>
      </c>
      <c r="H13" s="34">
        <f>+G13/F13</f>
        <v>0.18992913376578918</v>
      </c>
    </row>
    <row r="14" spans="2:8" ht="15.6" x14ac:dyDescent="0.3">
      <c r="B14" s="27" t="s">
        <v>33</v>
      </c>
      <c r="C14" s="1">
        <v>540320000</v>
      </c>
      <c r="D14" s="1">
        <v>641145000</v>
      </c>
      <c r="E14" s="1">
        <v>498977000</v>
      </c>
      <c r="F14" s="9">
        <f t="shared" si="0"/>
        <v>557052263.85835826</v>
      </c>
      <c r="G14" s="9">
        <f>+_xlfn.STDEV.P(C14:E14)</f>
        <v>59709169.682907231</v>
      </c>
      <c r="H14" s="34">
        <f>+G14/F14</f>
        <v>0.10718773364161301</v>
      </c>
    </row>
    <row r="15" spans="2:8" ht="31.2" x14ac:dyDescent="0.3">
      <c r="B15" s="27" t="s">
        <v>32</v>
      </c>
      <c r="C15" s="1">
        <v>950350000</v>
      </c>
      <c r="D15" s="1">
        <v>945431000</v>
      </c>
      <c r="E15" s="1">
        <v>998954000</v>
      </c>
      <c r="F15" s="9">
        <f>+GEOMEAN(C15:E15)</f>
        <v>964612686.05550313</v>
      </c>
      <c r="G15" s="9">
        <f>+_xlfn.STDEV.P(C15:E15)</f>
        <v>24155185.562432669</v>
      </c>
      <c r="H15" s="34">
        <f>+G15/F15</f>
        <v>2.5041331004268794E-2</v>
      </c>
    </row>
    <row r="16" spans="2:8" ht="15.6" x14ac:dyDescent="0.3">
      <c r="B16" s="31" t="s">
        <v>27</v>
      </c>
      <c r="C16" s="32"/>
      <c r="D16" s="32"/>
      <c r="E16" s="32"/>
      <c r="F16" s="33"/>
      <c r="G16" s="33"/>
      <c r="H16" s="35"/>
    </row>
    <row r="17" spans="2:8" x14ac:dyDescent="0.3">
      <c r="B17" s="29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5052131764.5339642</v>
      </c>
      <c r="G17" s="36">
        <f>+_xlfn.STDEV.P(C17:E17)</f>
        <v>248015750.05677006</v>
      </c>
      <c r="H17" s="37">
        <f>+G17/F17</f>
        <v>4.909130672280642E-2</v>
      </c>
    </row>
    <row r="21" spans="2:8" x14ac:dyDescent="0.3">
      <c r="F21" s="4"/>
    </row>
    <row r="22" spans="2:8" x14ac:dyDescent="0.3">
      <c r="C22" s="7"/>
    </row>
    <row r="23" spans="2:8" x14ac:dyDescent="0.3">
      <c r="C23" s="7"/>
    </row>
    <row r="24" spans="2:8" x14ac:dyDescent="0.3">
      <c r="C24" s="7"/>
    </row>
    <row r="25" spans="2:8" x14ac:dyDescent="0.3">
      <c r="C25" s="4"/>
    </row>
    <row r="26" spans="2:8" x14ac:dyDescent="0.3">
      <c r="C26" s="4"/>
    </row>
    <row r="29" spans="2:8" x14ac:dyDescent="0.3">
      <c r="C29" s="7"/>
    </row>
    <row r="31" spans="2:8" x14ac:dyDescent="0.3">
      <c r="C31" s="4"/>
    </row>
    <row r="32" spans="2:8" x14ac:dyDescent="0.3">
      <c r="C32" s="4"/>
    </row>
    <row r="33" spans="3:3" x14ac:dyDescent="0.3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B1:J33"/>
  <sheetViews>
    <sheetView showGridLines="0" zoomScaleNormal="100" workbookViewId="0">
      <selection activeCell="H27" sqref="H27"/>
    </sheetView>
  </sheetViews>
  <sheetFormatPr baseColWidth="10" defaultRowHeight="14.4" x14ac:dyDescent="0.3"/>
  <cols>
    <col min="1" max="1" width="4.44140625" customWidth="1"/>
    <col min="2" max="2" width="52.6640625" customWidth="1"/>
    <col min="3" max="3" width="18.33203125" customWidth="1"/>
    <col min="4" max="4" width="16.109375" customWidth="1"/>
    <col min="5" max="5" width="15.88671875" customWidth="1"/>
    <col min="6" max="6" width="16.6640625" bestFit="1" customWidth="1"/>
    <col min="7" max="7" width="22.44140625" customWidth="1"/>
    <col min="9" max="9" width="15.5546875" bestFit="1" customWidth="1"/>
  </cols>
  <sheetData>
    <row r="1" spans="2:10" ht="15" thickBot="1" x14ac:dyDescent="0.35"/>
    <row r="2" spans="2:10" ht="17.25" customHeight="1" x14ac:dyDescent="0.3">
      <c r="B2" s="80"/>
      <c r="C2" s="82" t="s">
        <v>37</v>
      </c>
      <c r="D2" s="83"/>
      <c r="E2" s="83"/>
      <c r="F2" s="83"/>
      <c r="G2" s="83"/>
      <c r="H2" s="83"/>
    </row>
    <row r="3" spans="2:10" ht="34.5" customHeight="1" thickBot="1" x14ac:dyDescent="0.35">
      <c r="B3" s="81"/>
      <c r="C3" s="82"/>
      <c r="D3" s="83"/>
      <c r="E3" s="83"/>
      <c r="F3" s="83"/>
      <c r="G3" s="83"/>
      <c r="H3" s="83"/>
    </row>
    <row r="4" spans="2:10" ht="17.25" customHeight="1" x14ac:dyDescent="0.3">
      <c r="B4" s="84" t="s">
        <v>29</v>
      </c>
      <c r="C4" s="30" t="s">
        <v>2</v>
      </c>
      <c r="D4" s="5" t="s">
        <v>4</v>
      </c>
      <c r="E4" s="5" t="s">
        <v>5</v>
      </c>
      <c r="F4" s="87"/>
      <c r="G4" s="87"/>
      <c r="H4" s="87"/>
    </row>
    <row r="5" spans="2:10" ht="17.25" customHeight="1" x14ac:dyDescent="0.3">
      <c r="B5" s="85"/>
      <c r="C5" s="88" t="s">
        <v>34</v>
      </c>
      <c r="D5" s="90" t="s">
        <v>34</v>
      </c>
      <c r="E5" s="90" t="s">
        <v>34</v>
      </c>
      <c r="F5" s="6" t="s">
        <v>8</v>
      </c>
      <c r="G5" s="6" t="s">
        <v>9</v>
      </c>
      <c r="H5" s="92" t="s">
        <v>10</v>
      </c>
    </row>
    <row r="6" spans="2:10" ht="21" customHeight="1" thickBot="1" x14ac:dyDescent="0.35">
      <c r="B6" s="86"/>
      <c r="C6" s="89"/>
      <c r="D6" s="91"/>
      <c r="E6" s="91"/>
      <c r="F6" s="28" t="s">
        <v>3</v>
      </c>
      <c r="G6" s="28" t="s">
        <v>3</v>
      </c>
      <c r="H6" s="92"/>
    </row>
    <row r="7" spans="2:10" ht="15" customHeight="1" x14ac:dyDescent="0.3">
      <c r="B7" s="77" t="s">
        <v>38</v>
      </c>
      <c r="C7" s="78"/>
      <c r="D7" s="78"/>
      <c r="E7" s="78"/>
      <c r="F7" s="78"/>
      <c r="G7" s="78"/>
      <c r="H7" s="79"/>
    </row>
    <row r="8" spans="2:10" ht="15.6" x14ac:dyDescent="0.3">
      <c r="B8" s="27" t="s">
        <v>31</v>
      </c>
      <c r="C8" s="1">
        <v>560500000</v>
      </c>
      <c r="D8" s="1">
        <v>538598000</v>
      </c>
      <c r="E8" s="1">
        <v>498977000</v>
      </c>
      <c r="F8" s="9">
        <f>+HARMEAN(C8:E8)</f>
        <v>531453731.89920044</v>
      </c>
      <c r="G8" s="9">
        <f>+_xlfn.STDEV.P(C8:E8)</f>
        <v>25461519.492930677</v>
      </c>
      <c r="H8" s="34">
        <f>+G8/F8</f>
        <v>4.790919315203887E-2</v>
      </c>
      <c r="I8" s="4"/>
      <c r="J8" s="12"/>
    </row>
    <row r="9" spans="2:10" ht="15.6" x14ac:dyDescent="0.3">
      <c r="B9" s="27" t="s">
        <v>30</v>
      </c>
      <c r="C9" s="2">
        <v>540320000</v>
      </c>
      <c r="D9" s="2">
        <v>641145000</v>
      </c>
      <c r="E9" s="2">
        <v>498977000</v>
      </c>
      <c r="F9" s="9">
        <f t="shared" ref="F9:F10" si="0">+HARMEAN(C9:E9)</f>
        <v>554061121.42356193</v>
      </c>
      <c r="G9" s="9">
        <f>+_xlfn.STDEV.P(C9:E9)</f>
        <v>59709169.682907231</v>
      </c>
      <c r="H9" s="34">
        <f>+G9/F9</f>
        <v>0.10776639503146349</v>
      </c>
    </row>
    <row r="10" spans="2:10" ht="31.2" x14ac:dyDescent="0.3">
      <c r="B10" s="27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1009763080.4893733</v>
      </c>
      <c r="G10" s="9">
        <f>+_xlfn.STDEV.P(C10:E10)</f>
        <v>47955939.84991733</v>
      </c>
      <c r="H10" s="34">
        <f>+G10/F10</f>
        <v>4.7492269004998561E-2</v>
      </c>
    </row>
    <row r="11" spans="2:10" ht="15.6" x14ac:dyDescent="0.3">
      <c r="B11" s="27" t="s">
        <v>36</v>
      </c>
      <c r="C11" s="1">
        <v>920500000</v>
      </c>
      <c r="D11" s="1">
        <v>1024355000</v>
      </c>
      <c r="E11" s="1">
        <v>997665000</v>
      </c>
      <c r="F11" s="9">
        <f>+HARMEAN(C11:E11)</f>
        <v>978814974.60187066</v>
      </c>
      <c r="G11" s="9">
        <f>+_xlfn.STDEV.P(C11:E11)</f>
        <v>44036164.872371286</v>
      </c>
      <c r="H11" s="34">
        <f>+G11/F11</f>
        <v>4.4989263563609487E-2</v>
      </c>
    </row>
    <row r="12" spans="2:10" ht="15" customHeight="1" x14ac:dyDescent="0.3">
      <c r="B12" s="77" t="s">
        <v>35</v>
      </c>
      <c r="C12" s="78"/>
      <c r="D12" s="78"/>
      <c r="E12" s="78"/>
      <c r="F12" s="78"/>
      <c r="G12" s="78"/>
      <c r="H12" s="79"/>
    </row>
    <row r="13" spans="2:10" ht="15.6" x14ac:dyDescent="0.3">
      <c r="B13" s="27" t="s">
        <v>26</v>
      </c>
      <c r="C13" s="1">
        <v>340500000</v>
      </c>
      <c r="D13" s="1">
        <v>538598000</v>
      </c>
      <c r="E13" s="1">
        <v>498977000</v>
      </c>
      <c r="F13" s="9">
        <f t="shared" ref="F13:F15" si="1">+HARMEAN(C13:E13)</f>
        <v>441330269.3108272</v>
      </c>
      <c r="G13" s="9">
        <f>+_xlfn.STDEV.P(C13:E13)</f>
        <v>85587902.035795197</v>
      </c>
      <c r="H13" s="34">
        <f>+G13/F13</f>
        <v>0.19393163802122074</v>
      </c>
    </row>
    <row r="14" spans="2:10" ht="15.6" x14ac:dyDescent="0.3">
      <c r="B14" s="27" t="s">
        <v>33</v>
      </c>
      <c r="C14" s="1">
        <v>540320000</v>
      </c>
      <c r="D14" s="1">
        <v>641145000</v>
      </c>
      <c r="E14" s="1">
        <v>498977000</v>
      </c>
      <c r="F14" s="9">
        <f t="shared" si="1"/>
        <v>554061121.42356193</v>
      </c>
      <c r="G14" s="9">
        <f>+_xlfn.STDEV.P(C14:E14)</f>
        <v>59709169.682907231</v>
      </c>
      <c r="H14" s="34">
        <f>+G14/F14</f>
        <v>0.10776639503146349</v>
      </c>
    </row>
    <row r="15" spans="2:10" ht="31.2" x14ac:dyDescent="0.3">
      <c r="B15" s="27" t="s">
        <v>32</v>
      </c>
      <c r="C15" s="1">
        <v>950350000</v>
      </c>
      <c r="D15" s="1">
        <v>945431000</v>
      </c>
      <c r="E15" s="1">
        <v>998954000</v>
      </c>
      <c r="F15" s="9">
        <f t="shared" si="1"/>
        <v>964317161.72933245</v>
      </c>
      <c r="G15" s="9">
        <f>+_xlfn.STDEV.P(C15:E15)</f>
        <v>24155185.562432669</v>
      </c>
      <c r="H15" s="34">
        <f>+G15/F15</f>
        <v>2.5049005162486801E-2</v>
      </c>
    </row>
    <row r="16" spans="2:10" ht="15.6" x14ac:dyDescent="0.3">
      <c r="B16" s="31" t="s">
        <v>27</v>
      </c>
      <c r="C16" s="32"/>
      <c r="D16" s="32"/>
      <c r="E16" s="32"/>
      <c r="F16" s="33"/>
      <c r="G16" s="33"/>
      <c r="H16" s="35"/>
    </row>
    <row r="17" spans="2:8" x14ac:dyDescent="0.3">
      <c r="B17" s="29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5033801460.8777275</v>
      </c>
      <c r="G17" s="36">
        <f>+_xlfn.STDEV.P(C17:E17)</f>
        <v>248015750.05677006</v>
      </c>
      <c r="H17" s="37">
        <f>+G17/F17</f>
        <v>4.9270069943029571E-2</v>
      </c>
    </row>
    <row r="21" spans="2:8" x14ac:dyDescent="0.3">
      <c r="F21" s="4"/>
    </row>
    <row r="22" spans="2:8" x14ac:dyDescent="0.3">
      <c r="C22" s="7"/>
    </row>
    <row r="23" spans="2:8" x14ac:dyDescent="0.3">
      <c r="C23" s="7"/>
    </row>
    <row r="24" spans="2:8" x14ac:dyDescent="0.3">
      <c r="C24" s="7"/>
    </row>
    <row r="25" spans="2:8" x14ac:dyDescent="0.3">
      <c r="C25" s="4"/>
    </row>
    <row r="26" spans="2:8" x14ac:dyDescent="0.3">
      <c r="C26" s="4"/>
    </row>
    <row r="29" spans="2:8" x14ac:dyDescent="0.3">
      <c r="C29" s="7"/>
    </row>
    <row r="31" spans="2:8" x14ac:dyDescent="0.3">
      <c r="C31" s="4"/>
    </row>
    <row r="32" spans="2:8" x14ac:dyDescent="0.3">
      <c r="C32" s="4"/>
    </row>
    <row r="33" spans="3:3" x14ac:dyDescent="0.3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B1:H25"/>
  <sheetViews>
    <sheetView showGridLines="0" zoomScaleNormal="100" workbookViewId="0">
      <selection activeCell="E15" sqref="E15"/>
    </sheetView>
  </sheetViews>
  <sheetFormatPr baseColWidth="10" defaultRowHeight="14.4" x14ac:dyDescent="0.3"/>
  <cols>
    <col min="1" max="1" width="4.44140625" customWidth="1"/>
    <col min="2" max="2" width="52.6640625" customWidth="1"/>
    <col min="3" max="3" width="18.33203125" customWidth="1"/>
    <col min="4" max="4" width="16.109375" customWidth="1"/>
    <col min="5" max="5" width="15.88671875" customWidth="1"/>
    <col min="6" max="6" width="15.5546875" bestFit="1" customWidth="1"/>
    <col min="7" max="7" width="16.6640625" bestFit="1" customWidth="1"/>
    <col min="8" max="8" width="16.6640625" customWidth="1"/>
  </cols>
  <sheetData>
    <row r="1" spans="2:8" ht="15" thickBot="1" x14ac:dyDescent="0.35"/>
    <row r="2" spans="2:8" ht="17.25" customHeight="1" x14ac:dyDescent="0.3">
      <c r="B2" s="80"/>
      <c r="C2" s="93" t="s">
        <v>41</v>
      </c>
      <c r="D2" s="94"/>
      <c r="E2" s="94"/>
      <c r="F2" s="94"/>
      <c r="G2" s="94"/>
      <c r="H2" s="95"/>
    </row>
    <row r="3" spans="2:8" ht="34.5" customHeight="1" thickBot="1" x14ac:dyDescent="0.35">
      <c r="B3" s="81"/>
      <c r="C3" s="96"/>
      <c r="D3" s="97"/>
      <c r="E3" s="97"/>
      <c r="F3" s="97"/>
      <c r="G3" s="97"/>
      <c r="H3" s="98"/>
    </row>
    <row r="4" spans="2:8" ht="17.25" customHeight="1" x14ac:dyDescent="0.3">
      <c r="B4" s="84" t="s">
        <v>29</v>
      </c>
      <c r="C4" s="39" t="s">
        <v>2</v>
      </c>
      <c r="D4" s="40" t="s">
        <v>4</v>
      </c>
      <c r="E4" s="40" t="s">
        <v>5</v>
      </c>
      <c r="F4" s="43"/>
      <c r="G4" s="99" t="s">
        <v>9</v>
      </c>
      <c r="H4" s="91" t="s">
        <v>10</v>
      </c>
    </row>
    <row r="5" spans="2:8" ht="24" customHeight="1" x14ac:dyDescent="0.3">
      <c r="B5" s="85"/>
      <c r="C5" s="88" t="s">
        <v>34</v>
      </c>
      <c r="D5" s="90" t="s">
        <v>34</v>
      </c>
      <c r="E5" s="90" t="s">
        <v>34</v>
      </c>
      <c r="F5" s="6" t="s">
        <v>6</v>
      </c>
      <c r="G5" s="100"/>
      <c r="H5" s="92"/>
    </row>
    <row r="6" spans="2:8" ht="21" customHeight="1" thickBot="1" x14ac:dyDescent="0.35">
      <c r="B6" s="86"/>
      <c r="C6" s="89"/>
      <c r="D6" s="91"/>
      <c r="E6" s="91"/>
      <c r="F6" s="28" t="s">
        <v>3</v>
      </c>
      <c r="G6" s="28" t="s">
        <v>3</v>
      </c>
      <c r="H6" s="28" t="s">
        <v>3</v>
      </c>
    </row>
    <row r="7" spans="2:8" ht="15.6" x14ac:dyDescent="0.3">
      <c r="B7" s="38" t="s">
        <v>39</v>
      </c>
      <c r="C7" s="1">
        <v>243950</v>
      </c>
      <c r="D7" s="1">
        <v>297500</v>
      </c>
      <c r="E7" s="1">
        <v>107100</v>
      </c>
      <c r="F7" s="9">
        <f>+AVERAGE(C7:E7)</f>
        <v>216183.33333333334</v>
      </c>
      <c r="G7" s="42">
        <f>+_xlfn.STDEV.P(C7:E7)</f>
        <v>80171.818961250683</v>
      </c>
      <c r="H7" s="34">
        <f>+G7/F7</f>
        <v>0.3708510629616098</v>
      </c>
    </row>
    <row r="8" spans="2:8" ht="31.2" x14ac:dyDescent="0.3">
      <c r="B8" s="38" t="s">
        <v>40</v>
      </c>
      <c r="C8" s="2">
        <v>654500</v>
      </c>
      <c r="D8" s="2">
        <v>856800</v>
      </c>
      <c r="E8" s="2">
        <v>178500</v>
      </c>
      <c r="F8" s="9">
        <f>+AVERAGE(C8:E8)</f>
        <v>563266.66666666663</v>
      </c>
      <c r="G8" s="42">
        <f>+_xlfn.STDEV.P(C8:E8)</f>
        <v>284330.0468743245</v>
      </c>
      <c r="H8" s="34">
        <f>+G8/F8</f>
        <v>0.50478763204105426</v>
      </c>
    </row>
    <row r="9" spans="2:8" x14ac:dyDescent="0.3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3">
        <f>SUM(F7:F8)</f>
        <v>779450</v>
      </c>
      <c r="G9" s="10">
        <f>SUM(G7:G8)</f>
        <v>364501.86583557515</v>
      </c>
    </row>
    <row r="14" spans="2:8" x14ac:dyDescent="0.3">
      <c r="C14" s="7"/>
    </row>
    <row r="15" spans="2:8" x14ac:dyDescent="0.3">
      <c r="C15" s="7"/>
    </row>
    <row r="16" spans="2:8" x14ac:dyDescent="0.3">
      <c r="C16" s="7"/>
    </row>
    <row r="17" spans="3:3" x14ac:dyDescent="0.3">
      <c r="C17" s="4"/>
    </row>
    <row r="18" spans="3:3" x14ac:dyDescent="0.3">
      <c r="C18" s="4"/>
    </row>
    <row r="21" spans="3:3" x14ac:dyDescent="0.3">
      <c r="C21" s="7"/>
    </row>
    <row r="23" spans="3:3" x14ac:dyDescent="0.3">
      <c r="C23" s="4"/>
    </row>
    <row r="24" spans="3:3" x14ac:dyDescent="0.3">
      <c r="C24" s="4"/>
    </row>
    <row r="25" spans="3:3" x14ac:dyDescent="0.3">
      <c r="C25" s="4"/>
    </row>
  </sheetData>
  <mergeCells count="8">
    <mergeCell ref="H4:H5"/>
    <mergeCell ref="C2:H3"/>
    <mergeCell ref="G4:G5"/>
    <mergeCell ref="B2:B3"/>
    <mergeCell ref="B4:B6"/>
    <mergeCell ref="C5:C6"/>
    <mergeCell ref="D5:D6"/>
    <mergeCell ref="E5:E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B1:H25"/>
  <sheetViews>
    <sheetView showGridLines="0" zoomScaleNormal="100" workbookViewId="0">
      <selection activeCell="F22" sqref="F22"/>
    </sheetView>
  </sheetViews>
  <sheetFormatPr baseColWidth="10" defaultRowHeight="14.4" x14ac:dyDescent="0.3"/>
  <cols>
    <col min="1" max="1" width="4.44140625" customWidth="1"/>
    <col min="2" max="2" width="52.6640625" customWidth="1"/>
    <col min="3" max="3" width="18.33203125" customWidth="1"/>
    <col min="4" max="4" width="16.109375" customWidth="1"/>
    <col min="5" max="5" width="15.88671875" customWidth="1"/>
    <col min="6" max="6" width="15.5546875" bestFit="1" customWidth="1"/>
    <col min="7" max="7" width="16.6640625" bestFit="1" customWidth="1"/>
    <col min="8" max="8" width="16.6640625" customWidth="1"/>
  </cols>
  <sheetData>
    <row r="1" spans="2:8" ht="15" thickBot="1" x14ac:dyDescent="0.35"/>
    <row r="2" spans="2:8" ht="17.25" customHeight="1" x14ac:dyDescent="0.3">
      <c r="B2" s="80"/>
      <c r="C2" s="93" t="s">
        <v>41</v>
      </c>
      <c r="D2" s="94"/>
      <c r="E2" s="94"/>
      <c r="F2" s="94"/>
      <c r="G2" s="94"/>
      <c r="H2" s="95"/>
    </row>
    <row r="3" spans="2:8" ht="34.5" customHeight="1" thickBot="1" x14ac:dyDescent="0.35">
      <c r="B3" s="81"/>
      <c r="C3" s="96"/>
      <c r="D3" s="97"/>
      <c r="E3" s="97"/>
      <c r="F3" s="97"/>
      <c r="G3" s="97"/>
      <c r="H3" s="98"/>
    </row>
    <row r="4" spans="2:8" ht="17.25" customHeight="1" x14ac:dyDescent="0.3">
      <c r="B4" s="84" t="s">
        <v>53</v>
      </c>
      <c r="C4" s="39" t="s">
        <v>2</v>
      </c>
      <c r="D4" s="40" t="s">
        <v>4</v>
      </c>
      <c r="E4" s="40" t="s">
        <v>5</v>
      </c>
      <c r="F4" s="99" t="s">
        <v>7</v>
      </c>
      <c r="G4" s="99" t="s">
        <v>9</v>
      </c>
      <c r="H4" s="91" t="s">
        <v>10</v>
      </c>
    </row>
    <row r="5" spans="2:8" ht="24" customHeight="1" x14ac:dyDescent="0.3">
      <c r="B5" s="85"/>
      <c r="C5" s="88" t="s">
        <v>34</v>
      </c>
      <c r="D5" s="90" t="s">
        <v>34</v>
      </c>
      <c r="E5" s="90" t="s">
        <v>34</v>
      </c>
      <c r="F5" s="100"/>
      <c r="G5" s="100"/>
      <c r="H5" s="92"/>
    </row>
    <row r="6" spans="2:8" ht="21" customHeight="1" thickBot="1" x14ac:dyDescent="0.35">
      <c r="B6" s="86"/>
      <c r="C6" s="89"/>
      <c r="D6" s="91"/>
      <c r="E6" s="91"/>
      <c r="F6" s="28" t="s">
        <v>3</v>
      </c>
      <c r="G6" s="28" t="s">
        <v>3</v>
      </c>
      <c r="H6" s="28" t="s">
        <v>3</v>
      </c>
    </row>
    <row r="7" spans="2:8" ht="15.6" x14ac:dyDescent="0.3">
      <c r="B7" s="38" t="s">
        <v>39</v>
      </c>
      <c r="C7" s="1">
        <v>243950</v>
      </c>
      <c r="D7" s="1">
        <v>297500</v>
      </c>
      <c r="E7" s="1">
        <v>107100</v>
      </c>
      <c r="F7" s="8">
        <f>+GEOMEAN(C7:E7)</f>
        <v>198088.4199135169</v>
      </c>
      <c r="G7" s="42">
        <f>+_xlfn.STDEV.P(C7:E7)</f>
        <v>80171.818961250683</v>
      </c>
      <c r="H7" s="34">
        <f>+G7/F7</f>
        <v>0.40472743937405714</v>
      </c>
    </row>
    <row r="8" spans="2:8" ht="31.2" x14ac:dyDescent="0.3">
      <c r="B8" s="38" t="s">
        <v>40</v>
      </c>
      <c r="C8" s="2">
        <v>654500</v>
      </c>
      <c r="D8" s="2">
        <v>856800</v>
      </c>
      <c r="E8" s="2">
        <v>178500</v>
      </c>
      <c r="F8" s="8">
        <f>+GEOMEAN(C8:E8)</f>
        <v>464311.14652594511</v>
      </c>
      <c r="G8" s="42">
        <f>+_xlfn.STDEV.P(C8:E8)</f>
        <v>284330.0468743245</v>
      </c>
      <c r="H8" s="34">
        <f>+G8/F8</f>
        <v>0.61236963403039157</v>
      </c>
    </row>
    <row r="9" spans="2:8" x14ac:dyDescent="0.3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662399.56643946201</v>
      </c>
      <c r="G9" s="10">
        <f>SUM(G7:G8)</f>
        <v>364501.86583557515</v>
      </c>
    </row>
    <row r="11" spans="2:8" x14ac:dyDescent="0.3">
      <c r="H11" s="12"/>
    </row>
    <row r="13" spans="2:8" x14ac:dyDescent="0.3">
      <c r="F13" s="55"/>
    </row>
    <row r="14" spans="2:8" x14ac:dyDescent="0.3">
      <c r="C14" s="7"/>
      <c r="F14" s="55"/>
    </row>
    <row r="15" spans="2:8" x14ac:dyDescent="0.3">
      <c r="C15" s="7"/>
    </row>
    <row r="16" spans="2:8" x14ac:dyDescent="0.3">
      <c r="C16" s="7"/>
    </row>
    <row r="17" spans="3:3" x14ac:dyDescent="0.3">
      <c r="C17" s="4"/>
    </row>
    <row r="18" spans="3:3" x14ac:dyDescent="0.3">
      <c r="C18" s="4"/>
    </row>
    <row r="21" spans="3:3" x14ac:dyDescent="0.3">
      <c r="C21" s="7"/>
    </row>
    <row r="23" spans="3:3" x14ac:dyDescent="0.3">
      <c r="C23" s="4"/>
    </row>
    <row r="24" spans="3:3" x14ac:dyDescent="0.3">
      <c r="C24" s="4"/>
    </row>
    <row r="25" spans="3:3" x14ac:dyDescent="0.3">
      <c r="C25" s="4"/>
    </row>
  </sheetData>
  <mergeCells count="9">
    <mergeCell ref="B2:B3"/>
    <mergeCell ref="C2:H3"/>
    <mergeCell ref="B4:B6"/>
    <mergeCell ref="G4:G5"/>
    <mergeCell ref="H4:H5"/>
    <mergeCell ref="C5:C6"/>
    <mergeCell ref="D5:D6"/>
    <mergeCell ref="E5:E6"/>
    <mergeCell ref="F4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B1:H25"/>
  <sheetViews>
    <sheetView showGridLines="0" zoomScaleNormal="100" workbookViewId="0">
      <selection activeCell="I24" sqref="I24"/>
    </sheetView>
  </sheetViews>
  <sheetFormatPr baseColWidth="10" defaultRowHeight="14.4" x14ac:dyDescent="0.3"/>
  <cols>
    <col min="1" max="1" width="4.44140625" customWidth="1"/>
    <col min="2" max="2" width="52.6640625" customWidth="1"/>
    <col min="3" max="3" width="18.33203125" customWidth="1"/>
    <col min="4" max="4" width="16.109375" customWidth="1"/>
    <col min="5" max="5" width="15.88671875" customWidth="1"/>
    <col min="6" max="6" width="15.5546875" bestFit="1" customWidth="1"/>
    <col min="7" max="7" width="16.6640625" bestFit="1" customWidth="1"/>
    <col min="8" max="8" width="16.6640625" customWidth="1"/>
  </cols>
  <sheetData>
    <row r="1" spans="2:8" ht="15" thickBot="1" x14ac:dyDescent="0.35"/>
    <row r="2" spans="2:8" ht="17.25" customHeight="1" x14ac:dyDescent="0.3">
      <c r="B2" s="80"/>
      <c r="C2" s="93" t="s">
        <v>41</v>
      </c>
      <c r="D2" s="94"/>
      <c r="E2" s="94"/>
      <c r="F2" s="94"/>
      <c r="G2" s="94"/>
      <c r="H2" s="95"/>
    </row>
    <row r="3" spans="2:8" ht="34.5" customHeight="1" thickBot="1" x14ac:dyDescent="0.35">
      <c r="B3" s="81"/>
      <c r="C3" s="96"/>
      <c r="D3" s="97"/>
      <c r="E3" s="97"/>
      <c r="F3" s="97"/>
      <c r="G3" s="97"/>
      <c r="H3" s="98"/>
    </row>
    <row r="4" spans="2:8" ht="17.25" customHeight="1" x14ac:dyDescent="0.3">
      <c r="B4" s="84" t="s">
        <v>29</v>
      </c>
      <c r="C4" s="39" t="s">
        <v>2</v>
      </c>
      <c r="D4" s="40" t="s">
        <v>4</v>
      </c>
      <c r="E4" s="40" t="s">
        <v>5</v>
      </c>
      <c r="F4" s="44"/>
      <c r="G4" s="99" t="s">
        <v>9</v>
      </c>
      <c r="H4" s="91" t="s">
        <v>10</v>
      </c>
    </row>
    <row r="5" spans="2:8" ht="24" customHeight="1" x14ac:dyDescent="0.3">
      <c r="B5" s="85"/>
      <c r="C5" s="88" t="s">
        <v>34</v>
      </c>
      <c r="D5" s="90" t="s">
        <v>34</v>
      </c>
      <c r="E5" s="90" t="s">
        <v>34</v>
      </c>
      <c r="F5" s="6" t="s">
        <v>8</v>
      </c>
      <c r="G5" s="100"/>
      <c r="H5" s="92"/>
    </row>
    <row r="6" spans="2:8" ht="21" customHeight="1" thickBot="1" x14ac:dyDescent="0.35">
      <c r="B6" s="86"/>
      <c r="C6" s="89"/>
      <c r="D6" s="91"/>
      <c r="E6" s="91"/>
      <c r="F6" s="28" t="s">
        <v>3</v>
      </c>
      <c r="G6" s="28" t="s">
        <v>3</v>
      </c>
      <c r="H6" s="28" t="s">
        <v>3</v>
      </c>
    </row>
    <row r="7" spans="2:8" ht="15.6" x14ac:dyDescent="0.3">
      <c r="B7" s="38" t="s">
        <v>39</v>
      </c>
      <c r="C7" s="1">
        <v>243950</v>
      </c>
      <c r="D7" s="1">
        <v>297500</v>
      </c>
      <c r="E7" s="1">
        <v>107100</v>
      </c>
      <c r="F7" s="8">
        <f>+HARMEAN(C7:E7)</f>
        <v>178596.80043383947</v>
      </c>
      <c r="G7" s="42">
        <f>+_xlfn.STDEV.P(C7:E7)</f>
        <v>80171.818961250683</v>
      </c>
      <c r="H7" s="34">
        <f>+G7/F7</f>
        <v>0.44889840560693606</v>
      </c>
    </row>
    <row r="8" spans="2:8" ht="31.2" x14ac:dyDescent="0.3">
      <c r="B8" s="38" t="s">
        <v>40</v>
      </c>
      <c r="C8" s="2">
        <v>654500</v>
      </c>
      <c r="D8" s="2">
        <v>856800</v>
      </c>
      <c r="E8" s="2">
        <v>178500</v>
      </c>
      <c r="F8" s="8">
        <f>+HARMEAN(C8:E8)</f>
        <v>361565.21739130438</v>
      </c>
      <c r="G8" s="42">
        <f>+_xlfn.STDEV.P(C8:E8)</f>
        <v>284330.0468743245</v>
      </c>
      <c r="H8" s="34">
        <f>+G8/F8</f>
        <v>0.78638661352927641</v>
      </c>
    </row>
    <row r="9" spans="2:8" x14ac:dyDescent="0.3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540162.01782514388</v>
      </c>
      <c r="G9" s="10">
        <f>SUM(G7:G8)</f>
        <v>364501.86583557515</v>
      </c>
    </row>
    <row r="14" spans="2:8" x14ac:dyDescent="0.3">
      <c r="C14" s="7"/>
    </row>
    <row r="15" spans="2:8" x14ac:dyDescent="0.3">
      <c r="C15" s="7"/>
    </row>
    <row r="16" spans="2:8" x14ac:dyDescent="0.3">
      <c r="C16" s="7"/>
    </row>
    <row r="17" spans="3:3" x14ac:dyDescent="0.3">
      <c r="C17" s="4"/>
    </row>
    <row r="18" spans="3:3" x14ac:dyDescent="0.3">
      <c r="C18" s="4"/>
    </row>
    <row r="21" spans="3:3" x14ac:dyDescent="0.3">
      <c r="C21" s="7"/>
    </row>
    <row r="23" spans="3:3" x14ac:dyDescent="0.3">
      <c r="C23" s="4"/>
    </row>
    <row r="24" spans="3:3" x14ac:dyDescent="0.3">
      <c r="C24" s="4"/>
    </row>
    <row r="25" spans="3:3" x14ac:dyDescent="0.3">
      <c r="C25" s="4"/>
    </row>
  </sheetData>
  <mergeCells count="8">
    <mergeCell ref="B2:B3"/>
    <mergeCell ref="C2:H3"/>
    <mergeCell ref="B4:B6"/>
    <mergeCell ref="G4:G5"/>
    <mergeCell ref="H4:H5"/>
    <mergeCell ref="C5:C6"/>
    <mergeCell ref="D5:D6"/>
    <mergeCell ref="E5:E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6:I8"/>
  <sheetViews>
    <sheetView showGridLines="0" workbookViewId="0">
      <selection activeCell="I8" sqref="I8"/>
    </sheetView>
  </sheetViews>
  <sheetFormatPr baseColWidth="10" defaultRowHeight="14.4" x14ac:dyDescent="0.3"/>
  <cols>
    <col min="2" max="2" width="2.88671875" bestFit="1" customWidth="1"/>
    <col min="3" max="3" width="21.44140625" customWidth="1"/>
    <col min="4" max="4" width="21.6640625" bestFit="1" customWidth="1"/>
    <col min="5" max="5" width="14.88671875" customWidth="1"/>
    <col min="6" max="6" width="12" bestFit="1" customWidth="1"/>
    <col min="7" max="7" width="14" customWidth="1"/>
    <col min="8" max="8" width="12" bestFit="1" customWidth="1"/>
    <col min="9" max="9" width="13" bestFit="1" customWidth="1"/>
  </cols>
  <sheetData>
    <row r="6" spans="2:9" ht="20.399999999999999" x14ac:dyDescent="0.3">
      <c r="B6" s="45" t="s">
        <v>42</v>
      </c>
      <c r="C6" s="45" t="s">
        <v>43</v>
      </c>
      <c r="D6" s="46" t="s">
        <v>49</v>
      </c>
      <c r="E6" s="47" t="s">
        <v>50</v>
      </c>
      <c r="F6" s="48" t="s">
        <v>44</v>
      </c>
      <c r="G6" s="48" t="s">
        <v>45</v>
      </c>
      <c r="H6" s="48" t="s">
        <v>46</v>
      </c>
      <c r="I6" s="48" t="s">
        <v>47</v>
      </c>
    </row>
    <row r="7" spans="2:9" x14ac:dyDescent="0.3">
      <c r="B7" s="49">
        <v>1</v>
      </c>
      <c r="C7" s="50" t="s">
        <v>48</v>
      </c>
      <c r="D7" s="51">
        <v>30</v>
      </c>
      <c r="E7" s="52">
        <v>114799</v>
      </c>
      <c r="F7" s="41">
        <f>+E7*1.61%</f>
        <v>1848.2638999999999</v>
      </c>
      <c r="G7" s="53">
        <f>+E7+F7</f>
        <v>116647.26390000001</v>
      </c>
      <c r="H7" s="41">
        <f>+G7*5.62%</f>
        <v>6555.5762311799999</v>
      </c>
      <c r="I7" s="54">
        <f>+G7+H7</f>
        <v>123202.84013118001</v>
      </c>
    </row>
    <row r="8" spans="2:9" x14ac:dyDescent="0.3">
      <c r="B8" s="49">
        <v>2</v>
      </c>
      <c r="C8" s="50" t="s">
        <v>51</v>
      </c>
      <c r="D8" s="51">
        <v>45</v>
      </c>
      <c r="E8" s="52">
        <v>49623</v>
      </c>
      <c r="F8" s="41">
        <f>+E8*1.61%</f>
        <v>798.93029999999999</v>
      </c>
      <c r="G8" s="53">
        <f>+E8+F8</f>
        <v>50421.9303</v>
      </c>
      <c r="H8" s="41">
        <f>+G8*5.62%</f>
        <v>2833.7124828599999</v>
      </c>
      <c r="I8" s="54">
        <f>+G8+H8</f>
        <v>53255.642782859999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I17"/>
  <sheetViews>
    <sheetView showGridLines="0" workbookViewId="0">
      <selection activeCell="D16" sqref="D16"/>
    </sheetView>
  </sheetViews>
  <sheetFormatPr baseColWidth="10" defaultRowHeight="14.4" x14ac:dyDescent="0.3"/>
  <cols>
    <col min="1" max="1" width="4.44140625" customWidth="1"/>
    <col min="2" max="2" width="53.33203125" customWidth="1"/>
    <col min="3" max="3" width="13" customWidth="1"/>
    <col min="4" max="4" width="26.6640625" customWidth="1"/>
    <col min="5" max="5" width="24.109375" customWidth="1"/>
    <col min="9" max="9" width="12" bestFit="1" customWidth="1"/>
  </cols>
  <sheetData>
    <row r="2" spans="2:9" ht="17.25" customHeight="1" x14ac:dyDescent="0.3">
      <c r="B2" s="72"/>
      <c r="C2" s="103" t="s">
        <v>62</v>
      </c>
      <c r="D2" s="103"/>
      <c r="E2" s="103"/>
    </row>
    <row r="3" spans="2:9" ht="45" customHeight="1" x14ac:dyDescent="0.3">
      <c r="B3" s="72"/>
      <c r="C3" s="103"/>
      <c r="D3" s="103"/>
      <c r="E3" s="103"/>
    </row>
    <row r="4" spans="2:9" ht="22.5" customHeight="1" x14ac:dyDescent="0.3">
      <c r="B4" s="63" t="s">
        <v>53</v>
      </c>
      <c r="C4" s="62" t="s">
        <v>52</v>
      </c>
      <c r="D4" s="57" t="s">
        <v>60</v>
      </c>
      <c r="E4" s="57" t="s">
        <v>61</v>
      </c>
    </row>
    <row r="5" spans="2:9" ht="31.2" x14ac:dyDescent="0.3">
      <c r="B5" s="56" t="s">
        <v>58</v>
      </c>
      <c r="C5" s="61">
        <v>39</v>
      </c>
      <c r="D5" s="58">
        <v>12612</v>
      </c>
      <c r="E5" s="58">
        <f>C5*D5</f>
        <v>491868</v>
      </c>
      <c r="I5" s="4"/>
    </row>
    <row r="6" spans="2:9" ht="31.2" x14ac:dyDescent="0.3">
      <c r="B6" s="56" t="s">
        <v>59</v>
      </c>
      <c r="C6" s="61">
        <v>5</v>
      </c>
      <c r="D6" s="58">
        <v>42040</v>
      </c>
      <c r="E6" s="58">
        <f>C6*D6</f>
        <v>210200</v>
      </c>
      <c r="I6" s="4"/>
    </row>
    <row r="7" spans="2:9" x14ac:dyDescent="0.3">
      <c r="B7" s="101" t="s">
        <v>28</v>
      </c>
      <c r="C7" s="102"/>
      <c r="D7" s="68">
        <f>SUM(D5:D6)</f>
        <v>54652</v>
      </c>
      <c r="E7" s="65">
        <f>SUM(E5:E6)</f>
        <v>702068</v>
      </c>
      <c r="G7" s="4"/>
      <c r="H7" s="4"/>
      <c r="I7" s="4"/>
    </row>
    <row r="8" spans="2:9" ht="15" customHeight="1" x14ac:dyDescent="0.3">
      <c r="B8" s="71" t="s">
        <v>56</v>
      </c>
      <c r="C8" s="71"/>
      <c r="D8" s="71"/>
      <c r="E8" s="71"/>
      <c r="G8" s="4"/>
      <c r="H8" s="4"/>
    </row>
    <row r="9" spans="2:9" x14ac:dyDescent="0.3">
      <c r="B9" s="71"/>
      <c r="C9" s="71"/>
      <c r="D9" s="71"/>
      <c r="E9" s="71"/>
      <c r="G9" s="4"/>
      <c r="H9" s="4"/>
    </row>
    <row r="12" spans="2:9" ht="21" customHeight="1" x14ac:dyDescent="0.3"/>
    <row r="13" spans="2:9" ht="15.6" x14ac:dyDescent="0.3">
      <c r="B13" s="64" t="s">
        <v>54</v>
      </c>
    </row>
    <row r="14" spans="2:9" ht="15.6" x14ac:dyDescent="0.3">
      <c r="B14" s="64" t="s">
        <v>55</v>
      </c>
      <c r="D14" s="4"/>
    </row>
    <row r="15" spans="2:9" x14ac:dyDescent="0.3">
      <c r="D15" s="4"/>
    </row>
    <row r="16" spans="2:9" x14ac:dyDescent="0.3">
      <c r="D16" s="4"/>
    </row>
    <row r="17" spans="4:4" x14ac:dyDescent="0.3">
      <c r="D17" s="4"/>
    </row>
  </sheetData>
  <sheetProtection algorithmName="SHA-512" hashValue="07oaUR/2PT7iQhXFRSq6wVwLMAVvbUtt3kWrQCA9ABqowuA27n3uxoSgONXAEJxMvq5KeUSg41q4l+2mH4QqtQ==" saltValue="qBg0TmpiusTzcl6V5BgUxg==" spinCount="100000" sheet="1" objects="1" scenarios="1"/>
  <mergeCells count="4">
    <mergeCell ref="B8:E9"/>
    <mergeCell ref="B7:C7"/>
    <mergeCell ref="B2:B3"/>
    <mergeCell ref="C2:E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Analisis Estadistico</vt:lpstr>
      <vt:lpstr>Consolidado Cotizaciones</vt:lpstr>
      <vt:lpstr>Analisis Geometrica</vt:lpstr>
      <vt:lpstr>Analisis Armonica</vt:lpstr>
      <vt:lpstr>Analisis M.Aritmetica</vt:lpstr>
      <vt:lpstr>Analisis M.Geometrica</vt:lpstr>
      <vt:lpstr>Analisis M.Armonica</vt:lpstr>
      <vt:lpstr>Historicos</vt:lpstr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familiar</dc:creator>
  <cp:lastModifiedBy>estefania Insignares</cp:lastModifiedBy>
  <dcterms:created xsi:type="dcterms:W3CDTF">2022-06-23T08:09:39Z</dcterms:created>
  <dcterms:modified xsi:type="dcterms:W3CDTF">2026-10-14T22:11:40Z</dcterms:modified>
</cp:coreProperties>
</file>