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https://transmilenio-my.sharepoint.com/personal/miguel_duque_transmilenio_gov_co/Documents/MIGUEL DARIO DUQUE/COTA/2026/OCTUBRE/"/>
    </mc:Choice>
  </mc:AlternateContent>
  <xr:revisionPtr revIDLastSave="2" documentId="8_{80234E13-A2E1-4B88-A6A8-C3FADD302B66}" xr6:coauthVersionLast="47" xr6:coauthVersionMax="47" xr10:uidLastSave="{05E5296F-8B99-46B3-8D58-B2386DDCB8E7}"/>
  <bookViews>
    <workbookView xWindow="-108" yWindow="-108" windowWidth="23256" windowHeight="12456" xr2:uid="{00000000-000D-0000-FFFF-FFFF00000000}"/>
  </bookViews>
  <sheets>
    <sheet name="Resumen" sheetId="1" r:id="rId1"/>
    <sheet name="Agenda Juvenil" sheetId="2" r:id="rId2"/>
    <sheet name="Parque Renace" sheetId="3" r:id="rId3"/>
    <sheet name="Semana Juventudes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2" i="4" l="1"/>
  <c r="I12" i="4"/>
  <c r="K12" i="4" s="1"/>
  <c r="H12" i="4"/>
  <c r="F12" i="4"/>
  <c r="L12" i="4" s="1"/>
  <c r="L11" i="4"/>
  <c r="M11" i="4" s="1"/>
  <c r="N11" i="4" s="1"/>
  <c r="K11" i="4"/>
  <c r="I11" i="4"/>
  <c r="J11" i="4" s="1"/>
  <c r="H11" i="4"/>
  <c r="F11" i="4"/>
  <c r="I10" i="4"/>
  <c r="K10" i="4" s="1"/>
  <c r="H10" i="4"/>
  <c r="F10" i="4"/>
  <c r="L10" i="4" s="1"/>
  <c r="L9" i="4"/>
  <c r="M9" i="4" s="1"/>
  <c r="N9" i="4" s="1"/>
  <c r="K9" i="4"/>
  <c r="I9" i="4"/>
  <c r="J9" i="4" s="1"/>
  <c r="H9" i="4"/>
  <c r="F9" i="4"/>
  <c r="I8" i="4"/>
  <c r="K8" i="4" s="1"/>
  <c r="H8" i="4"/>
  <c r="F8" i="4"/>
  <c r="L8" i="4" s="1"/>
  <c r="L7" i="4"/>
  <c r="M7" i="4" s="1"/>
  <c r="N7" i="4" s="1"/>
  <c r="K7" i="4"/>
  <c r="I7" i="4"/>
  <c r="J7" i="4" s="1"/>
  <c r="H7" i="4"/>
  <c r="F7" i="4"/>
  <c r="I6" i="4"/>
  <c r="K6" i="4" s="1"/>
  <c r="K13" i="4" s="1"/>
  <c r="F22" i="1" s="1"/>
  <c r="H6" i="4"/>
  <c r="F6" i="4"/>
  <c r="L6" i="4" s="1"/>
  <c r="C4" i="4"/>
  <c r="I28" i="3"/>
  <c r="K28" i="3" s="1"/>
  <c r="H28" i="3"/>
  <c r="F28" i="3"/>
  <c r="L28" i="3" s="1"/>
  <c r="L27" i="3"/>
  <c r="I27" i="3"/>
  <c r="K27" i="3" s="1"/>
  <c r="H27" i="3"/>
  <c r="F27" i="3"/>
  <c r="I26" i="3"/>
  <c r="K26" i="3" s="1"/>
  <c r="H26" i="3"/>
  <c r="F26" i="3"/>
  <c r="L26" i="3" s="1"/>
  <c r="L25" i="3"/>
  <c r="I25" i="3"/>
  <c r="K25" i="3" s="1"/>
  <c r="H25" i="3"/>
  <c r="F25" i="3"/>
  <c r="I24" i="3"/>
  <c r="K24" i="3" s="1"/>
  <c r="H24" i="3"/>
  <c r="F24" i="3"/>
  <c r="L24" i="3" s="1"/>
  <c r="L23" i="3"/>
  <c r="I23" i="3"/>
  <c r="K23" i="3" s="1"/>
  <c r="H23" i="3"/>
  <c r="F23" i="3"/>
  <c r="I22" i="3"/>
  <c r="K22" i="3" s="1"/>
  <c r="H22" i="3"/>
  <c r="F22" i="3"/>
  <c r="L22" i="3" s="1"/>
  <c r="L21" i="3"/>
  <c r="I21" i="3"/>
  <c r="K21" i="3" s="1"/>
  <c r="H21" i="3"/>
  <c r="F21" i="3"/>
  <c r="I20" i="3"/>
  <c r="K20" i="3" s="1"/>
  <c r="H20" i="3"/>
  <c r="F20" i="3"/>
  <c r="L20" i="3" s="1"/>
  <c r="L19" i="3"/>
  <c r="I19" i="3"/>
  <c r="K19" i="3" s="1"/>
  <c r="H19" i="3"/>
  <c r="F19" i="3"/>
  <c r="I18" i="3"/>
  <c r="K18" i="3" s="1"/>
  <c r="H18" i="3"/>
  <c r="F18" i="3"/>
  <c r="L18" i="3" s="1"/>
  <c r="L17" i="3"/>
  <c r="I17" i="3"/>
  <c r="K17" i="3" s="1"/>
  <c r="H17" i="3"/>
  <c r="F17" i="3"/>
  <c r="I16" i="3"/>
  <c r="K16" i="3" s="1"/>
  <c r="H16" i="3"/>
  <c r="F16" i="3"/>
  <c r="L16" i="3" s="1"/>
  <c r="L15" i="3"/>
  <c r="I15" i="3"/>
  <c r="K15" i="3" s="1"/>
  <c r="H15" i="3"/>
  <c r="F15" i="3"/>
  <c r="I14" i="3"/>
  <c r="K14" i="3" s="1"/>
  <c r="H14" i="3"/>
  <c r="F14" i="3"/>
  <c r="L14" i="3" s="1"/>
  <c r="L13" i="3"/>
  <c r="I13" i="3"/>
  <c r="K13" i="3" s="1"/>
  <c r="H13" i="3"/>
  <c r="F13" i="3"/>
  <c r="I12" i="3"/>
  <c r="K12" i="3" s="1"/>
  <c r="H12" i="3"/>
  <c r="F12" i="3"/>
  <c r="L12" i="3" s="1"/>
  <c r="L11" i="3"/>
  <c r="I11" i="3"/>
  <c r="K11" i="3" s="1"/>
  <c r="H11" i="3"/>
  <c r="F11" i="3"/>
  <c r="I10" i="3"/>
  <c r="K10" i="3" s="1"/>
  <c r="H10" i="3"/>
  <c r="F10" i="3"/>
  <c r="L10" i="3" s="1"/>
  <c r="L9" i="3"/>
  <c r="I9" i="3"/>
  <c r="K9" i="3" s="1"/>
  <c r="H9" i="3"/>
  <c r="F9" i="3"/>
  <c r="I8" i="3"/>
  <c r="K8" i="3" s="1"/>
  <c r="H8" i="3"/>
  <c r="F8" i="3"/>
  <c r="L8" i="3" s="1"/>
  <c r="L7" i="3"/>
  <c r="I7" i="3"/>
  <c r="K7" i="3" s="1"/>
  <c r="H7" i="3"/>
  <c r="F7" i="3"/>
  <c r="I6" i="3"/>
  <c r="I29" i="3" s="1"/>
  <c r="D21" i="1" s="1"/>
  <c r="H6" i="3"/>
  <c r="G21" i="1" s="1"/>
  <c r="F6" i="3"/>
  <c r="L6" i="3" s="1"/>
  <c r="C4" i="3"/>
  <c r="I21" i="2"/>
  <c r="D20" i="1" s="1"/>
  <c r="L20" i="2"/>
  <c r="I20" i="2"/>
  <c r="K20" i="2" s="1"/>
  <c r="H20" i="2"/>
  <c r="F20" i="2"/>
  <c r="K19" i="2"/>
  <c r="J19" i="2"/>
  <c r="I19" i="2"/>
  <c r="H19" i="2"/>
  <c r="F19" i="2"/>
  <c r="L19" i="2" s="1"/>
  <c r="L18" i="2"/>
  <c r="M18" i="2" s="1"/>
  <c r="I18" i="2"/>
  <c r="K18" i="2" s="1"/>
  <c r="H18" i="2"/>
  <c r="F18" i="2"/>
  <c r="K17" i="2"/>
  <c r="J17" i="2"/>
  <c r="I17" i="2"/>
  <c r="H17" i="2"/>
  <c r="F17" i="2"/>
  <c r="L17" i="2" s="1"/>
  <c r="L16" i="2"/>
  <c r="I16" i="2"/>
  <c r="K16" i="2" s="1"/>
  <c r="H16" i="2"/>
  <c r="F16" i="2"/>
  <c r="K15" i="2"/>
  <c r="J15" i="2"/>
  <c r="I15" i="2"/>
  <c r="H15" i="2"/>
  <c r="F15" i="2"/>
  <c r="L15" i="2" s="1"/>
  <c r="L14" i="2"/>
  <c r="I14" i="2"/>
  <c r="K14" i="2" s="1"/>
  <c r="H14" i="2"/>
  <c r="F14" i="2"/>
  <c r="K13" i="2"/>
  <c r="J13" i="2"/>
  <c r="I13" i="2"/>
  <c r="H13" i="2"/>
  <c r="F13" i="2"/>
  <c r="L13" i="2" s="1"/>
  <c r="L12" i="2"/>
  <c r="M12" i="2" s="1"/>
  <c r="I12" i="2"/>
  <c r="K12" i="2" s="1"/>
  <c r="H12" i="2"/>
  <c r="F12" i="2"/>
  <c r="K11" i="2"/>
  <c r="J11" i="2"/>
  <c r="I11" i="2"/>
  <c r="H11" i="2"/>
  <c r="F11" i="2"/>
  <c r="L11" i="2" s="1"/>
  <c r="L10" i="2"/>
  <c r="I10" i="2"/>
  <c r="K10" i="2" s="1"/>
  <c r="H10" i="2"/>
  <c r="F10" i="2"/>
  <c r="K9" i="2"/>
  <c r="J9" i="2"/>
  <c r="I9" i="2"/>
  <c r="H9" i="2"/>
  <c r="F9" i="2"/>
  <c r="L9" i="2" s="1"/>
  <c r="L8" i="2"/>
  <c r="I8" i="2"/>
  <c r="K8" i="2" s="1"/>
  <c r="H8" i="2"/>
  <c r="F8" i="2"/>
  <c r="K7" i="2"/>
  <c r="J7" i="2"/>
  <c r="I7" i="2"/>
  <c r="H7" i="2"/>
  <c r="F7" i="2"/>
  <c r="L7" i="2" s="1"/>
  <c r="L6" i="2"/>
  <c r="I6" i="2"/>
  <c r="K6" i="2" s="1"/>
  <c r="H6" i="2"/>
  <c r="F6" i="2"/>
  <c r="C4" i="2"/>
  <c r="G22" i="1"/>
  <c r="G20" i="1"/>
  <c r="L29" i="3" l="1"/>
  <c r="B21" i="1"/>
  <c r="M6" i="3"/>
  <c r="N6" i="3" s="1"/>
  <c r="M11" i="2"/>
  <c r="N11" i="2" s="1"/>
  <c r="M15" i="2"/>
  <c r="N15" i="2" s="1"/>
  <c r="N21" i="3"/>
  <c r="N14" i="2"/>
  <c r="M16" i="3"/>
  <c r="N16" i="3"/>
  <c r="N25" i="3"/>
  <c r="N10" i="4"/>
  <c r="M10" i="4"/>
  <c r="N17" i="2"/>
  <c r="M17" i="2"/>
  <c r="M24" i="3"/>
  <c r="N24" i="3"/>
  <c r="M20" i="3"/>
  <c r="N20" i="3"/>
  <c r="L13" i="4"/>
  <c r="B22" i="1"/>
  <c r="M6" i="4"/>
  <c r="M13" i="4" s="1"/>
  <c r="N13" i="3"/>
  <c r="M8" i="4"/>
  <c r="N8" i="4" s="1"/>
  <c r="N12" i="4"/>
  <c r="M12" i="4"/>
  <c r="M22" i="3"/>
  <c r="N22" i="3"/>
  <c r="M18" i="3"/>
  <c r="N18" i="3"/>
  <c r="L21" i="2"/>
  <c r="D23" i="1"/>
  <c r="M14" i="3"/>
  <c r="N14" i="3"/>
  <c r="N27" i="3"/>
  <c r="M19" i="2"/>
  <c r="N19" i="2" s="1"/>
  <c r="N9" i="2"/>
  <c r="M9" i="2"/>
  <c r="M26" i="3"/>
  <c r="N26" i="3"/>
  <c r="M8" i="3"/>
  <c r="N8" i="3"/>
  <c r="B20" i="1"/>
  <c r="N7" i="2"/>
  <c r="M7" i="2"/>
  <c r="M28" i="3"/>
  <c r="N28" i="3" s="1"/>
  <c r="M12" i="3"/>
  <c r="N12" i="3"/>
  <c r="N13" i="2"/>
  <c r="M13" i="2"/>
  <c r="K21" i="2"/>
  <c r="F20" i="1" s="1"/>
  <c r="M10" i="3"/>
  <c r="N10" i="3"/>
  <c r="N23" i="3"/>
  <c r="J6" i="2"/>
  <c r="J10" i="2"/>
  <c r="J16" i="2"/>
  <c r="J20" i="2"/>
  <c r="M7" i="3"/>
  <c r="N7" i="3" s="1"/>
  <c r="M9" i="3"/>
  <c r="N9" i="3" s="1"/>
  <c r="M11" i="3"/>
  <c r="N11" i="3" s="1"/>
  <c r="M13" i="3"/>
  <c r="M15" i="3"/>
  <c r="N15" i="3" s="1"/>
  <c r="M17" i="3"/>
  <c r="N17" i="3" s="1"/>
  <c r="M19" i="3"/>
  <c r="N19" i="3" s="1"/>
  <c r="M21" i="3"/>
  <c r="M23" i="3"/>
  <c r="M25" i="3"/>
  <c r="M27" i="3"/>
  <c r="I13" i="4"/>
  <c r="D22" i="1" s="1"/>
  <c r="J8" i="2"/>
  <c r="J12" i="2"/>
  <c r="J14" i="2"/>
  <c r="J18" i="2"/>
  <c r="J6" i="3"/>
  <c r="J8" i="3"/>
  <c r="J10" i="3"/>
  <c r="J12" i="3"/>
  <c r="J14" i="3"/>
  <c r="J16" i="3"/>
  <c r="J18" i="3"/>
  <c r="J20" i="3"/>
  <c r="J22" i="3"/>
  <c r="J24" i="3"/>
  <c r="J26" i="3"/>
  <c r="J28" i="3"/>
  <c r="K6" i="3"/>
  <c r="K29" i="3" s="1"/>
  <c r="F21" i="1" s="1"/>
  <c r="J6" i="4"/>
  <c r="J8" i="4"/>
  <c r="J10" i="4"/>
  <c r="M6" i="2"/>
  <c r="M20" i="2"/>
  <c r="N20" i="2" s="1"/>
  <c r="N12" i="2"/>
  <c r="N18" i="2"/>
  <c r="J9" i="3"/>
  <c r="J13" i="3"/>
  <c r="J17" i="3"/>
  <c r="J21" i="3"/>
  <c r="J23" i="3"/>
  <c r="J27" i="3"/>
  <c r="M8" i="2"/>
  <c r="N8" i="2" s="1"/>
  <c r="M10" i="2"/>
  <c r="N10" i="2" s="1"/>
  <c r="M14" i="2"/>
  <c r="M16" i="2"/>
  <c r="N16" i="2" s="1"/>
  <c r="J7" i="3"/>
  <c r="J11" i="3"/>
  <c r="J15" i="3"/>
  <c r="J19" i="3"/>
  <c r="J25" i="3"/>
  <c r="C21" i="1" l="1"/>
  <c r="N29" i="3"/>
  <c r="M21" i="2"/>
  <c r="N6" i="2"/>
  <c r="M29" i="3"/>
  <c r="B23" i="1"/>
  <c r="J21" i="2"/>
  <c r="E20" i="1" s="1"/>
  <c r="J29" i="3"/>
  <c r="E21" i="1" s="1"/>
  <c r="N6" i="4"/>
  <c r="F23" i="1"/>
  <c r="G23" i="1" s="1"/>
  <c r="J13" i="4"/>
  <c r="E22" i="1" s="1"/>
  <c r="N13" i="4" l="1"/>
  <c r="C22" i="1"/>
  <c r="N21" i="2"/>
  <c r="C20" i="1"/>
  <c r="C23" i="1" s="1"/>
  <c r="E23" i="1"/>
</calcChain>
</file>

<file path=xl/sharedStrings.xml><?xml version="1.0" encoding="utf-8"?>
<sst xmlns="http://schemas.openxmlformats.org/spreadsheetml/2006/main" count="185" uniqueCount="94">
  <si>
    <t xml:space="preserve">FORMATO DE PROPUESTA ECONÓMICA </t>
  </si>
  <si>
    <t>Valores unitarios tope antes de IVA – referencia para diligenciamiento de la oferta</t>
  </si>
  <si>
    <t>DATOS DEL PROPONENTE</t>
  </si>
  <si>
    <t>Razón social</t>
  </si>
  <si>
    <t>NIT</t>
  </si>
  <si>
    <t>Representante legal</t>
  </si>
  <si>
    <t>Correo electrónico</t>
  </si>
  <si>
    <t>Teléfono</t>
  </si>
  <si>
    <t>IVA de referencia</t>
  </si>
  <si>
    <t>INSTRUCCIONES DE DILIGENCIAMIENTO</t>
  </si>
  <si>
    <t>Diligencie únicamente las celdas amarillas correspondientes al valor unitario ofertado antes de IVA.</t>
  </si>
  <si>
    <t>El valor unitario ofertado antes de IVA no podrá superar el valor unitario tope de referencia establecido para cada ítem.</t>
  </si>
  <si>
    <t>Componente</t>
  </si>
  <si>
    <t>Tope ref. antes IVA</t>
  </si>
  <si>
    <t>Tope ref. incl. IVA</t>
  </si>
  <si>
    <t>Oferta antes IVA</t>
  </si>
  <si>
    <t>IVA oferta</t>
  </si>
  <si>
    <t>Oferta incl. IVA</t>
  </si>
  <si>
    <t>Estado</t>
  </si>
  <si>
    <t>Agenda Juvenil</t>
  </si>
  <si>
    <t>Parque Renace</t>
  </si>
  <si>
    <t>Semana Juventudes</t>
  </si>
  <si>
    <t>TOTAL GENERAL</t>
  </si>
  <si>
    <t>Representate legal o apoderado:</t>
  </si>
  <si>
    <t>Firma:</t>
  </si>
  <si>
    <t>PROPUESTA ECONÓMICA – AGENDA JUVENIL</t>
  </si>
  <si>
    <t>Diligenciar el valor unitario ofertado antes de IVA. Ningún valor unitario podrá superar el valor tope de referencia.</t>
  </si>
  <si>
    <t>Proponente</t>
  </si>
  <si>
    <t>IVA referencia</t>
  </si>
  <si>
    <t>Ítem</t>
  </si>
  <si>
    <t>Descripción</t>
  </si>
  <si>
    <t>Unidad</t>
  </si>
  <si>
    <t>Días</t>
  </si>
  <si>
    <t>Cantidad</t>
  </si>
  <si>
    <t>Valor unitario ofertado
antes de IVA</t>
  </si>
  <si>
    <t>Verificación</t>
  </si>
  <si>
    <t>Subtotal ofertado
antes de IVA</t>
  </si>
  <si>
    <t>IVA</t>
  </si>
  <si>
    <t>Valor total ofertado
IVA incluido</t>
  </si>
  <si>
    <t>Tope subtotal
antes de IVA</t>
  </si>
  <si>
    <t>IVA sobre tope</t>
  </si>
  <si>
    <t>Tope total
IVA incluido</t>
  </si>
  <si>
    <t>Taller presencial: creación de contenido basado en storytelling</t>
  </si>
  <si>
    <t>TALLER</t>
  </si>
  <si>
    <t>Taller presencial: liderazgo colaborativo – equipos en movimiento</t>
  </si>
  <si>
    <t>Taller presencial: IA generativa – del prompt a la creación</t>
  </si>
  <si>
    <t>Taller presencial: planeación financiera para jóvenes</t>
  </si>
  <si>
    <t>Taller presencial: servicio al cliente</t>
  </si>
  <si>
    <t>Alquiler de sistema de sonido profesional</t>
  </si>
  <si>
    <t>GLOBAL</t>
  </si>
  <si>
    <t>Instalación de puente estructural</t>
  </si>
  <si>
    <t>Alquiler pantalla LED</t>
  </si>
  <si>
    <t>Alquiler de sistema de iluminación profesional</t>
  </si>
  <si>
    <t>Suministro almuerzo o cena</t>
  </si>
  <si>
    <t>ALMUERZO</t>
  </si>
  <si>
    <t>Suministro refrigerio</t>
  </si>
  <si>
    <t>UNIDAD</t>
  </si>
  <si>
    <t>Suministro hidratación</t>
  </si>
  <si>
    <t>Suministro certificados de participación</t>
  </si>
  <si>
    <t>Estación de café</t>
  </si>
  <si>
    <t>Servicio de personal – coordinación logística</t>
  </si>
  <si>
    <t>TOTAL COMPONENTE</t>
  </si>
  <si>
    <t>PROPUESTA ECONÓMICA – PARQUE RENACE</t>
  </si>
  <si>
    <t>Instalación de techo y tarima</t>
  </si>
  <si>
    <t>Instalación sistema de sonido profesional</t>
  </si>
  <si>
    <t>Instalación pantalla LED</t>
  </si>
  <si>
    <t>Backline profesional</t>
  </si>
  <si>
    <t>Alquiler de planta eléctrica</t>
  </si>
  <si>
    <t>Alquiler de bingo</t>
  </si>
  <si>
    <t>Alquiler baño portátil</t>
  </si>
  <si>
    <t>Ambulancia básica</t>
  </si>
  <si>
    <t>Personal – apoyo logístico, aseo y seguridad</t>
  </si>
  <si>
    <t>Grupo musical en vivo</t>
  </si>
  <si>
    <t>Premio – bicicleta todo terreno rin 26</t>
  </si>
  <si>
    <t>Premio – freidora de aire</t>
  </si>
  <si>
    <t>Premio – licuadora</t>
  </si>
  <si>
    <t>Premio – sanduchera</t>
  </si>
  <si>
    <t>Premio – televisor Smart TV 32"</t>
  </si>
  <si>
    <t>Premio – vajilla para 4 puestos</t>
  </si>
  <si>
    <t>Grupo musical – género bolero y cantina</t>
  </si>
  <si>
    <t>Artista musical – temática apropiada para niños</t>
  </si>
  <si>
    <t>Porción de torta</t>
  </si>
  <si>
    <t>PROPUESTA ECONÓMICA – SEMANA JUVENTUDES</t>
  </si>
  <si>
    <t>Reconocimiento – placa 30 x 20 cm</t>
  </si>
  <si>
    <t>Sistema de sonido profesional</t>
  </si>
  <si>
    <t>Grupo musical – rock, pop, latino o músicas modernas urbanas</t>
  </si>
  <si>
    <t>Suministro de pines</t>
  </si>
  <si>
    <t>Grupo musical – dúo o trío</t>
  </si>
  <si>
    <t>Suministro agenda + esfero contramarcado</t>
  </si>
  <si>
    <t>Presupuesto oficial</t>
  </si>
  <si>
    <t>Los cálculos conservan la precisión de los unitarios. El total general se redondea a dos decimales.</t>
  </si>
  <si>
    <t>Verifique los topes por ítem y el presupuesto oficial. Registre en SECOP II el total de la celda F23.</t>
  </si>
  <si>
    <t>Topes: promedios sin redondeo del estudio RFI-100-2026. Para ofertar al tope, copie su fórmula, no el valor visual.</t>
  </si>
  <si>
    <t>Valor unitario tope
antes de IVA (6 decimales visibles)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</si>
</sst>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$#,##0.00"/>
    <numFmt numFmtId="165" formatCode="#,##0.000000"/>
    <numFmt numFmtId="166" formatCode="&quot;$&quot;#,##0.00"/>
  </numFmts>
  <fonts count="7">
    <font>
      <sz val="11"/>
      <name val="Carlito"/>
    </font>
    <font>
      <b/>
      <sz val="11"/>
      <name val="Carlito"/>
    </font>
    <font>
      <b/>
      <sz val="14"/>
      <color rgb="FFFFFFFF"/>
      <name val="Calibri Light"/>
      <family val="2"/>
      <scheme val="major"/>
    </font>
    <font>
      <b/>
      <sz val="11"/>
      <color rgb="FFFFFFFF"/>
      <name val="Calibri Light"/>
      <family val="2"/>
      <scheme val="major"/>
    </font>
    <font>
      <sz val="11"/>
      <name val="Calibri Light"/>
      <family val="2"/>
      <scheme val="major"/>
    </font>
    <font>
      <b/>
      <sz val="11"/>
      <name val="Calibri Light"/>
      <family val="2"/>
      <scheme val="major"/>
    </font>
    <font>
      <b/>
      <sz val="13"/>
      <color rgb="FFFFFFFF"/>
      <name val="Calibri Light"/>
      <family val="2"/>
      <scheme val="major"/>
    </font>
  </fonts>
  <fills count="11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D9EAF7"/>
      </patternFill>
    </fill>
    <fill>
      <patternFill patternType="solid">
        <fgColor theme="3" tint="0.749961851863155"/>
        <bgColor indexed="65"/>
      </patternFill>
    </fill>
    <fill>
      <patternFill patternType="solid">
        <fgColor theme="0"/>
      </patternFill>
    </fill>
    <fill>
      <patternFill patternType="solid">
        <fgColor theme="3" tint="0.89996032593768116"/>
        <bgColor indexed="65"/>
      </patternFill>
    </fill>
    <fill>
      <patternFill patternType="solid">
        <fgColor rgb="FFFFFF00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4" tint="0.79995117038483843"/>
        <bgColor indexed="65"/>
      </patternFill>
    </fill>
    <fill>
      <patternFill patternType="solid">
        <fgColor theme="7" tint="0.79995117038483843"/>
        <bgColor indexed="65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4" fillId="0" borderId="0" xfId="0" applyFont="1" applyAlignment="1">
      <alignment horizontal="center" vertical="center"/>
    </xf>
    <xf numFmtId="9" fontId="5" fillId="3" borderId="2" xfId="0" applyNumberFormat="1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right" vertical="center"/>
    </xf>
    <xf numFmtId="0" fontId="4" fillId="5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164" fontId="5" fillId="6" borderId="2" xfId="0" applyNumberFormat="1" applyFont="1" applyFill="1" applyBorder="1" applyAlignment="1">
      <alignment horizontal="center" vertical="center"/>
    </xf>
    <xf numFmtId="9" fontId="4" fillId="0" borderId="2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9" fontId="4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 wrapText="1"/>
    </xf>
    <xf numFmtId="164" fontId="5" fillId="6" borderId="2" xfId="0" applyNumberFormat="1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 wrapText="1"/>
    </xf>
    <xf numFmtId="164" fontId="4" fillId="9" borderId="2" xfId="0" applyNumberFormat="1" applyFont="1" applyFill="1" applyBorder="1" applyAlignment="1">
      <alignment horizontal="center" vertical="center" wrapText="1"/>
    </xf>
    <xf numFmtId="164" fontId="5" fillId="9" borderId="2" xfId="0" applyNumberFormat="1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64" fontId="4" fillId="10" borderId="2" xfId="0" applyNumberFormat="1" applyFont="1" applyFill="1" applyBorder="1" applyAlignment="1">
      <alignment horizontal="center" vertical="center" wrapText="1"/>
    </xf>
    <xf numFmtId="164" fontId="5" fillId="10" borderId="2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165" fontId="4" fillId="0" borderId="2" xfId="0" applyNumberFormat="1" applyFont="1" applyBorder="1" applyAlignment="1">
      <alignment horizontal="center" vertical="center" wrapText="1"/>
    </xf>
    <xf numFmtId="165" fontId="5" fillId="7" borderId="2" xfId="0" applyNumberFormat="1" applyFont="1" applyFill="1" applyBorder="1" applyAlignment="1">
      <alignment horizontal="center" vertical="center" wrapText="1"/>
    </xf>
    <xf numFmtId="166" fontId="4" fillId="0" borderId="0" xfId="0" applyNumberFormat="1" applyFont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164" fontId="5" fillId="6" borderId="2" xfId="0" applyNumberFormat="1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4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9">
    <dxf>
      <font>
        <b/>
      </font>
      <fill>
        <patternFill>
          <bgColor rgb="FFF4CCCC"/>
        </patternFill>
      </fill>
    </dxf>
    <dxf>
      <font>
        <b/>
      </font>
      <fill>
        <patternFill>
          <bgColor rgb="FFE2F0D9"/>
        </patternFill>
      </fill>
    </dxf>
    <dxf>
      <font>
        <b/>
      </font>
      <fill>
        <patternFill>
          <bgColor rgb="FFF4CCCC"/>
        </patternFill>
      </fill>
    </dxf>
    <dxf>
      <font>
        <b/>
      </font>
      <fill>
        <patternFill>
          <bgColor rgb="FFF4CCCC"/>
        </patternFill>
      </fill>
    </dxf>
    <dxf>
      <font>
        <b/>
      </font>
      <fill>
        <patternFill>
          <bgColor rgb="FFE2F0D9"/>
        </patternFill>
      </fill>
    </dxf>
    <dxf>
      <font>
        <b/>
      </font>
      <fill>
        <patternFill>
          <bgColor rgb="FFF4CCCC"/>
        </patternFill>
      </fill>
    </dxf>
    <dxf>
      <font>
        <b/>
      </font>
      <fill>
        <patternFill>
          <bgColor rgb="FFF4CCCC"/>
        </patternFill>
      </fill>
    </dxf>
    <dxf>
      <font>
        <b/>
      </font>
      <fill>
        <patternFill>
          <bgColor rgb="FFE2F0D9"/>
        </patternFill>
      </fill>
    </dxf>
    <dxf>
      <font>
        <b/>
      </font>
      <fill>
        <patternFill>
          <bgColor rgb="FFF4CC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510540</xdr:colOff>
      <xdr:row>0</xdr:row>
      <xdr:rowOff>38100</xdr:rowOff>
    </xdr:from>
    <xdr:to>
      <xdr:col>2</xdr:col>
      <xdr:colOff>15240</xdr:colOff>
      <xdr:row>1</xdr:row>
      <xdr:rowOff>589</xdr:rowOff>
    </xdr:to>
    <xdr:pic>
      <xdr:nvPicPr>
        <xdr:cNvPr id="3" name="Imagen 2" descr="Patrón de fondo&#10;&#10;El contenido generado por IA puede ser incorrecto.">
          <a:extLst>
            <a:ext uri="{FF2B5EF4-FFF2-40B4-BE49-F238E27FC236}">
              <a16:creationId xmlns:a16="http://schemas.microsoft.com/office/drawing/2014/main" id="{8BBF2E95-3832-47C1-850F-219A7DF344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73" r="80957" b="90141"/>
        <a:stretch>
          <a:fillRect/>
        </a:stretch>
      </xdr:blipFill>
      <xdr:spPr bwMode="auto">
        <a:xfrm>
          <a:off x="2339340" y="38100"/>
          <a:ext cx="1181100" cy="9835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0"/>
  <sheetViews>
    <sheetView tabSelected="1" view="pageBreakPreview" topLeftCell="A4" zoomScale="90" zoomScaleNormal="100" zoomScaleSheetLayoutView="90" workbookViewId="0">
      <selection activeCell="L8" sqref="L8"/>
    </sheetView>
  </sheetViews>
  <sheetFormatPr baseColWidth="10" defaultColWidth="8.796875" defaultRowHeight="14.4"/>
  <cols>
    <col min="1" max="1" width="24" style="1" customWidth="1"/>
    <col min="2" max="3" width="22" style="1" customWidth="1"/>
    <col min="4" max="4" width="20" style="1" customWidth="1"/>
    <col min="5" max="5" width="18" style="1" customWidth="1"/>
    <col min="6" max="6" width="20" style="1" customWidth="1"/>
    <col min="7" max="7" width="16" style="1" customWidth="1"/>
  </cols>
  <sheetData>
    <row r="1" spans="1:7" ht="80.400000000000006" customHeight="1">
      <c r="A1" s="33" t="s">
        <v>0</v>
      </c>
      <c r="B1" s="33"/>
      <c r="C1" s="33"/>
      <c r="D1" s="33"/>
      <c r="E1" s="33"/>
      <c r="F1" s="33"/>
      <c r="G1" s="33"/>
    </row>
    <row r="2" spans="1:7">
      <c r="A2" s="44" t="s">
        <v>1</v>
      </c>
      <c r="B2" s="44"/>
      <c r="C2" s="44"/>
      <c r="D2" s="44"/>
      <c r="E2" s="44"/>
      <c r="F2" s="44"/>
      <c r="G2" s="44"/>
    </row>
    <row r="4" spans="1:7">
      <c r="A4" s="32" t="s">
        <v>2</v>
      </c>
      <c r="B4" s="32"/>
    </row>
    <row r="5" spans="1:7">
      <c r="A5" s="3" t="s">
        <v>3</v>
      </c>
      <c r="B5" s="4"/>
    </row>
    <row r="6" spans="1:7">
      <c r="A6" s="3" t="s">
        <v>4</v>
      </c>
      <c r="B6" s="4"/>
    </row>
    <row r="7" spans="1:7">
      <c r="A7" s="3" t="s">
        <v>5</v>
      </c>
      <c r="B7" s="4"/>
    </row>
    <row r="8" spans="1:7">
      <c r="A8" s="3" t="s">
        <v>6</v>
      </c>
      <c r="B8" s="4"/>
    </row>
    <row r="9" spans="1:7">
      <c r="A9" s="3" t="s">
        <v>7</v>
      </c>
      <c r="B9" s="4"/>
    </row>
    <row r="10" spans="1:7">
      <c r="A10" s="3" t="s">
        <v>8</v>
      </c>
      <c r="B10" s="2">
        <v>0.19</v>
      </c>
    </row>
    <row r="11" spans="1:7">
      <c r="A11" t="s">
        <v>89</v>
      </c>
      <c r="B11" s="30">
        <v>394789402</v>
      </c>
    </row>
    <row r="12" spans="1:7">
      <c r="A12" s="34" t="s">
        <v>9</v>
      </c>
      <c r="B12" s="34"/>
      <c r="C12" s="34"/>
      <c r="D12" s="34"/>
      <c r="E12" s="34"/>
      <c r="F12" s="34"/>
      <c r="G12" s="34"/>
    </row>
    <row r="13" spans="1:7">
      <c r="A13" s="5">
        <v>1</v>
      </c>
      <c r="B13" s="31" t="s">
        <v>10</v>
      </c>
      <c r="C13" s="31"/>
      <c r="D13" s="31"/>
      <c r="E13" s="31"/>
      <c r="F13" s="31"/>
      <c r="G13" s="31"/>
    </row>
    <row r="14" spans="1:7">
      <c r="A14" s="5">
        <v>2</v>
      </c>
      <c r="B14" s="31" t="s">
        <v>11</v>
      </c>
      <c r="C14" s="31"/>
      <c r="D14" s="31"/>
      <c r="E14" s="31"/>
      <c r="F14" s="31"/>
      <c r="G14" s="31"/>
    </row>
    <row r="15" spans="1:7">
      <c r="A15" s="5">
        <v>3</v>
      </c>
      <c r="B15" s="31" t="s">
        <v>90</v>
      </c>
      <c r="C15" s="31"/>
      <c r="D15" s="31"/>
      <c r="E15" s="31"/>
      <c r="F15" s="31"/>
      <c r="G15" s="31"/>
    </row>
    <row r="16" spans="1:7">
      <c r="A16" s="5">
        <v>4</v>
      </c>
      <c r="B16" s="31" t="s">
        <v>91</v>
      </c>
      <c r="C16" s="31"/>
      <c r="D16" s="31"/>
      <c r="E16" s="31"/>
      <c r="F16" s="31"/>
      <c r="G16" s="31"/>
    </row>
    <row r="17" spans="1:7">
      <c r="A17" s="5">
        <v>5</v>
      </c>
      <c r="B17" s="31" t="s">
        <v>92</v>
      </c>
      <c r="C17" s="31"/>
      <c r="D17" s="31"/>
      <c r="E17" s="31"/>
      <c r="F17" s="31"/>
      <c r="G17" s="31"/>
    </row>
    <row r="19" spans="1:7">
      <c r="A19" s="7" t="s">
        <v>12</v>
      </c>
      <c r="B19" s="7" t="s">
        <v>13</v>
      </c>
      <c r="C19" s="7" t="s">
        <v>14</v>
      </c>
      <c r="D19" s="7" t="s">
        <v>15</v>
      </c>
      <c r="E19" s="7" t="s">
        <v>16</v>
      </c>
      <c r="F19" s="7" t="s">
        <v>17</v>
      </c>
      <c r="G19" s="7" t="s">
        <v>18</v>
      </c>
    </row>
    <row r="20" spans="1:7">
      <c r="A20" s="8" t="s">
        <v>19</v>
      </c>
      <c r="B20" s="9">
        <f>SUM('Agenda Juvenil'!L6:L20)</f>
        <v>58810933.333333328</v>
      </c>
      <c r="C20" s="9">
        <f>SUM('Agenda Juvenil'!N6:N20)</f>
        <v>69985010.666666657</v>
      </c>
      <c r="D20" s="9">
        <f>'Agenda Juvenil'!I21</f>
        <v>0</v>
      </c>
      <c r="E20" s="9">
        <f>'Agenda Juvenil'!J21</f>
        <v>0</v>
      </c>
      <c r="F20" s="9">
        <f>'Agenda Juvenil'!K21</f>
        <v>0</v>
      </c>
      <c r="G20" s="8" t="str">
        <f>IF(COUNTIF('Agenda Juvenil'!H6:H20,"EXCEDE TOPE")&gt;0,"NO CUMPLE",IF(COUNTBLANK('Agenda Juvenil'!G6:G20)&gt;0,"PENDIENTE","CUMPLE"))</f>
        <v>PENDIENTE</v>
      </c>
    </row>
    <row r="21" spans="1:7">
      <c r="A21" s="8" t="s">
        <v>20</v>
      </c>
      <c r="B21" s="9">
        <f>SUM('Parque Renace'!L6:L28)</f>
        <v>235157700</v>
      </c>
      <c r="C21" s="9">
        <f>SUM('Parque Renace'!N6:N28)</f>
        <v>279837663</v>
      </c>
      <c r="D21" s="9">
        <f>'Parque Renace'!I29</f>
        <v>0</v>
      </c>
      <c r="E21" s="9">
        <f>'Parque Renace'!J29</f>
        <v>0</v>
      </c>
      <c r="F21" s="9">
        <f>'Parque Renace'!K29</f>
        <v>0</v>
      </c>
      <c r="G21" s="8" t="str">
        <f>IF(COUNTIF('Parque Renace'!H6:H28,"EXCEDE TOPE")&gt;0,"NO CUMPLE",IF(COUNTBLANK('Parque Renace'!G6:G28)&gt;0,"PENDIENTE","CUMPLE"))</f>
        <v>PENDIENTE</v>
      </c>
    </row>
    <row r="22" spans="1:7">
      <c r="A22" s="8" t="s">
        <v>21</v>
      </c>
      <c r="B22" s="9">
        <f>SUM('Semana Juventudes'!L6:L12)</f>
        <v>37787166.666666672</v>
      </c>
      <c r="C22" s="9">
        <f>SUM('Semana Juventudes'!N6:N12)</f>
        <v>44966728.333333328</v>
      </c>
      <c r="D22" s="9">
        <f>'Semana Juventudes'!I13</f>
        <v>0</v>
      </c>
      <c r="E22" s="9">
        <f>'Semana Juventudes'!J13</f>
        <v>0</v>
      </c>
      <c r="F22" s="9">
        <f>'Semana Juventudes'!K13</f>
        <v>0</v>
      </c>
      <c r="G22" s="8" t="str">
        <f>IF(COUNTIF('Semana Juventudes'!H6:H12,"EXCEDE TOPE")&gt;0,"NO CUMPLE",IF(COUNTBLANK('Semana Juventudes'!G6:G12)&gt;0,"PENDIENTE","CUMPLE"))</f>
        <v>PENDIENTE</v>
      </c>
    </row>
    <row r="23" spans="1:7">
      <c r="A23" s="10" t="s">
        <v>22</v>
      </c>
      <c r="B23" s="11">
        <f>SUM(B20:B22)</f>
        <v>331755800</v>
      </c>
      <c r="C23" s="11">
        <f>ROUND(SUM(C20:C22),2)</f>
        <v>394789402</v>
      </c>
      <c r="D23" s="11">
        <f>SUM(D20:D22)</f>
        <v>0</v>
      </c>
      <c r="E23" s="11">
        <f>SUM(E20:E22)</f>
        <v>0</v>
      </c>
      <c r="F23" s="11">
        <f>ROUND(SUM(F20:F22),2)</f>
        <v>0</v>
      </c>
      <c r="G23" s="10" t="str">
        <f>IF(OR(COUNTIF(G20:G22,"NO CUMPLE")&gt;0,F23&gt;B11),"NO CUMPLE",IF(COUNTIF(G20:G22,"PENDIENTE")&gt;0,"PENDIENTE","CUMPLE"))</f>
        <v>PENDIENTE</v>
      </c>
    </row>
    <row r="26" spans="1:7">
      <c r="B26" s="26" t="s">
        <v>23</v>
      </c>
    </row>
    <row r="27" spans="1:7">
      <c r="B27" s="27"/>
    </row>
    <row r="28" spans="1:7">
      <c r="B28" s="27"/>
    </row>
    <row r="29" spans="1:7">
      <c r="B29" s="27"/>
    </row>
    <row r="30" spans="1:7">
      <c r="B30" s="26" t="s">
        <v>24</v>
      </c>
    </row>
  </sheetData>
  <mergeCells count="9">
    <mergeCell ref="B15:G15"/>
    <mergeCell ref="B16:G16"/>
    <mergeCell ref="B17:G17"/>
    <mergeCell ref="A4:B4"/>
    <mergeCell ref="A1:G1"/>
    <mergeCell ref="A2:G2"/>
    <mergeCell ref="A12:G12"/>
    <mergeCell ref="B13:G13"/>
    <mergeCell ref="B14:G14"/>
  </mergeCells>
  <pageMargins left="0.7" right="0.7" top="0.75" bottom="0.75" header="0.3" footer="0.3"/>
  <pageSetup scale="5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21"/>
  <sheetViews>
    <sheetView view="pageBreakPreview" zoomScale="90" zoomScaleNormal="100" zoomScaleSheetLayoutView="90" workbookViewId="0">
      <selection activeCell="C3" sqref="C3"/>
    </sheetView>
  </sheetViews>
  <sheetFormatPr baseColWidth="10" defaultColWidth="8.796875" defaultRowHeight="14.4"/>
  <cols>
    <col min="1" max="1" width="7" style="1" customWidth="1"/>
    <col min="2" max="2" width="42" style="1" customWidth="1"/>
    <col min="3" max="3" width="13" style="1" customWidth="1"/>
    <col min="4" max="4" width="8" style="1" customWidth="1"/>
    <col min="5" max="5" width="10" style="1" customWidth="1"/>
    <col min="6" max="6" width="18" style="1" customWidth="1"/>
    <col min="7" max="7" width="19" style="1" customWidth="1"/>
    <col min="8" max="8" width="15" style="1" customWidth="1"/>
    <col min="9" max="9" width="19" style="1" customWidth="1"/>
    <col min="10" max="10" width="14" style="1" customWidth="1"/>
    <col min="11" max="11" width="20" style="1" customWidth="1"/>
    <col min="12" max="12" width="18" style="1" customWidth="1"/>
    <col min="13" max="13" width="15" style="1" customWidth="1"/>
    <col min="14" max="14" width="19" style="1" customWidth="1"/>
  </cols>
  <sheetData>
    <row r="1" spans="1:14" ht="17.850000000000001" customHeight="1">
      <c r="A1" s="35" t="s">
        <v>25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4">
      <c r="A2" s="36" t="s">
        <v>26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</row>
    <row r="3" spans="1:14">
      <c r="B3" s="10" t="s">
        <v>27</v>
      </c>
      <c r="C3" s="8"/>
      <c r="D3" s="39" t="s">
        <v>4</v>
      </c>
      <c r="E3" s="39"/>
      <c r="F3" s="8"/>
    </row>
    <row r="4" spans="1:14">
      <c r="A4" s="13"/>
      <c r="B4" s="14" t="s">
        <v>28</v>
      </c>
      <c r="C4" s="15">
        <f>Resumen!B10</f>
        <v>0.19</v>
      </c>
      <c r="D4" s="40" t="s">
        <v>12</v>
      </c>
      <c r="E4" s="40"/>
      <c r="F4" s="16" t="s">
        <v>19</v>
      </c>
      <c r="G4" s="13"/>
      <c r="H4" s="13"/>
      <c r="I4" s="13"/>
      <c r="J4" s="13"/>
      <c r="K4" s="13"/>
      <c r="L4" s="43"/>
      <c r="M4" s="43"/>
      <c r="N4" s="43"/>
    </row>
    <row r="5" spans="1:14" ht="45" customHeight="1">
      <c r="A5" s="7" t="s">
        <v>29</v>
      </c>
      <c r="B5" s="7" t="s">
        <v>30</v>
      </c>
      <c r="C5" s="7" t="s">
        <v>31</v>
      </c>
      <c r="D5" s="7" t="s">
        <v>32</v>
      </c>
      <c r="E5" s="7" t="s">
        <v>33</v>
      </c>
      <c r="F5" s="7" t="s">
        <v>93</v>
      </c>
      <c r="G5" s="7" t="s">
        <v>34</v>
      </c>
      <c r="H5" s="7" t="s">
        <v>35</v>
      </c>
      <c r="I5" s="7" t="s">
        <v>36</v>
      </c>
      <c r="J5" s="7" t="s">
        <v>37</v>
      </c>
      <c r="K5" s="7" t="s">
        <v>38</v>
      </c>
      <c r="L5" s="19" t="s">
        <v>39</v>
      </c>
      <c r="M5" s="19" t="s">
        <v>40</v>
      </c>
      <c r="N5" s="19" t="s">
        <v>41</v>
      </c>
    </row>
    <row r="6" spans="1:14" ht="28.8">
      <c r="A6" s="6">
        <v>1</v>
      </c>
      <c r="B6" s="6" t="s">
        <v>42</v>
      </c>
      <c r="C6" s="6" t="s">
        <v>43</v>
      </c>
      <c r="D6" s="6">
        <v>1</v>
      </c>
      <c r="E6" s="6">
        <v>1</v>
      </c>
      <c r="F6" s="28">
        <f>11715000/3</f>
        <v>3905000</v>
      </c>
      <c r="G6" s="29"/>
      <c r="H6" s="17" t="str">
        <f t="shared" ref="H6:H20" si="0">IF(G6="","",IF(G6&lt;=F6,"CUMPLE","EXCEDE TOPE"))</f>
        <v/>
      </c>
      <c r="I6" s="17" t="str">
        <f t="shared" ref="I6:I20" si="1">IF(G6="","",D6*E6*G6)</f>
        <v/>
      </c>
      <c r="J6" s="17" t="str">
        <f>IF(I6="","",I6*Resumen!$B$10)</f>
        <v/>
      </c>
      <c r="K6" s="17" t="str">
        <f t="shared" ref="K6:K20" si="2">IF(I6="","",I6+J6)</f>
        <v/>
      </c>
      <c r="L6" s="20">
        <f t="shared" ref="L6:L20" si="3">D6*E6*F6</f>
        <v>3905000</v>
      </c>
      <c r="M6" s="20">
        <f>L6*Resumen!$B$10</f>
        <v>741950</v>
      </c>
      <c r="N6" s="20">
        <f t="shared" ref="N6:N20" si="4">L6+M6</f>
        <v>4646950</v>
      </c>
    </row>
    <row r="7" spans="1:14" ht="28.8">
      <c r="A7" s="6">
        <v>2</v>
      </c>
      <c r="B7" s="6" t="s">
        <v>44</v>
      </c>
      <c r="C7" s="6" t="s">
        <v>43</v>
      </c>
      <c r="D7" s="6">
        <v>1</v>
      </c>
      <c r="E7" s="6">
        <v>1</v>
      </c>
      <c r="F7" s="28">
        <f>11715000/3</f>
        <v>3905000</v>
      </c>
      <c r="G7" s="29"/>
      <c r="H7" s="17" t="str">
        <f t="shared" si="0"/>
        <v/>
      </c>
      <c r="I7" s="17" t="str">
        <f t="shared" si="1"/>
        <v/>
      </c>
      <c r="J7" s="17" t="str">
        <f>IF(I7="","",I7*Resumen!$B$10)</f>
        <v/>
      </c>
      <c r="K7" s="17" t="str">
        <f t="shared" si="2"/>
        <v/>
      </c>
      <c r="L7" s="20">
        <f t="shared" si="3"/>
        <v>3905000</v>
      </c>
      <c r="M7" s="20">
        <f>L7*Resumen!$B$10</f>
        <v>741950</v>
      </c>
      <c r="N7" s="20">
        <f t="shared" si="4"/>
        <v>4646950</v>
      </c>
    </row>
    <row r="8" spans="1:14" ht="28.8">
      <c r="A8" s="6">
        <v>3</v>
      </c>
      <c r="B8" s="6" t="s">
        <v>45</v>
      </c>
      <c r="C8" s="6" t="s">
        <v>43</v>
      </c>
      <c r="D8" s="6">
        <v>1</v>
      </c>
      <c r="E8" s="6">
        <v>1</v>
      </c>
      <c r="F8" s="28">
        <f>11715000/3</f>
        <v>3905000</v>
      </c>
      <c r="G8" s="29"/>
      <c r="H8" s="17" t="str">
        <f t="shared" si="0"/>
        <v/>
      </c>
      <c r="I8" s="17" t="str">
        <f t="shared" si="1"/>
        <v/>
      </c>
      <c r="J8" s="17" t="str">
        <f>IF(I8="","",I8*Resumen!$B$10)</f>
        <v/>
      </c>
      <c r="K8" s="17" t="str">
        <f t="shared" si="2"/>
        <v/>
      </c>
      <c r="L8" s="20">
        <f t="shared" si="3"/>
        <v>3905000</v>
      </c>
      <c r="M8" s="20">
        <f>L8*Resumen!$B$10</f>
        <v>741950</v>
      </c>
      <c r="N8" s="20">
        <f t="shared" si="4"/>
        <v>4646950</v>
      </c>
    </row>
    <row r="9" spans="1:14">
      <c r="A9" s="6">
        <v>4</v>
      </c>
      <c r="B9" s="6" t="s">
        <v>46</v>
      </c>
      <c r="C9" s="6" t="s">
        <v>43</v>
      </c>
      <c r="D9" s="6">
        <v>1</v>
      </c>
      <c r="E9" s="6">
        <v>1</v>
      </c>
      <c r="F9" s="28">
        <f>11715000/3</f>
        <v>3905000</v>
      </c>
      <c r="G9" s="29"/>
      <c r="H9" s="17" t="str">
        <f t="shared" si="0"/>
        <v/>
      </c>
      <c r="I9" s="17" t="str">
        <f t="shared" si="1"/>
        <v/>
      </c>
      <c r="J9" s="17" t="str">
        <f>IF(I9="","",I9*Resumen!$B$10)</f>
        <v/>
      </c>
      <c r="K9" s="17" t="str">
        <f t="shared" si="2"/>
        <v/>
      </c>
      <c r="L9" s="20">
        <f t="shared" si="3"/>
        <v>3905000</v>
      </c>
      <c r="M9" s="20">
        <f>L9*Resumen!$B$10</f>
        <v>741950</v>
      </c>
      <c r="N9" s="20">
        <f t="shared" si="4"/>
        <v>4646950</v>
      </c>
    </row>
    <row r="10" spans="1:14">
      <c r="A10" s="6">
        <v>5</v>
      </c>
      <c r="B10" s="6" t="s">
        <v>47</v>
      </c>
      <c r="C10" s="6" t="s">
        <v>43</v>
      </c>
      <c r="D10" s="6">
        <v>1</v>
      </c>
      <c r="E10" s="6">
        <v>1</v>
      </c>
      <c r="F10" s="28">
        <f>11715000/3</f>
        <v>3905000</v>
      </c>
      <c r="G10" s="29"/>
      <c r="H10" s="17" t="str">
        <f t="shared" si="0"/>
        <v/>
      </c>
      <c r="I10" s="17" t="str">
        <f t="shared" si="1"/>
        <v/>
      </c>
      <c r="J10" s="17" t="str">
        <f>IF(I10="","",I10*Resumen!$B$10)</f>
        <v/>
      </c>
      <c r="K10" s="17" t="str">
        <f t="shared" si="2"/>
        <v/>
      </c>
      <c r="L10" s="20">
        <f t="shared" si="3"/>
        <v>3905000</v>
      </c>
      <c r="M10" s="20">
        <f>L10*Resumen!$B$10</f>
        <v>741950</v>
      </c>
      <c r="N10" s="20">
        <f t="shared" si="4"/>
        <v>4646950</v>
      </c>
    </row>
    <row r="11" spans="1:14">
      <c r="A11" s="6">
        <v>6</v>
      </c>
      <c r="B11" s="6" t="s">
        <v>48</v>
      </c>
      <c r="C11" s="6" t="s">
        <v>49</v>
      </c>
      <c r="D11" s="6">
        <v>1</v>
      </c>
      <c r="E11" s="6">
        <v>1</v>
      </c>
      <c r="F11" s="28">
        <f>12652000/3</f>
        <v>4217333.333333333</v>
      </c>
      <c r="G11" s="29"/>
      <c r="H11" s="17" t="str">
        <f t="shared" si="0"/>
        <v/>
      </c>
      <c r="I11" s="17" t="str">
        <f t="shared" si="1"/>
        <v/>
      </c>
      <c r="J11" s="17" t="str">
        <f>IF(I11="","",I11*Resumen!$B$10)</f>
        <v/>
      </c>
      <c r="K11" s="17" t="str">
        <f t="shared" si="2"/>
        <v/>
      </c>
      <c r="L11" s="20">
        <f t="shared" si="3"/>
        <v>4217333.333333333</v>
      </c>
      <c r="M11" s="20">
        <f>L11*Resumen!$B$10</f>
        <v>801293.33333333326</v>
      </c>
      <c r="N11" s="20">
        <f t="shared" si="4"/>
        <v>5018626.666666666</v>
      </c>
    </row>
    <row r="12" spans="1:14">
      <c r="A12" s="6">
        <v>7</v>
      </c>
      <c r="B12" s="6" t="s">
        <v>50</v>
      </c>
      <c r="C12" s="6" t="s">
        <v>49</v>
      </c>
      <c r="D12" s="6">
        <v>1</v>
      </c>
      <c r="E12" s="6">
        <v>1</v>
      </c>
      <c r="F12" s="28">
        <f>3604000/3</f>
        <v>1201333.3333333333</v>
      </c>
      <c r="G12" s="29"/>
      <c r="H12" s="17" t="str">
        <f t="shared" si="0"/>
        <v/>
      </c>
      <c r="I12" s="17" t="str">
        <f t="shared" si="1"/>
        <v/>
      </c>
      <c r="J12" s="17" t="str">
        <f>IF(I12="","",I12*Resumen!$B$10)</f>
        <v/>
      </c>
      <c r="K12" s="17" t="str">
        <f t="shared" si="2"/>
        <v/>
      </c>
      <c r="L12" s="20">
        <f t="shared" si="3"/>
        <v>1201333.3333333333</v>
      </c>
      <c r="M12" s="20">
        <f>L12*Resumen!$B$10</f>
        <v>228253.33333333331</v>
      </c>
      <c r="N12" s="20">
        <f t="shared" si="4"/>
        <v>1429586.6666666665</v>
      </c>
    </row>
    <row r="13" spans="1:14">
      <c r="A13" s="6">
        <v>8</v>
      </c>
      <c r="B13" s="6" t="s">
        <v>51</v>
      </c>
      <c r="C13" s="6" t="s">
        <v>49</v>
      </c>
      <c r="D13" s="6">
        <v>1</v>
      </c>
      <c r="E13" s="6">
        <v>1</v>
      </c>
      <c r="F13" s="28">
        <f>12673000/3</f>
        <v>4224333.333333333</v>
      </c>
      <c r="G13" s="29"/>
      <c r="H13" s="17" t="str">
        <f t="shared" si="0"/>
        <v/>
      </c>
      <c r="I13" s="17" t="str">
        <f t="shared" si="1"/>
        <v/>
      </c>
      <c r="J13" s="17" t="str">
        <f>IF(I13="","",I13*Resumen!$B$10)</f>
        <v/>
      </c>
      <c r="K13" s="17" t="str">
        <f t="shared" si="2"/>
        <v/>
      </c>
      <c r="L13" s="20">
        <f t="shared" si="3"/>
        <v>4224333.333333333</v>
      </c>
      <c r="M13" s="20">
        <f>L13*Resumen!$B$10</f>
        <v>802623.33333333326</v>
      </c>
      <c r="N13" s="20">
        <f t="shared" si="4"/>
        <v>5026956.666666666</v>
      </c>
    </row>
    <row r="14" spans="1:14">
      <c r="A14" s="6">
        <v>9</v>
      </c>
      <c r="B14" s="6" t="s">
        <v>52</v>
      </c>
      <c r="C14" s="6" t="s">
        <v>49</v>
      </c>
      <c r="D14" s="6">
        <v>1</v>
      </c>
      <c r="E14" s="6">
        <v>1</v>
      </c>
      <c r="F14" s="28">
        <f>10553600/3</f>
        <v>3517866.6666666665</v>
      </c>
      <c r="G14" s="29"/>
      <c r="H14" s="17" t="str">
        <f t="shared" si="0"/>
        <v/>
      </c>
      <c r="I14" s="17" t="str">
        <f t="shared" si="1"/>
        <v/>
      </c>
      <c r="J14" s="17" t="str">
        <f>IF(I14="","",I14*Resumen!$B$10)</f>
        <v/>
      </c>
      <c r="K14" s="17" t="str">
        <f t="shared" si="2"/>
        <v/>
      </c>
      <c r="L14" s="20">
        <f t="shared" si="3"/>
        <v>3517866.6666666665</v>
      </c>
      <c r="M14" s="20">
        <f>L14*Resumen!$B$10</f>
        <v>668394.66666666663</v>
      </c>
      <c r="N14" s="20">
        <f t="shared" si="4"/>
        <v>4186261.333333333</v>
      </c>
    </row>
    <row r="15" spans="1:14">
      <c r="A15" s="6">
        <v>10</v>
      </c>
      <c r="B15" s="6" t="s">
        <v>53</v>
      </c>
      <c r="C15" s="6" t="s">
        <v>54</v>
      </c>
      <c r="D15" s="6">
        <v>1</v>
      </c>
      <c r="E15" s="6">
        <v>380</v>
      </c>
      <c r="F15" s="28">
        <f>103150/3</f>
        <v>34383.333333333336</v>
      </c>
      <c r="G15" s="29"/>
      <c r="H15" s="17" t="str">
        <f t="shared" si="0"/>
        <v/>
      </c>
      <c r="I15" s="17" t="str">
        <f t="shared" si="1"/>
        <v/>
      </c>
      <c r="J15" s="17" t="str">
        <f>IF(I15="","",I15*Resumen!$B$10)</f>
        <v/>
      </c>
      <c r="K15" s="17" t="str">
        <f t="shared" si="2"/>
        <v/>
      </c>
      <c r="L15" s="20">
        <f t="shared" si="3"/>
        <v>13065666.666666668</v>
      </c>
      <c r="M15" s="20">
        <f>L15*Resumen!$B$10</f>
        <v>2482476.666666667</v>
      </c>
      <c r="N15" s="20">
        <f t="shared" si="4"/>
        <v>15548143.333333336</v>
      </c>
    </row>
    <row r="16" spans="1:14">
      <c r="A16" s="6">
        <v>11</v>
      </c>
      <c r="B16" s="6" t="s">
        <v>55</v>
      </c>
      <c r="C16" s="6" t="s">
        <v>56</v>
      </c>
      <c r="D16" s="6">
        <v>1</v>
      </c>
      <c r="E16" s="6">
        <v>400</v>
      </c>
      <c r="F16" s="28">
        <f>55900/3</f>
        <v>18633.333333333332</v>
      </c>
      <c r="G16" s="29"/>
      <c r="H16" s="17" t="str">
        <f t="shared" si="0"/>
        <v/>
      </c>
      <c r="I16" s="17" t="str">
        <f t="shared" si="1"/>
        <v/>
      </c>
      <c r="J16" s="17" t="str">
        <f>IF(I16="","",I16*Resumen!$B$10)</f>
        <v/>
      </c>
      <c r="K16" s="17" t="str">
        <f t="shared" si="2"/>
        <v/>
      </c>
      <c r="L16" s="20">
        <f t="shared" si="3"/>
        <v>7453333.333333333</v>
      </c>
      <c r="M16" s="20">
        <f>L16*Resumen!$B$10</f>
        <v>1416133.3333333333</v>
      </c>
      <c r="N16" s="20">
        <f t="shared" si="4"/>
        <v>8869466.666666666</v>
      </c>
    </row>
    <row r="17" spans="1:14">
      <c r="A17" s="6">
        <v>12</v>
      </c>
      <c r="B17" s="6" t="s">
        <v>57</v>
      </c>
      <c r="C17" s="6" t="s">
        <v>56</v>
      </c>
      <c r="D17" s="6">
        <v>1</v>
      </c>
      <c r="E17" s="6">
        <v>440</v>
      </c>
      <c r="F17" s="28">
        <f>8150/3</f>
        <v>2716.6666666666665</v>
      </c>
      <c r="G17" s="29"/>
      <c r="H17" s="17" t="str">
        <f t="shared" si="0"/>
        <v/>
      </c>
      <c r="I17" s="17" t="str">
        <f t="shared" si="1"/>
        <v/>
      </c>
      <c r="J17" s="17" t="str">
        <f>IF(I17="","",I17*Resumen!$B$10)</f>
        <v/>
      </c>
      <c r="K17" s="17" t="str">
        <f t="shared" si="2"/>
        <v/>
      </c>
      <c r="L17" s="20">
        <f t="shared" si="3"/>
        <v>1195333.3333333333</v>
      </c>
      <c r="M17" s="20">
        <f>L17*Resumen!$B$10</f>
        <v>227113.33333333331</v>
      </c>
      <c r="N17" s="20">
        <f t="shared" si="4"/>
        <v>1422446.6666666665</v>
      </c>
    </row>
    <row r="18" spans="1:14">
      <c r="A18" s="6">
        <v>13</v>
      </c>
      <c r="B18" s="6" t="s">
        <v>58</v>
      </c>
      <c r="C18" s="6" t="s">
        <v>56</v>
      </c>
      <c r="D18" s="6">
        <v>1</v>
      </c>
      <c r="E18" s="6">
        <v>150</v>
      </c>
      <c r="F18" s="28">
        <f>18300/3</f>
        <v>6100</v>
      </c>
      <c r="G18" s="29"/>
      <c r="H18" s="17" t="str">
        <f t="shared" si="0"/>
        <v/>
      </c>
      <c r="I18" s="17" t="str">
        <f t="shared" si="1"/>
        <v/>
      </c>
      <c r="J18" s="17" t="str">
        <f>IF(I18="","",I18*Resumen!$B$10)</f>
        <v/>
      </c>
      <c r="K18" s="17" t="str">
        <f t="shared" si="2"/>
        <v/>
      </c>
      <c r="L18" s="20">
        <f t="shared" si="3"/>
        <v>915000</v>
      </c>
      <c r="M18" s="20">
        <f>L18*Resumen!$B$10</f>
        <v>173850</v>
      </c>
      <c r="N18" s="20">
        <f t="shared" si="4"/>
        <v>1088850</v>
      </c>
    </row>
    <row r="19" spans="1:14">
      <c r="A19" s="6">
        <v>14</v>
      </c>
      <c r="B19" s="6" t="s">
        <v>59</v>
      </c>
      <c r="C19" s="6" t="s">
        <v>56</v>
      </c>
      <c r="D19" s="6">
        <v>1</v>
      </c>
      <c r="E19" s="6">
        <v>1</v>
      </c>
      <c r="F19" s="28">
        <f>9115100/3</f>
        <v>3038366.6666666665</v>
      </c>
      <c r="G19" s="29"/>
      <c r="H19" s="17" t="str">
        <f t="shared" si="0"/>
        <v/>
      </c>
      <c r="I19" s="17" t="str">
        <f t="shared" si="1"/>
        <v/>
      </c>
      <c r="J19" s="17" t="str">
        <f>IF(I19="","",I19*Resumen!$B$10)</f>
        <v/>
      </c>
      <c r="K19" s="17" t="str">
        <f t="shared" si="2"/>
        <v/>
      </c>
      <c r="L19" s="20">
        <f t="shared" si="3"/>
        <v>3038366.6666666665</v>
      </c>
      <c r="M19" s="20">
        <f>L19*Resumen!$B$10</f>
        <v>577289.66666666663</v>
      </c>
      <c r="N19" s="20">
        <f t="shared" si="4"/>
        <v>3615656.333333333</v>
      </c>
    </row>
    <row r="20" spans="1:14">
      <c r="A20" s="6">
        <v>15</v>
      </c>
      <c r="B20" s="6" t="s">
        <v>60</v>
      </c>
      <c r="C20" s="6" t="s">
        <v>56</v>
      </c>
      <c r="D20" s="6">
        <v>1</v>
      </c>
      <c r="E20" s="6">
        <v>1</v>
      </c>
      <c r="F20" s="28">
        <f>1372100/3</f>
        <v>457366.66666666669</v>
      </c>
      <c r="G20" s="29"/>
      <c r="H20" s="17" t="str">
        <f t="shared" si="0"/>
        <v/>
      </c>
      <c r="I20" s="17" t="str">
        <f t="shared" si="1"/>
        <v/>
      </c>
      <c r="J20" s="17" t="str">
        <f>IF(I20="","",I20*Resumen!$B$10)</f>
        <v/>
      </c>
      <c r="K20" s="17" t="str">
        <f t="shared" si="2"/>
        <v/>
      </c>
      <c r="L20" s="20">
        <f t="shared" si="3"/>
        <v>457366.66666666669</v>
      </c>
      <c r="M20" s="20">
        <f>L20*Resumen!$B$10</f>
        <v>86899.666666666672</v>
      </c>
      <c r="N20" s="20">
        <f t="shared" si="4"/>
        <v>544266.33333333337</v>
      </c>
    </row>
    <row r="21" spans="1:14">
      <c r="A21" s="37" t="s">
        <v>61</v>
      </c>
      <c r="B21" s="37"/>
      <c r="C21" s="37"/>
      <c r="D21" s="37"/>
      <c r="E21" s="37"/>
      <c r="F21" s="38"/>
      <c r="G21" s="38"/>
      <c r="H21" s="38"/>
      <c r="I21" s="18">
        <f t="shared" ref="I21:N21" si="5">SUM(I6:I20)</f>
        <v>0</v>
      </c>
      <c r="J21" s="18">
        <f t="shared" si="5"/>
        <v>0</v>
      </c>
      <c r="K21" s="18">
        <f t="shared" si="5"/>
        <v>0</v>
      </c>
      <c r="L21" s="21">
        <f t="shared" si="5"/>
        <v>58810933.333333328</v>
      </c>
      <c r="M21" s="21">
        <f t="shared" si="5"/>
        <v>11174077.333333332</v>
      </c>
      <c r="N21" s="21">
        <f t="shared" si="5"/>
        <v>69985010.666666657</v>
      </c>
    </row>
  </sheetData>
  <mergeCells count="5">
    <mergeCell ref="A1:N1"/>
    <mergeCell ref="A2:N2"/>
    <mergeCell ref="A21:H21"/>
    <mergeCell ref="D3:E3"/>
    <mergeCell ref="D4:E4"/>
  </mergeCells>
  <conditionalFormatting sqref="H6:H20">
    <cfRule type="expression" dxfId="8" priority="1">
      <formula>H6="EXCEDE TOPE"</formula>
    </cfRule>
    <cfRule type="expression" dxfId="7" priority="2">
      <formula>H6="CUMPLE"</formula>
    </cfRule>
  </conditionalFormatting>
  <conditionalFormatting sqref="G6:G20">
    <cfRule type="expression" dxfId="6" priority="3">
      <formula>AND(G6&lt;&gt;"",G6&gt;F6)</formula>
    </cfRule>
  </conditionalFormatting>
  <pageMargins left="0.7" right="0.7" top="0.75" bottom="0.75" header="0.3" footer="0.3"/>
  <pageSetup scale="3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29"/>
  <sheetViews>
    <sheetView view="pageBreakPreview" topLeftCell="B1" zoomScale="80" zoomScaleNormal="100" zoomScaleSheetLayoutView="80" workbookViewId="0">
      <selection activeCell="F3" sqref="F3"/>
    </sheetView>
  </sheetViews>
  <sheetFormatPr baseColWidth="10" defaultColWidth="8.796875" defaultRowHeight="14.4"/>
  <cols>
    <col min="1" max="1" width="7" style="1" customWidth="1"/>
    <col min="2" max="2" width="42" style="1" customWidth="1"/>
    <col min="3" max="3" width="13" style="1" customWidth="1"/>
    <col min="4" max="4" width="8" style="1" customWidth="1"/>
    <col min="5" max="5" width="10" style="1" customWidth="1"/>
    <col min="6" max="6" width="18" style="1" customWidth="1"/>
    <col min="7" max="7" width="19" style="1" customWidth="1"/>
    <col min="8" max="8" width="15" style="1" customWidth="1"/>
    <col min="9" max="9" width="19" style="1" customWidth="1"/>
    <col min="10" max="10" width="14" style="1" customWidth="1"/>
    <col min="11" max="11" width="20" style="1" customWidth="1"/>
    <col min="12" max="12" width="18" style="1" customWidth="1"/>
    <col min="13" max="13" width="16.5" style="1" customWidth="1"/>
    <col min="14" max="14" width="19" style="1" customWidth="1"/>
  </cols>
  <sheetData>
    <row r="1" spans="1:14" ht="17.850000000000001" customHeight="1">
      <c r="A1" s="41" t="s">
        <v>62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</row>
    <row r="2" spans="1:14">
      <c r="A2" s="36" t="s">
        <v>26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</row>
    <row r="3" spans="1:14">
      <c r="A3" s="8"/>
      <c r="B3" s="10" t="s">
        <v>27</v>
      </c>
      <c r="C3" s="8"/>
      <c r="D3" s="39" t="s">
        <v>4</v>
      </c>
      <c r="E3" s="39"/>
      <c r="F3" s="8"/>
      <c r="G3" s="8"/>
      <c r="H3" s="8"/>
      <c r="I3" s="8"/>
      <c r="J3" s="8"/>
      <c r="K3" s="8"/>
      <c r="L3" s="8"/>
      <c r="M3" s="8"/>
      <c r="N3" s="8"/>
    </row>
    <row r="4" spans="1:14">
      <c r="A4" s="8"/>
      <c r="B4" s="10" t="s">
        <v>28</v>
      </c>
      <c r="C4" s="12">
        <f>Resumen!B10</f>
        <v>0.19</v>
      </c>
      <c r="D4" s="39" t="s">
        <v>12</v>
      </c>
      <c r="E4" s="39"/>
      <c r="F4" s="8" t="s">
        <v>20</v>
      </c>
      <c r="G4" s="8"/>
      <c r="H4" s="8"/>
      <c r="I4" s="8"/>
      <c r="J4" s="8"/>
      <c r="K4" s="8"/>
      <c r="L4" s="8"/>
      <c r="M4" s="8"/>
      <c r="N4" s="8"/>
    </row>
    <row r="5" spans="1:14" ht="52.2" customHeight="1">
      <c r="A5" s="7" t="s">
        <v>29</v>
      </c>
      <c r="B5" s="7" t="s">
        <v>30</v>
      </c>
      <c r="C5" s="7" t="s">
        <v>31</v>
      </c>
      <c r="D5" s="7" t="s">
        <v>32</v>
      </c>
      <c r="E5" s="7" t="s">
        <v>33</v>
      </c>
      <c r="F5" s="7" t="s">
        <v>93</v>
      </c>
      <c r="G5" s="7" t="s">
        <v>34</v>
      </c>
      <c r="H5" s="7" t="s">
        <v>35</v>
      </c>
      <c r="I5" s="7" t="s">
        <v>36</v>
      </c>
      <c r="J5" s="7" t="s">
        <v>37</v>
      </c>
      <c r="K5" s="7" t="s">
        <v>38</v>
      </c>
      <c r="L5" s="19" t="s">
        <v>39</v>
      </c>
      <c r="M5" s="19" t="s">
        <v>40</v>
      </c>
      <c r="N5" s="19" t="s">
        <v>41</v>
      </c>
    </row>
    <row r="6" spans="1:14">
      <c r="A6" s="6">
        <v>1</v>
      </c>
      <c r="B6" s="6" t="s">
        <v>63</v>
      </c>
      <c r="C6" s="6" t="s">
        <v>56</v>
      </c>
      <c r="D6" s="6">
        <v>1</v>
      </c>
      <c r="E6" s="6">
        <v>1</v>
      </c>
      <c r="F6" s="28">
        <f>60650000/3</f>
        <v>20216666.666666668</v>
      </c>
      <c r="G6" s="29"/>
      <c r="H6" s="17" t="str">
        <f t="shared" ref="H6:H28" si="0">IF(G6="","",IF(G6&lt;=F6,"CUMPLE","EXCEDE TOPE"))</f>
        <v/>
      </c>
      <c r="I6" s="17" t="str">
        <f t="shared" ref="I6:I28" si="1">IF(G6="","",D6*E6*G6)</f>
        <v/>
      </c>
      <c r="J6" s="17" t="str">
        <f>IF(I6="","",I6*Resumen!$B$10)</f>
        <v/>
      </c>
      <c r="K6" s="17" t="str">
        <f t="shared" ref="K6:K28" si="2">IF(I6="","",I6+J6)</f>
        <v/>
      </c>
      <c r="L6" s="20">
        <f t="shared" ref="L6:L28" si="3">D6*E6*F6</f>
        <v>20216666.666666668</v>
      </c>
      <c r="M6" s="20">
        <f>L6*Resumen!$B$10</f>
        <v>3841166.666666667</v>
      </c>
      <c r="N6" s="20">
        <f t="shared" ref="N6:N28" si="4">L6+M6</f>
        <v>24057833.333333336</v>
      </c>
    </row>
    <row r="7" spans="1:14">
      <c r="A7" s="6">
        <v>2</v>
      </c>
      <c r="B7" s="6" t="s">
        <v>64</v>
      </c>
      <c r="C7" s="6" t="s">
        <v>49</v>
      </c>
      <c r="D7" s="6">
        <v>3</v>
      </c>
      <c r="E7" s="6">
        <v>1</v>
      </c>
      <c r="F7" s="28">
        <f>32586000/3</f>
        <v>10862000</v>
      </c>
      <c r="G7" s="29"/>
      <c r="H7" s="17" t="str">
        <f t="shared" si="0"/>
        <v/>
      </c>
      <c r="I7" s="17" t="str">
        <f t="shared" si="1"/>
        <v/>
      </c>
      <c r="J7" s="17" t="str">
        <f>IF(I7="","",I7*Resumen!$B$10)</f>
        <v/>
      </c>
      <c r="K7" s="17" t="str">
        <f t="shared" si="2"/>
        <v/>
      </c>
      <c r="L7" s="20">
        <f t="shared" si="3"/>
        <v>32586000</v>
      </c>
      <c r="M7" s="20">
        <f>L7*Resumen!$B$10</f>
        <v>6191340</v>
      </c>
      <c r="N7" s="20">
        <f t="shared" si="4"/>
        <v>38777340</v>
      </c>
    </row>
    <row r="8" spans="1:14">
      <c r="A8" s="6">
        <v>3</v>
      </c>
      <c r="B8" s="6" t="s">
        <v>65</v>
      </c>
      <c r="C8" s="6" t="s">
        <v>49</v>
      </c>
      <c r="D8" s="6">
        <v>3</v>
      </c>
      <c r="E8" s="6">
        <v>1</v>
      </c>
      <c r="F8" s="28">
        <f>21900000/3</f>
        <v>7300000</v>
      </c>
      <c r="G8" s="29"/>
      <c r="H8" s="17" t="str">
        <f t="shared" si="0"/>
        <v/>
      </c>
      <c r="I8" s="17" t="str">
        <f t="shared" si="1"/>
        <v/>
      </c>
      <c r="J8" s="17" t="str">
        <f>IF(I8="","",I8*Resumen!$B$10)</f>
        <v/>
      </c>
      <c r="K8" s="17" t="str">
        <f t="shared" si="2"/>
        <v/>
      </c>
      <c r="L8" s="20">
        <f t="shared" si="3"/>
        <v>21900000</v>
      </c>
      <c r="M8" s="20">
        <f>L8*Resumen!$B$10</f>
        <v>4161000</v>
      </c>
      <c r="N8" s="20">
        <f t="shared" si="4"/>
        <v>26061000</v>
      </c>
    </row>
    <row r="9" spans="1:14">
      <c r="A9" s="6">
        <v>4</v>
      </c>
      <c r="B9" s="6" t="s">
        <v>50</v>
      </c>
      <c r="C9" s="6" t="s">
        <v>49</v>
      </c>
      <c r="D9" s="6">
        <v>3</v>
      </c>
      <c r="E9" s="6">
        <v>1</v>
      </c>
      <c r="F9" s="28">
        <f>3650000/3</f>
        <v>1216666.6666666667</v>
      </c>
      <c r="G9" s="29"/>
      <c r="H9" s="17" t="str">
        <f t="shared" si="0"/>
        <v/>
      </c>
      <c r="I9" s="17" t="str">
        <f t="shared" si="1"/>
        <v/>
      </c>
      <c r="J9" s="17" t="str">
        <f>IF(I9="","",I9*Resumen!$B$10)</f>
        <v/>
      </c>
      <c r="K9" s="17" t="str">
        <f t="shared" si="2"/>
        <v/>
      </c>
      <c r="L9" s="20">
        <f t="shared" si="3"/>
        <v>3650000</v>
      </c>
      <c r="M9" s="20">
        <f>L9*Resumen!$B$10</f>
        <v>693500</v>
      </c>
      <c r="N9" s="20">
        <f t="shared" si="4"/>
        <v>4343500</v>
      </c>
    </row>
    <row r="10" spans="1:14">
      <c r="A10" s="6">
        <v>5</v>
      </c>
      <c r="B10" s="6" t="s">
        <v>66</v>
      </c>
      <c r="C10" s="6" t="s">
        <v>56</v>
      </c>
      <c r="D10" s="6">
        <v>3</v>
      </c>
      <c r="E10" s="6">
        <v>1</v>
      </c>
      <c r="F10" s="28">
        <f>5951000/3</f>
        <v>1983666.6666666667</v>
      </c>
      <c r="G10" s="29"/>
      <c r="H10" s="17" t="str">
        <f t="shared" si="0"/>
        <v/>
      </c>
      <c r="I10" s="17" t="str">
        <f t="shared" si="1"/>
        <v/>
      </c>
      <c r="J10" s="17" t="str">
        <f>IF(I10="","",I10*Resumen!$B$10)</f>
        <v/>
      </c>
      <c r="K10" s="17" t="str">
        <f t="shared" si="2"/>
        <v/>
      </c>
      <c r="L10" s="20">
        <f t="shared" si="3"/>
        <v>5951000</v>
      </c>
      <c r="M10" s="20">
        <f>L10*Resumen!$B$10</f>
        <v>1130690</v>
      </c>
      <c r="N10" s="20">
        <f t="shared" si="4"/>
        <v>7081690</v>
      </c>
    </row>
    <row r="11" spans="1:14">
      <c r="A11" s="6">
        <v>6</v>
      </c>
      <c r="B11" s="6" t="s">
        <v>67</v>
      </c>
      <c r="C11" s="6" t="s">
        <v>56</v>
      </c>
      <c r="D11" s="6">
        <v>3</v>
      </c>
      <c r="E11" s="6">
        <v>1</v>
      </c>
      <c r="F11" s="28">
        <f>11691500/3</f>
        <v>3897166.6666666665</v>
      </c>
      <c r="G11" s="29"/>
      <c r="H11" s="17" t="str">
        <f t="shared" si="0"/>
        <v/>
      </c>
      <c r="I11" s="17" t="str">
        <f t="shared" si="1"/>
        <v/>
      </c>
      <c r="J11" s="17" t="str">
        <f>IF(I11="","",I11*Resumen!$B$10)</f>
        <v/>
      </c>
      <c r="K11" s="17" t="str">
        <f t="shared" si="2"/>
        <v/>
      </c>
      <c r="L11" s="20">
        <f t="shared" si="3"/>
        <v>11691500</v>
      </c>
      <c r="M11" s="20">
        <f>L11*Resumen!$B$10</f>
        <v>2221385</v>
      </c>
      <c r="N11" s="20">
        <f t="shared" si="4"/>
        <v>13912885</v>
      </c>
    </row>
    <row r="12" spans="1:14">
      <c r="A12" s="6">
        <v>7</v>
      </c>
      <c r="B12" s="6" t="s">
        <v>68</v>
      </c>
      <c r="C12" s="6" t="s">
        <v>49</v>
      </c>
      <c r="D12" s="6">
        <v>3</v>
      </c>
      <c r="E12" s="6">
        <v>1</v>
      </c>
      <c r="F12" s="28">
        <f>14450000/3</f>
        <v>4816666.666666667</v>
      </c>
      <c r="G12" s="29"/>
      <c r="H12" s="17" t="str">
        <f t="shared" si="0"/>
        <v/>
      </c>
      <c r="I12" s="17" t="str">
        <f t="shared" si="1"/>
        <v/>
      </c>
      <c r="J12" s="17" t="str">
        <f>IF(I12="","",I12*Resumen!$B$10)</f>
        <v/>
      </c>
      <c r="K12" s="17" t="str">
        <f t="shared" si="2"/>
        <v/>
      </c>
      <c r="L12" s="20">
        <f t="shared" si="3"/>
        <v>14450000</v>
      </c>
      <c r="M12" s="20">
        <f>L12*Resumen!$B$10</f>
        <v>2745500</v>
      </c>
      <c r="N12" s="20">
        <f t="shared" si="4"/>
        <v>17195500</v>
      </c>
    </row>
    <row r="13" spans="1:14">
      <c r="A13" s="6">
        <v>8</v>
      </c>
      <c r="B13" s="6" t="s">
        <v>69</v>
      </c>
      <c r="C13" s="6" t="s">
        <v>56</v>
      </c>
      <c r="D13" s="6">
        <v>3</v>
      </c>
      <c r="E13" s="6">
        <v>2</v>
      </c>
      <c r="F13" s="28">
        <f>1709000/3</f>
        <v>569666.66666666663</v>
      </c>
      <c r="G13" s="29"/>
      <c r="H13" s="17" t="str">
        <f t="shared" si="0"/>
        <v/>
      </c>
      <c r="I13" s="17" t="str">
        <f t="shared" si="1"/>
        <v/>
      </c>
      <c r="J13" s="17" t="str">
        <f>IF(I13="","",I13*Resumen!$B$10)</f>
        <v/>
      </c>
      <c r="K13" s="17" t="str">
        <f t="shared" si="2"/>
        <v/>
      </c>
      <c r="L13" s="20">
        <f t="shared" si="3"/>
        <v>3418000</v>
      </c>
      <c r="M13" s="20">
        <f>L13*Resumen!$B$10</f>
        <v>649420</v>
      </c>
      <c r="N13" s="20">
        <f t="shared" si="4"/>
        <v>4067420</v>
      </c>
    </row>
    <row r="14" spans="1:14">
      <c r="A14" s="6">
        <v>9</v>
      </c>
      <c r="B14" s="6" t="s">
        <v>70</v>
      </c>
      <c r="C14" s="6" t="s">
        <v>56</v>
      </c>
      <c r="D14" s="6">
        <v>3</v>
      </c>
      <c r="E14" s="6">
        <v>1</v>
      </c>
      <c r="F14" s="28">
        <f>7390000/3</f>
        <v>2463333.3333333335</v>
      </c>
      <c r="G14" s="29"/>
      <c r="H14" s="17" t="str">
        <f t="shared" si="0"/>
        <v/>
      </c>
      <c r="I14" s="17" t="str">
        <f t="shared" si="1"/>
        <v/>
      </c>
      <c r="J14" s="17" t="str">
        <f>IF(I14="","",I14*Resumen!$B$10)</f>
        <v/>
      </c>
      <c r="K14" s="17" t="str">
        <f t="shared" si="2"/>
        <v/>
      </c>
      <c r="L14" s="20">
        <f t="shared" si="3"/>
        <v>7390000</v>
      </c>
      <c r="M14" s="20">
        <f>L14*Resumen!$B$10</f>
        <v>1404100</v>
      </c>
      <c r="N14" s="20">
        <f t="shared" si="4"/>
        <v>8794100</v>
      </c>
    </row>
    <row r="15" spans="1:14">
      <c r="A15" s="6">
        <v>10</v>
      </c>
      <c r="B15" s="6" t="s">
        <v>71</v>
      </c>
      <c r="C15" s="6" t="s">
        <v>56</v>
      </c>
      <c r="D15" s="6">
        <v>3</v>
      </c>
      <c r="E15" s="6">
        <v>4</v>
      </c>
      <c r="F15" s="28">
        <f>768900/3</f>
        <v>256300</v>
      </c>
      <c r="G15" s="29"/>
      <c r="H15" s="17" t="str">
        <f t="shared" si="0"/>
        <v/>
      </c>
      <c r="I15" s="17" t="str">
        <f t="shared" si="1"/>
        <v/>
      </c>
      <c r="J15" s="17" t="str">
        <f>IF(I15="","",I15*Resumen!$B$10)</f>
        <v/>
      </c>
      <c r="K15" s="17" t="str">
        <f t="shared" si="2"/>
        <v/>
      </c>
      <c r="L15" s="20">
        <f t="shared" si="3"/>
        <v>3075600</v>
      </c>
      <c r="M15" s="20">
        <f>L15*Resumen!$B$10</f>
        <v>584364</v>
      </c>
      <c r="N15" s="20">
        <f t="shared" si="4"/>
        <v>3659964</v>
      </c>
    </row>
    <row r="16" spans="1:14">
      <c r="A16" s="6">
        <v>11</v>
      </c>
      <c r="B16" s="6" t="s">
        <v>57</v>
      </c>
      <c r="C16" s="6" t="s">
        <v>56</v>
      </c>
      <c r="D16" s="6">
        <v>3</v>
      </c>
      <c r="E16" s="6">
        <v>300</v>
      </c>
      <c r="F16" s="28">
        <f>7050/3</f>
        <v>2350</v>
      </c>
      <c r="G16" s="29"/>
      <c r="H16" s="17" t="str">
        <f t="shared" si="0"/>
        <v/>
      </c>
      <c r="I16" s="17" t="str">
        <f t="shared" si="1"/>
        <v/>
      </c>
      <c r="J16" s="17" t="str">
        <f>IF(I16="","",I16*Resumen!$B$10)</f>
        <v/>
      </c>
      <c r="K16" s="17" t="str">
        <f t="shared" si="2"/>
        <v/>
      </c>
      <c r="L16" s="20">
        <f t="shared" si="3"/>
        <v>2115000</v>
      </c>
      <c r="M16" s="20">
        <f>L16*Resumen!$B$10</f>
        <v>401850</v>
      </c>
      <c r="N16" s="20">
        <f t="shared" si="4"/>
        <v>2516850</v>
      </c>
    </row>
    <row r="17" spans="1:14">
      <c r="A17" s="6">
        <v>12</v>
      </c>
      <c r="B17" s="6" t="s">
        <v>53</v>
      </c>
      <c r="C17" s="6" t="s">
        <v>56</v>
      </c>
      <c r="D17" s="6">
        <v>3</v>
      </c>
      <c r="E17" s="6">
        <v>100</v>
      </c>
      <c r="F17" s="28">
        <f>111000/3</f>
        <v>37000</v>
      </c>
      <c r="G17" s="29"/>
      <c r="H17" s="17" t="str">
        <f t="shared" si="0"/>
        <v/>
      </c>
      <c r="I17" s="17" t="str">
        <f t="shared" si="1"/>
        <v/>
      </c>
      <c r="J17" s="17" t="str">
        <f>IF(I17="","",I17*Resumen!$B$10)</f>
        <v/>
      </c>
      <c r="K17" s="17" t="str">
        <f t="shared" si="2"/>
        <v/>
      </c>
      <c r="L17" s="20">
        <f t="shared" si="3"/>
        <v>11100000</v>
      </c>
      <c r="M17" s="20">
        <f>L17*Resumen!$B$10</f>
        <v>2109000</v>
      </c>
      <c r="N17" s="20">
        <f t="shared" si="4"/>
        <v>13209000</v>
      </c>
    </row>
    <row r="18" spans="1:14">
      <c r="A18" s="6">
        <v>13</v>
      </c>
      <c r="B18" s="6" t="s">
        <v>55</v>
      </c>
      <c r="C18" s="6" t="s">
        <v>56</v>
      </c>
      <c r="D18" s="6">
        <v>3</v>
      </c>
      <c r="E18" s="6">
        <v>300</v>
      </c>
      <c r="F18" s="28">
        <f>54650/3</f>
        <v>18216.666666666668</v>
      </c>
      <c r="G18" s="29"/>
      <c r="H18" s="17" t="str">
        <f t="shared" si="0"/>
        <v/>
      </c>
      <c r="I18" s="17" t="str">
        <f t="shared" si="1"/>
        <v/>
      </c>
      <c r="J18" s="17" t="str">
        <f>IF(I18="","",I18*Resumen!$B$10)</f>
        <v/>
      </c>
      <c r="K18" s="17" t="str">
        <f t="shared" si="2"/>
        <v/>
      </c>
      <c r="L18" s="20">
        <f t="shared" si="3"/>
        <v>16395000.000000002</v>
      </c>
      <c r="M18" s="20">
        <f>L18*Resumen!$B$10</f>
        <v>3115050.0000000005</v>
      </c>
      <c r="N18" s="20">
        <f t="shared" si="4"/>
        <v>19510050.000000004</v>
      </c>
    </row>
    <row r="19" spans="1:14">
      <c r="A19" s="6">
        <v>14</v>
      </c>
      <c r="B19" s="6" t="s">
        <v>72</v>
      </c>
      <c r="C19" s="6" t="s">
        <v>56</v>
      </c>
      <c r="D19" s="6">
        <v>3</v>
      </c>
      <c r="E19" s="6">
        <v>1</v>
      </c>
      <c r="F19" s="28">
        <f>11620000/3</f>
        <v>3873333.3333333335</v>
      </c>
      <c r="G19" s="29"/>
      <c r="H19" s="17" t="str">
        <f t="shared" si="0"/>
        <v/>
      </c>
      <c r="I19" s="17" t="str">
        <f t="shared" si="1"/>
        <v/>
      </c>
      <c r="J19" s="17" t="str">
        <f>IF(I19="","",I19*Resumen!$B$10)</f>
        <v/>
      </c>
      <c r="K19" s="17" t="str">
        <f t="shared" si="2"/>
        <v/>
      </c>
      <c r="L19" s="20">
        <f t="shared" si="3"/>
        <v>11620000</v>
      </c>
      <c r="M19" s="20">
        <f>L19*Resumen!$B$10</f>
        <v>2207800</v>
      </c>
      <c r="N19" s="20">
        <f t="shared" si="4"/>
        <v>13827800</v>
      </c>
    </row>
    <row r="20" spans="1:14">
      <c r="A20" s="6">
        <v>15</v>
      </c>
      <c r="B20" s="6" t="s">
        <v>73</v>
      </c>
      <c r="C20" s="6" t="s">
        <v>56</v>
      </c>
      <c r="D20" s="6">
        <v>1</v>
      </c>
      <c r="E20" s="6">
        <v>2</v>
      </c>
      <c r="F20" s="28">
        <f>3604500/3</f>
        <v>1201500</v>
      </c>
      <c r="G20" s="29"/>
      <c r="H20" s="17" t="str">
        <f t="shared" si="0"/>
        <v/>
      </c>
      <c r="I20" s="17" t="str">
        <f t="shared" si="1"/>
        <v/>
      </c>
      <c r="J20" s="17" t="str">
        <f>IF(I20="","",I20*Resumen!$B$10)</f>
        <v/>
      </c>
      <c r="K20" s="17" t="str">
        <f t="shared" si="2"/>
        <v/>
      </c>
      <c r="L20" s="20">
        <f t="shared" si="3"/>
        <v>2403000</v>
      </c>
      <c r="M20" s="20">
        <f>L20*Resumen!$B$10</f>
        <v>456570</v>
      </c>
      <c r="N20" s="20">
        <f t="shared" si="4"/>
        <v>2859570</v>
      </c>
    </row>
    <row r="21" spans="1:14">
      <c r="A21" s="6">
        <v>16</v>
      </c>
      <c r="B21" s="6" t="s">
        <v>74</v>
      </c>
      <c r="C21" s="6" t="s">
        <v>56</v>
      </c>
      <c r="D21" s="6">
        <v>3</v>
      </c>
      <c r="E21" s="6">
        <v>1</v>
      </c>
      <c r="F21" s="28">
        <f>2114000/3</f>
        <v>704666.66666666663</v>
      </c>
      <c r="G21" s="29"/>
      <c r="H21" s="17" t="str">
        <f t="shared" si="0"/>
        <v/>
      </c>
      <c r="I21" s="17" t="str">
        <f t="shared" si="1"/>
        <v/>
      </c>
      <c r="J21" s="17" t="str">
        <f>IF(I21="","",I21*Resumen!$B$10)</f>
        <v/>
      </c>
      <c r="K21" s="17" t="str">
        <f t="shared" si="2"/>
        <v/>
      </c>
      <c r="L21" s="20">
        <f t="shared" si="3"/>
        <v>2114000</v>
      </c>
      <c r="M21" s="20">
        <f>L21*Resumen!$B$10</f>
        <v>401660</v>
      </c>
      <c r="N21" s="20">
        <f t="shared" si="4"/>
        <v>2515660</v>
      </c>
    </row>
    <row r="22" spans="1:14">
      <c r="A22" s="6">
        <v>17</v>
      </c>
      <c r="B22" s="6" t="s">
        <v>75</v>
      </c>
      <c r="C22" s="6" t="s">
        <v>56</v>
      </c>
      <c r="D22" s="6">
        <v>3</v>
      </c>
      <c r="E22" s="6">
        <v>2</v>
      </c>
      <c r="F22" s="28">
        <f>1846100/3</f>
        <v>615366.66666666663</v>
      </c>
      <c r="G22" s="29"/>
      <c r="H22" s="17" t="str">
        <f t="shared" si="0"/>
        <v/>
      </c>
      <c r="I22" s="17" t="str">
        <f t="shared" si="1"/>
        <v/>
      </c>
      <c r="J22" s="17" t="str">
        <f>IF(I22="","",I22*Resumen!$B$10)</f>
        <v/>
      </c>
      <c r="K22" s="17" t="str">
        <f t="shared" si="2"/>
        <v/>
      </c>
      <c r="L22" s="20">
        <f t="shared" si="3"/>
        <v>3692200</v>
      </c>
      <c r="M22" s="20">
        <f>L22*Resumen!$B$10</f>
        <v>701518</v>
      </c>
      <c r="N22" s="20">
        <f t="shared" si="4"/>
        <v>4393718</v>
      </c>
    </row>
    <row r="23" spans="1:14">
      <c r="A23" s="6">
        <v>18</v>
      </c>
      <c r="B23" s="6" t="s">
        <v>76</v>
      </c>
      <c r="C23" s="6" t="s">
        <v>56</v>
      </c>
      <c r="D23" s="6">
        <v>3</v>
      </c>
      <c r="E23" s="6">
        <v>1</v>
      </c>
      <c r="F23" s="28">
        <f>663400/3</f>
        <v>221133.33333333334</v>
      </c>
      <c r="G23" s="29"/>
      <c r="H23" s="17" t="str">
        <f t="shared" si="0"/>
        <v/>
      </c>
      <c r="I23" s="17" t="str">
        <f t="shared" si="1"/>
        <v/>
      </c>
      <c r="J23" s="17" t="str">
        <f>IF(I23="","",I23*Resumen!$B$10)</f>
        <v/>
      </c>
      <c r="K23" s="17" t="str">
        <f t="shared" si="2"/>
        <v/>
      </c>
      <c r="L23" s="20">
        <f t="shared" si="3"/>
        <v>663400</v>
      </c>
      <c r="M23" s="20">
        <f>L23*Resumen!$B$10</f>
        <v>126046</v>
      </c>
      <c r="N23" s="20">
        <f t="shared" si="4"/>
        <v>789446</v>
      </c>
    </row>
    <row r="24" spans="1:14">
      <c r="A24" s="6">
        <v>19</v>
      </c>
      <c r="B24" s="6" t="s">
        <v>77</v>
      </c>
      <c r="C24" s="6" t="s">
        <v>56</v>
      </c>
      <c r="D24" s="6">
        <v>3</v>
      </c>
      <c r="E24" s="6">
        <v>2</v>
      </c>
      <c r="F24" s="28">
        <f>4741700/3</f>
        <v>1580566.6666666667</v>
      </c>
      <c r="G24" s="29"/>
      <c r="H24" s="17" t="str">
        <f t="shared" si="0"/>
        <v/>
      </c>
      <c r="I24" s="17" t="str">
        <f t="shared" si="1"/>
        <v/>
      </c>
      <c r="J24" s="17" t="str">
        <f>IF(I24="","",I24*Resumen!$B$10)</f>
        <v/>
      </c>
      <c r="K24" s="17" t="str">
        <f t="shared" si="2"/>
        <v/>
      </c>
      <c r="L24" s="20">
        <f t="shared" si="3"/>
        <v>9483400</v>
      </c>
      <c r="M24" s="20">
        <f>L24*Resumen!$B$10</f>
        <v>1801846</v>
      </c>
      <c r="N24" s="20">
        <f t="shared" si="4"/>
        <v>11285246</v>
      </c>
    </row>
    <row r="25" spans="1:14">
      <c r="A25" s="6">
        <v>20</v>
      </c>
      <c r="B25" s="6" t="s">
        <v>78</v>
      </c>
      <c r="C25" s="6" t="s">
        <v>56</v>
      </c>
      <c r="D25" s="6">
        <v>3</v>
      </c>
      <c r="E25" s="6">
        <v>1</v>
      </c>
      <c r="F25" s="28">
        <f>1339600/3</f>
        <v>446533.33333333331</v>
      </c>
      <c r="G25" s="29"/>
      <c r="H25" s="17" t="str">
        <f t="shared" si="0"/>
        <v/>
      </c>
      <c r="I25" s="17" t="str">
        <f t="shared" si="1"/>
        <v/>
      </c>
      <c r="J25" s="17" t="str">
        <f>IF(I25="","",I25*Resumen!$B$10)</f>
        <v/>
      </c>
      <c r="K25" s="17" t="str">
        <f t="shared" si="2"/>
        <v/>
      </c>
      <c r="L25" s="20">
        <f t="shared" si="3"/>
        <v>1339600</v>
      </c>
      <c r="M25" s="20">
        <f>L25*Resumen!$B$10</f>
        <v>254524</v>
      </c>
      <c r="N25" s="20">
        <f t="shared" si="4"/>
        <v>1594124</v>
      </c>
    </row>
    <row r="26" spans="1:14">
      <c r="A26" s="6">
        <v>21</v>
      </c>
      <c r="B26" s="6" t="s">
        <v>79</v>
      </c>
      <c r="C26" s="6" t="s">
        <v>56</v>
      </c>
      <c r="D26" s="6">
        <v>1</v>
      </c>
      <c r="E26" s="6">
        <v>1</v>
      </c>
      <c r="F26" s="28">
        <f>109350000/3</f>
        <v>36450000</v>
      </c>
      <c r="G26" s="29"/>
      <c r="H26" s="17" t="str">
        <f t="shared" si="0"/>
        <v/>
      </c>
      <c r="I26" s="17" t="str">
        <f t="shared" si="1"/>
        <v/>
      </c>
      <c r="J26" s="17" t="str">
        <f>IF(I26="","",I26*Resumen!$B$10)</f>
        <v/>
      </c>
      <c r="K26" s="17" t="str">
        <f t="shared" si="2"/>
        <v/>
      </c>
      <c r="L26" s="20">
        <f t="shared" si="3"/>
        <v>36450000</v>
      </c>
      <c r="M26" s="20">
        <f>L26*Resumen!$B$10</f>
        <v>6925500</v>
      </c>
      <c r="N26" s="20">
        <f t="shared" si="4"/>
        <v>43375500</v>
      </c>
    </row>
    <row r="27" spans="1:14">
      <c r="A27" s="6">
        <v>22</v>
      </c>
      <c r="B27" s="6" t="s">
        <v>80</v>
      </c>
      <c r="C27" s="6" t="s">
        <v>56</v>
      </c>
      <c r="D27" s="6">
        <v>1</v>
      </c>
      <c r="E27" s="6">
        <v>1</v>
      </c>
      <c r="F27" s="28">
        <f>15560000/3</f>
        <v>5186666.666666667</v>
      </c>
      <c r="G27" s="29"/>
      <c r="H27" s="17" t="str">
        <f t="shared" si="0"/>
        <v/>
      </c>
      <c r="I27" s="17" t="str">
        <f t="shared" si="1"/>
        <v/>
      </c>
      <c r="J27" s="17" t="str">
        <f>IF(I27="","",I27*Resumen!$B$10)</f>
        <v/>
      </c>
      <c r="K27" s="17" t="str">
        <f t="shared" si="2"/>
        <v/>
      </c>
      <c r="L27" s="20">
        <f t="shared" si="3"/>
        <v>5186666.666666667</v>
      </c>
      <c r="M27" s="20">
        <f>L27*Resumen!$B$10</f>
        <v>985466.66666666674</v>
      </c>
      <c r="N27" s="20">
        <f t="shared" si="4"/>
        <v>6172133.333333334</v>
      </c>
    </row>
    <row r="28" spans="1:14">
      <c r="A28" s="6">
        <v>23</v>
      </c>
      <c r="B28" s="6" t="s">
        <v>81</v>
      </c>
      <c r="C28" s="6" t="s">
        <v>56</v>
      </c>
      <c r="D28" s="6">
        <v>1</v>
      </c>
      <c r="E28" s="6">
        <v>1000</v>
      </c>
      <c r="F28" s="28">
        <f>24800/3</f>
        <v>8266.6666666666661</v>
      </c>
      <c r="G28" s="29"/>
      <c r="H28" s="17" t="str">
        <f t="shared" si="0"/>
        <v/>
      </c>
      <c r="I28" s="17" t="str">
        <f t="shared" si="1"/>
        <v/>
      </c>
      <c r="J28" s="17" t="str">
        <f>IF(I28="","",I28*Resumen!$B$10)</f>
        <v/>
      </c>
      <c r="K28" s="17" t="str">
        <f t="shared" si="2"/>
        <v/>
      </c>
      <c r="L28" s="20">
        <f t="shared" si="3"/>
        <v>8266666.666666666</v>
      </c>
      <c r="M28" s="20">
        <f>L28*Resumen!$B$10</f>
        <v>1570666.6666666665</v>
      </c>
      <c r="N28" s="20">
        <f t="shared" si="4"/>
        <v>9837333.3333333321</v>
      </c>
    </row>
    <row r="29" spans="1:14">
      <c r="A29" s="37" t="s">
        <v>61</v>
      </c>
      <c r="B29" s="37"/>
      <c r="C29" s="37"/>
      <c r="D29" s="37"/>
      <c r="E29" s="37"/>
      <c r="F29" s="38"/>
      <c r="G29" s="38"/>
      <c r="H29" s="38"/>
      <c r="I29" s="18">
        <f t="shared" ref="I29:N29" si="5">SUM(I6:I28)</f>
        <v>0</v>
      </c>
      <c r="J29" s="18">
        <f t="shared" si="5"/>
        <v>0</v>
      </c>
      <c r="K29" s="18">
        <f t="shared" si="5"/>
        <v>0</v>
      </c>
      <c r="L29" s="21">
        <f t="shared" si="5"/>
        <v>235157700</v>
      </c>
      <c r="M29" s="21">
        <f t="shared" si="5"/>
        <v>44679963</v>
      </c>
      <c r="N29" s="21">
        <f t="shared" si="5"/>
        <v>279837663</v>
      </c>
    </row>
  </sheetData>
  <mergeCells count="5">
    <mergeCell ref="A1:N1"/>
    <mergeCell ref="A2:N2"/>
    <mergeCell ref="A29:H29"/>
    <mergeCell ref="D3:E3"/>
    <mergeCell ref="D4:E4"/>
  </mergeCells>
  <conditionalFormatting sqref="H6:H28">
    <cfRule type="expression" dxfId="5" priority="1">
      <formula>H6="EXCEDE TOPE"</formula>
    </cfRule>
    <cfRule type="expression" dxfId="4" priority="2">
      <formula>H6="CUMPLE"</formula>
    </cfRule>
  </conditionalFormatting>
  <conditionalFormatting sqref="G6:G28">
    <cfRule type="expression" dxfId="3" priority="3">
      <formula>AND(G6&lt;&gt;"",G6&gt;F6)</formula>
    </cfRule>
  </conditionalFormatting>
  <pageMargins left="0.7" right="0.7" top="0.75" bottom="0.75" header="0.3" footer="0.3"/>
  <pageSetup scale="3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13"/>
  <sheetViews>
    <sheetView view="pageBreakPreview" zoomScaleNormal="100" zoomScaleSheetLayoutView="100" workbookViewId="0">
      <selection activeCell="C3" sqref="C3"/>
    </sheetView>
  </sheetViews>
  <sheetFormatPr baseColWidth="10" defaultColWidth="8.796875" defaultRowHeight="14.4"/>
  <cols>
    <col min="1" max="1" width="7" style="1" customWidth="1"/>
    <col min="2" max="2" width="42" style="1" customWidth="1"/>
    <col min="3" max="3" width="13" style="1" customWidth="1"/>
    <col min="4" max="4" width="8" style="1" customWidth="1"/>
    <col min="5" max="5" width="10" style="1" customWidth="1"/>
    <col min="6" max="6" width="18" style="1" customWidth="1"/>
    <col min="7" max="7" width="19" style="1" customWidth="1"/>
    <col min="8" max="8" width="15" style="1" customWidth="1"/>
    <col min="9" max="9" width="19" style="1" customWidth="1"/>
    <col min="10" max="10" width="14" style="1" customWidth="1"/>
    <col min="11" max="11" width="20" style="1" customWidth="1"/>
    <col min="12" max="12" width="18" style="1" customWidth="1"/>
    <col min="13" max="13" width="15" style="1" customWidth="1"/>
    <col min="14" max="14" width="19" style="1" customWidth="1"/>
  </cols>
  <sheetData>
    <row r="1" spans="1:14" ht="17.850000000000001" customHeight="1">
      <c r="A1" s="41" t="s">
        <v>82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</row>
    <row r="2" spans="1:14">
      <c r="A2" s="36" t="s">
        <v>26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</row>
    <row r="3" spans="1:14">
      <c r="A3" s="13"/>
      <c r="B3" s="22" t="s">
        <v>27</v>
      </c>
      <c r="C3" s="23"/>
      <c r="D3" s="42" t="s">
        <v>4</v>
      </c>
      <c r="E3" s="42"/>
      <c r="F3" s="23"/>
      <c r="G3" s="13"/>
      <c r="H3" s="13"/>
      <c r="I3" s="13"/>
      <c r="J3" s="13"/>
      <c r="K3" s="13"/>
      <c r="L3" s="13"/>
      <c r="M3" s="13"/>
      <c r="N3" s="13"/>
    </row>
    <row r="4" spans="1:14">
      <c r="A4" s="13"/>
      <c r="B4" s="14" t="s">
        <v>28</v>
      </c>
      <c r="C4" s="15">
        <f>Resumen!B10</f>
        <v>0.19</v>
      </c>
      <c r="D4" s="40" t="s">
        <v>12</v>
      </c>
      <c r="E4" s="40"/>
      <c r="F4" s="16" t="s">
        <v>21</v>
      </c>
      <c r="G4" s="13"/>
      <c r="H4" s="13"/>
      <c r="I4" s="13"/>
      <c r="J4" s="13"/>
      <c r="K4" s="13"/>
      <c r="L4" s="13"/>
      <c r="M4" s="13"/>
      <c r="N4" s="13"/>
    </row>
    <row r="5" spans="1:14" ht="48.6" customHeight="1">
      <c r="A5" s="7" t="s">
        <v>29</v>
      </c>
      <c r="B5" s="7" t="s">
        <v>30</v>
      </c>
      <c r="C5" s="7" t="s">
        <v>31</v>
      </c>
      <c r="D5" s="7" t="s">
        <v>32</v>
      </c>
      <c r="E5" s="7" t="s">
        <v>33</v>
      </c>
      <c r="F5" s="7" t="s">
        <v>93</v>
      </c>
      <c r="G5" s="7" t="s">
        <v>34</v>
      </c>
      <c r="H5" s="7" t="s">
        <v>35</v>
      </c>
      <c r="I5" s="7" t="s">
        <v>36</v>
      </c>
      <c r="J5" s="7" t="s">
        <v>37</v>
      </c>
      <c r="K5" s="7" t="s">
        <v>38</v>
      </c>
      <c r="L5" s="19" t="s">
        <v>39</v>
      </c>
      <c r="M5" s="19" t="s">
        <v>40</v>
      </c>
      <c r="N5" s="19" t="s">
        <v>41</v>
      </c>
    </row>
    <row r="6" spans="1:14">
      <c r="A6" s="6">
        <v>1</v>
      </c>
      <c r="B6" s="6" t="s">
        <v>83</v>
      </c>
      <c r="C6" s="6" t="s">
        <v>56</v>
      </c>
      <c r="D6" s="6">
        <v>1</v>
      </c>
      <c r="E6" s="6">
        <v>10</v>
      </c>
      <c r="F6" s="28">
        <f>659600/3</f>
        <v>219866.66666666666</v>
      </c>
      <c r="G6" s="29"/>
      <c r="H6" s="17" t="str">
        <f t="shared" ref="H6:H12" si="0">IF(G6="","",IF(G6&lt;=F6,"CUMPLE","EXCEDE TOPE"))</f>
        <v/>
      </c>
      <c r="I6" s="17" t="str">
        <f t="shared" ref="I6:I12" si="1">IF(G6="","",D6*E6*G6)</f>
        <v/>
      </c>
      <c r="J6" s="17" t="str">
        <f>IF(I6="","",I6*Resumen!$B$10)</f>
        <v/>
      </c>
      <c r="K6" s="17" t="str">
        <f t="shared" ref="K6:K12" si="2">IF(I6="","",I6+J6)</f>
        <v/>
      </c>
      <c r="L6" s="24">
        <f t="shared" ref="L6:L12" si="3">D6*E6*F6</f>
        <v>2198666.6666666665</v>
      </c>
      <c r="M6" s="24">
        <f>L6*Resumen!$B$10</f>
        <v>417746.66666666663</v>
      </c>
      <c r="N6" s="24">
        <f t="shared" ref="N6:N12" si="4">L6+M6</f>
        <v>2616413.333333333</v>
      </c>
    </row>
    <row r="7" spans="1:14">
      <c r="A7" s="6">
        <v>2</v>
      </c>
      <c r="B7" s="6" t="s">
        <v>84</v>
      </c>
      <c r="C7" s="6" t="s">
        <v>56</v>
      </c>
      <c r="D7" s="6">
        <v>2</v>
      </c>
      <c r="E7" s="6">
        <v>1</v>
      </c>
      <c r="F7" s="28">
        <f>23535000/3</f>
        <v>7845000</v>
      </c>
      <c r="G7" s="29"/>
      <c r="H7" s="17" t="str">
        <f t="shared" si="0"/>
        <v/>
      </c>
      <c r="I7" s="17" t="str">
        <f t="shared" si="1"/>
        <v/>
      </c>
      <c r="J7" s="17" t="str">
        <f>IF(I7="","",I7*Resumen!$B$10)</f>
        <v/>
      </c>
      <c r="K7" s="17" t="str">
        <f t="shared" si="2"/>
        <v/>
      </c>
      <c r="L7" s="24">
        <f t="shared" si="3"/>
        <v>15690000</v>
      </c>
      <c r="M7" s="24">
        <f>L7*Resumen!$B$10</f>
        <v>2981100</v>
      </c>
      <c r="N7" s="24">
        <f t="shared" si="4"/>
        <v>18671100</v>
      </c>
    </row>
    <row r="8" spans="1:14">
      <c r="A8" s="6">
        <v>3</v>
      </c>
      <c r="B8" s="6" t="s">
        <v>66</v>
      </c>
      <c r="C8" s="6" t="s">
        <v>56</v>
      </c>
      <c r="D8" s="6">
        <v>2</v>
      </c>
      <c r="E8" s="6">
        <v>1</v>
      </c>
      <c r="F8" s="28">
        <f>5806500/3</f>
        <v>1935500</v>
      </c>
      <c r="G8" s="29"/>
      <c r="H8" s="17" t="str">
        <f t="shared" si="0"/>
        <v/>
      </c>
      <c r="I8" s="17" t="str">
        <f t="shared" si="1"/>
        <v/>
      </c>
      <c r="J8" s="17" t="str">
        <f>IF(I8="","",I8*Resumen!$B$10)</f>
        <v/>
      </c>
      <c r="K8" s="17" t="str">
        <f t="shared" si="2"/>
        <v/>
      </c>
      <c r="L8" s="24">
        <f t="shared" si="3"/>
        <v>3871000</v>
      </c>
      <c r="M8" s="24">
        <f>L8*Resumen!$B$10</f>
        <v>735490</v>
      </c>
      <c r="N8" s="24">
        <f t="shared" si="4"/>
        <v>4606490</v>
      </c>
    </row>
    <row r="9" spans="1:14" ht="28.8">
      <c r="A9" s="6">
        <v>4</v>
      </c>
      <c r="B9" s="6" t="s">
        <v>85</v>
      </c>
      <c r="C9" s="6" t="s">
        <v>56</v>
      </c>
      <c r="D9" s="6">
        <v>1</v>
      </c>
      <c r="E9" s="6">
        <v>1</v>
      </c>
      <c r="F9" s="28">
        <f>18045000/3</f>
        <v>6015000</v>
      </c>
      <c r="G9" s="29"/>
      <c r="H9" s="17" t="str">
        <f t="shared" si="0"/>
        <v/>
      </c>
      <c r="I9" s="17" t="str">
        <f t="shared" si="1"/>
        <v/>
      </c>
      <c r="J9" s="17" t="str">
        <f>IF(I9="","",I9*Resumen!$B$10)</f>
        <v/>
      </c>
      <c r="K9" s="17" t="str">
        <f t="shared" si="2"/>
        <v/>
      </c>
      <c r="L9" s="24">
        <f t="shared" si="3"/>
        <v>6015000</v>
      </c>
      <c r="M9" s="24">
        <f>L9*Resumen!$B$10</f>
        <v>1142850</v>
      </c>
      <c r="N9" s="24">
        <f t="shared" si="4"/>
        <v>7157850</v>
      </c>
    </row>
    <row r="10" spans="1:14">
      <c r="A10" s="6">
        <v>5</v>
      </c>
      <c r="B10" s="6" t="s">
        <v>86</v>
      </c>
      <c r="C10" s="6" t="s">
        <v>56</v>
      </c>
      <c r="D10" s="6">
        <v>1</v>
      </c>
      <c r="E10" s="6">
        <v>130</v>
      </c>
      <c r="F10" s="28">
        <f>17550/3</f>
        <v>5850</v>
      </c>
      <c r="G10" s="29"/>
      <c r="H10" s="17" t="str">
        <f t="shared" si="0"/>
        <v/>
      </c>
      <c r="I10" s="17" t="str">
        <f t="shared" si="1"/>
        <v/>
      </c>
      <c r="J10" s="17" t="str">
        <f>IF(I10="","",I10*Resumen!$B$10)</f>
        <v/>
      </c>
      <c r="K10" s="17" t="str">
        <f t="shared" si="2"/>
        <v/>
      </c>
      <c r="L10" s="24">
        <f t="shared" si="3"/>
        <v>760500</v>
      </c>
      <c r="M10" s="24">
        <f>L10*Resumen!$B$10</f>
        <v>144495</v>
      </c>
      <c r="N10" s="24">
        <f t="shared" si="4"/>
        <v>904995</v>
      </c>
    </row>
    <row r="11" spans="1:14">
      <c r="A11" s="6">
        <v>6</v>
      </c>
      <c r="B11" s="6" t="s">
        <v>87</v>
      </c>
      <c r="C11" s="6" t="s">
        <v>56</v>
      </c>
      <c r="D11" s="6">
        <v>2</v>
      </c>
      <c r="E11" s="6">
        <v>3</v>
      </c>
      <c r="F11" s="28">
        <f>3101000/3</f>
        <v>1033666.6666666666</v>
      </c>
      <c r="G11" s="29"/>
      <c r="H11" s="17" t="str">
        <f t="shared" si="0"/>
        <v/>
      </c>
      <c r="I11" s="17" t="str">
        <f t="shared" si="1"/>
        <v/>
      </c>
      <c r="J11" s="17" t="str">
        <f>IF(I11="","",I11*Resumen!$B$10)</f>
        <v/>
      </c>
      <c r="K11" s="17" t="str">
        <f t="shared" si="2"/>
        <v/>
      </c>
      <c r="L11" s="24">
        <f t="shared" si="3"/>
        <v>6202000</v>
      </c>
      <c r="M11" s="24">
        <f>L11*Resumen!$B$10</f>
        <v>1178380</v>
      </c>
      <c r="N11" s="24">
        <f t="shared" si="4"/>
        <v>7380380</v>
      </c>
    </row>
    <row r="12" spans="1:14">
      <c r="A12" s="6">
        <v>7</v>
      </c>
      <c r="B12" s="6" t="s">
        <v>88</v>
      </c>
      <c r="C12" s="6" t="s">
        <v>56</v>
      </c>
      <c r="D12" s="6">
        <v>1</v>
      </c>
      <c r="E12" s="6">
        <v>150</v>
      </c>
      <c r="F12" s="28">
        <f>61000/3</f>
        <v>20333.333333333332</v>
      </c>
      <c r="G12" s="29"/>
      <c r="H12" s="17" t="str">
        <f t="shared" si="0"/>
        <v/>
      </c>
      <c r="I12" s="17" t="str">
        <f t="shared" si="1"/>
        <v/>
      </c>
      <c r="J12" s="17" t="str">
        <f>IF(I12="","",I12*Resumen!$B$10)</f>
        <v/>
      </c>
      <c r="K12" s="17" t="str">
        <f t="shared" si="2"/>
        <v/>
      </c>
      <c r="L12" s="24">
        <f t="shared" si="3"/>
        <v>3050000</v>
      </c>
      <c r="M12" s="24">
        <f>L12*Resumen!$B$10</f>
        <v>579500</v>
      </c>
      <c r="N12" s="24">
        <f t="shared" si="4"/>
        <v>3629500</v>
      </c>
    </row>
    <row r="13" spans="1:14">
      <c r="A13" s="37" t="s">
        <v>61</v>
      </c>
      <c r="B13" s="37"/>
      <c r="C13" s="37"/>
      <c r="D13" s="37"/>
      <c r="E13" s="37"/>
      <c r="F13" s="38"/>
      <c r="G13" s="38"/>
      <c r="H13" s="38"/>
      <c r="I13" s="18">
        <f t="shared" ref="I13:N13" si="5">SUM(I6:I12)</f>
        <v>0</v>
      </c>
      <c r="J13" s="18">
        <f t="shared" si="5"/>
        <v>0</v>
      </c>
      <c r="K13" s="18">
        <f t="shared" si="5"/>
        <v>0</v>
      </c>
      <c r="L13" s="25">
        <f t="shared" si="5"/>
        <v>37787166.666666672</v>
      </c>
      <c r="M13" s="25">
        <f t="shared" si="5"/>
        <v>7179561.666666666</v>
      </c>
      <c r="N13" s="25">
        <f t="shared" si="5"/>
        <v>44966728.333333328</v>
      </c>
    </row>
  </sheetData>
  <mergeCells count="5">
    <mergeCell ref="A1:N1"/>
    <mergeCell ref="A2:N2"/>
    <mergeCell ref="A13:H13"/>
    <mergeCell ref="D3:E3"/>
    <mergeCell ref="D4:E4"/>
  </mergeCells>
  <conditionalFormatting sqref="H6:H12">
    <cfRule type="expression" dxfId="2" priority="1">
      <formula>H6="EXCEDE TOPE"</formula>
    </cfRule>
    <cfRule type="expression" dxfId="1" priority="2">
      <formula>H6="CUMPLE"</formula>
    </cfRule>
  </conditionalFormatting>
  <conditionalFormatting sqref="G6:G12">
    <cfRule type="expression" dxfId="0" priority="3">
      <formula>AND(G6&lt;&gt;"",G6&gt;F6)</formula>
    </cfRule>
  </conditionalFormatting>
  <pageMargins left="0.7" right="0.7" top="0.75" bottom="0.75" header="0.3" footer="0.3"/>
  <pageSetup scale="35" orientation="portrait" r:id="rId1"/>
</worksheet>
</file>

<file path=docMetadata/LabelInfo.xml><?xml version="1.0" encoding="utf-8"?>
<clbl:labelList xmlns:clbl="http://schemas.microsoft.com/office/2020/mipLabelMetadata">
  <clbl:label id="{052126ec-16f8-47eb-ae56-6886b94a9358}" enabled="0" method="" siteId="{052126ec-16f8-47eb-ae56-6886b94a9358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Resumen</vt:lpstr>
      <vt:lpstr>Agenda Juvenil</vt:lpstr>
      <vt:lpstr>Parque Renace</vt:lpstr>
      <vt:lpstr>Semana Juventudes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Miguel Dario Duque Vargas</cp:lastModifiedBy>
  <dcterms:created xsi:type="dcterms:W3CDTF">2026-10-21T22:06:28Z</dcterms:created>
  <dcterms:modified xsi:type="dcterms:W3CDTF">2026-10-21T22:16:26Z</dcterms:modified>
</cp:coreProperties>
</file>