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/>
  <mc:AlternateContent xmlns:mc="http://schemas.openxmlformats.org/markup-compatibility/2006">
    <mc:Choice Requires="x15">
      <x15ac:absPath xmlns:x15ac="http://schemas.microsoft.com/office/spreadsheetml/2010/11/ac" url="/Users/dianamarcela/Documents/DIRECCIÓN SOCIOECONÓMICA /PRESUPUESTO PVO/2026/PROCESOS CAMARAS/ESTUDIOS/"/>
    </mc:Choice>
  </mc:AlternateContent>
  <xr:revisionPtr revIDLastSave="0" documentId="13_ncr:1_{39C71CA3-1348-D44C-81AE-3D3F6B5F92F1}" xr6:coauthVersionLast="47" xr6:coauthVersionMax="47" xr10:uidLastSave="{00000000-0000-0000-0000-000000000000}"/>
  <bookViews>
    <workbookView xWindow="0" yWindow="500" windowWidth="28800" windowHeight="16100" activeTab="5" xr2:uid="{00000000-000D-0000-FFFF-FFFF00000000}"/>
  </bookViews>
  <sheets>
    <sheet name="Opción 1" sheetId="1" r:id="rId1"/>
    <sheet name="Opción 2" sheetId="2" r:id="rId2"/>
    <sheet name="Resumen" sheetId="3" r:id="rId3"/>
    <sheet name="Condiciones" sheetId="4" r:id="rId4"/>
    <sheet name="Formato Cotizacion" sheetId="5" r:id="rId5"/>
    <sheet name="Consolidado cotizaciones 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6" l="1"/>
  <c r="G60" i="6"/>
  <c r="G58" i="6"/>
  <c r="F60" i="6"/>
  <c r="F59" i="6"/>
  <c r="C60" i="6"/>
  <c r="H58" i="6"/>
  <c r="F58" i="6"/>
  <c r="D60" i="6"/>
  <c r="L50" i="6"/>
  <c r="L49" i="6"/>
  <c r="L51" i="6" s="1"/>
  <c r="D59" i="6"/>
  <c r="D58" i="6"/>
  <c r="E24" i="6"/>
  <c r="E25" i="6"/>
  <c r="E26" i="6"/>
  <c r="E27" i="6"/>
  <c r="E28" i="6"/>
  <c r="E29" i="6"/>
  <c r="E30" i="6"/>
  <c r="E31" i="6"/>
  <c r="E32" i="6"/>
  <c r="E34" i="6"/>
  <c r="E35" i="6"/>
  <c r="H24" i="6"/>
  <c r="H33" i="6" s="1"/>
  <c r="H25" i="6"/>
  <c r="H26" i="6"/>
  <c r="H27" i="6"/>
  <c r="H28" i="6"/>
  <c r="H29" i="6"/>
  <c r="H30" i="6"/>
  <c r="H31" i="6"/>
  <c r="H32" i="6"/>
  <c r="H34" i="6"/>
  <c r="H35" i="6"/>
  <c r="C33" i="6"/>
  <c r="C36" i="6" s="1"/>
  <c r="I16" i="6"/>
  <c r="I19" i="6" s="1"/>
  <c r="H16" i="6"/>
  <c r="F16" i="6"/>
  <c r="F19" i="6" s="1"/>
  <c r="C16" i="6"/>
  <c r="C19" i="6" s="1"/>
  <c r="M8" i="6"/>
  <c r="L17" i="6"/>
  <c r="L15" i="6"/>
  <c r="N14" i="6"/>
  <c r="L40" i="6"/>
  <c r="L48" i="6" s="1"/>
  <c r="L35" i="6"/>
  <c r="K35" i="6"/>
  <c r="L18" i="6"/>
  <c r="L8" i="6"/>
  <c r="L16" i="6" s="1"/>
  <c r="L19" i="6" s="1"/>
  <c r="L41" i="6"/>
  <c r="L42" i="6"/>
  <c r="L43" i="6"/>
  <c r="L44" i="6"/>
  <c r="L45" i="6"/>
  <c r="L46" i="6"/>
  <c r="L47" i="6"/>
  <c r="L34" i="6"/>
  <c r="M25" i="6"/>
  <c r="M26" i="6"/>
  <c r="M27" i="6"/>
  <c r="M28" i="6"/>
  <c r="M29" i="6"/>
  <c r="M30" i="6"/>
  <c r="M31" i="6"/>
  <c r="M32" i="6"/>
  <c r="M24" i="6"/>
  <c r="L33" i="6"/>
  <c r="L36" i="6" s="1"/>
  <c r="L25" i="6"/>
  <c r="L26" i="6"/>
  <c r="L27" i="6"/>
  <c r="L28" i="6"/>
  <c r="L29" i="6"/>
  <c r="L30" i="6"/>
  <c r="L31" i="6"/>
  <c r="L32" i="6"/>
  <c r="L24" i="6"/>
  <c r="M15" i="6"/>
  <c r="M9" i="6"/>
  <c r="M10" i="6"/>
  <c r="M11" i="6"/>
  <c r="M12" i="6"/>
  <c r="M13" i="6"/>
  <c r="M14" i="6"/>
  <c r="L9" i="6"/>
  <c r="L10" i="6"/>
  <c r="L11" i="6"/>
  <c r="L12" i="6"/>
  <c r="L13" i="6"/>
  <c r="L14" i="6"/>
  <c r="C51" i="6"/>
  <c r="F48" i="6"/>
  <c r="F51" i="6" s="1"/>
  <c r="I48" i="6"/>
  <c r="I51" i="6" s="1"/>
  <c r="C48" i="6"/>
  <c r="I36" i="6"/>
  <c r="F33" i="6"/>
  <c r="F36" i="6" s="1"/>
  <c r="I33" i="6"/>
  <c r="K50" i="6"/>
  <c r="K49" i="6"/>
  <c r="K40" i="6"/>
  <c r="K41" i="6"/>
  <c r="K42" i="6"/>
  <c r="K43" i="6"/>
  <c r="K44" i="6"/>
  <c r="K45" i="6"/>
  <c r="K46" i="6"/>
  <c r="K47" i="6"/>
  <c r="K24" i="6"/>
  <c r="K25" i="6"/>
  <c r="K26" i="6"/>
  <c r="K27" i="6"/>
  <c r="K28" i="6"/>
  <c r="K29" i="6"/>
  <c r="K30" i="6"/>
  <c r="K31" i="6"/>
  <c r="K32" i="6"/>
  <c r="K34" i="6"/>
  <c r="K18" i="6"/>
  <c r="K17" i="6"/>
  <c r="K9" i="6"/>
  <c r="K10" i="6"/>
  <c r="K11" i="6"/>
  <c r="K12" i="6"/>
  <c r="K13" i="6"/>
  <c r="N13" i="6" s="1"/>
  <c r="K14" i="6"/>
  <c r="K15" i="6"/>
  <c r="K8" i="6"/>
  <c r="K16" i="6" s="1"/>
  <c r="H50" i="6"/>
  <c r="H49" i="6"/>
  <c r="H40" i="6"/>
  <c r="H41" i="6"/>
  <c r="H42" i="6"/>
  <c r="H43" i="6"/>
  <c r="H44" i="6"/>
  <c r="H45" i="6"/>
  <c r="H46" i="6"/>
  <c r="H47" i="6"/>
  <c r="H18" i="6"/>
  <c r="H17" i="6"/>
  <c r="N17" i="6" s="1"/>
  <c r="H8" i="6"/>
  <c r="H9" i="6"/>
  <c r="H10" i="6"/>
  <c r="H11" i="6"/>
  <c r="H12" i="6"/>
  <c r="H13" i="6"/>
  <c r="H14" i="6"/>
  <c r="H15" i="6"/>
  <c r="E50" i="6"/>
  <c r="N50" i="6" s="1"/>
  <c r="E49" i="6"/>
  <c r="N49" i="6" s="1"/>
  <c r="E47" i="6"/>
  <c r="N47" i="6" s="1"/>
  <c r="E46" i="6"/>
  <c r="N46" i="6" s="1"/>
  <c r="E45" i="6"/>
  <c r="N45" i="6" s="1"/>
  <c r="E44" i="6"/>
  <c r="N44" i="6" s="1"/>
  <c r="E43" i="6"/>
  <c r="N43" i="6" s="1"/>
  <c r="E42" i="6"/>
  <c r="N42" i="6" s="1"/>
  <c r="E41" i="6"/>
  <c r="N41" i="6" s="1"/>
  <c r="E40" i="6"/>
  <c r="N40" i="6" s="1"/>
  <c r="E18" i="6"/>
  <c r="N18" i="6" s="1"/>
  <c r="E17" i="6"/>
  <c r="E8" i="6"/>
  <c r="E9" i="6"/>
  <c r="N9" i="6" s="1"/>
  <c r="E10" i="6"/>
  <c r="N10" i="6" s="1"/>
  <c r="E11" i="6"/>
  <c r="N11" i="6" s="1"/>
  <c r="E12" i="6"/>
  <c r="N12" i="6" s="1"/>
  <c r="E13" i="6"/>
  <c r="E14" i="6"/>
  <c r="E15" i="6"/>
  <c r="N15" i="6" s="1"/>
  <c r="Q22" i="5"/>
  <c r="Q21" i="5"/>
  <c r="P28" i="5"/>
  <c r="P27" i="5"/>
  <c r="N48" i="6" l="1"/>
  <c r="N51" i="6" s="1"/>
  <c r="N8" i="6"/>
  <c r="E16" i="6"/>
  <c r="E19" i="6" s="1"/>
  <c r="K33" i="6"/>
  <c r="K36" i="6" s="1"/>
  <c r="K48" i="6"/>
  <c r="K51" i="6" s="1"/>
  <c r="E33" i="6"/>
  <c r="H48" i="6"/>
  <c r="H51" i="6" s="1"/>
  <c r="N24" i="6"/>
  <c r="N27" i="6"/>
  <c r="N29" i="6"/>
  <c r="N25" i="6"/>
  <c r="K19" i="6"/>
  <c r="H19" i="6"/>
  <c r="N16" i="6"/>
  <c r="N19" i="6" s="1"/>
  <c r="E48" i="6"/>
  <c r="E51" i="6" s="1"/>
  <c r="P29" i="5"/>
  <c r="N23" i="5"/>
  <c r="R22" i="5"/>
  <c r="R21" i="5"/>
  <c r="K53" i="6" l="1"/>
  <c r="N31" i="6"/>
  <c r="N30" i="6"/>
  <c r="N28" i="6"/>
  <c r="N26" i="6"/>
  <c r="E32" i="5"/>
  <c r="E31" i="5"/>
  <c r="E30" i="5"/>
  <c r="E29" i="5"/>
  <c r="E28" i="5"/>
  <c r="E27" i="5"/>
  <c r="E26" i="5"/>
  <c r="E25" i="5"/>
  <c r="E24" i="5"/>
  <c r="E15" i="5"/>
  <c r="E14" i="5"/>
  <c r="E13" i="5"/>
  <c r="E12" i="5"/>
  <c r="E11" i="5"/>
  <c r="E10" i="5"/>
  <c r="E9" i="5"/>
  <c r="E8" i="5"/>
  <c r="E16" i="5" s="1"/>
  <c r="N32" i="6" l="1"/>
  <c r="N33" i="6" s="1"/>
  <c r="E33" i="5"/>
  <c r="D14" i="2"/>
  <c r="D12" i="2"/>
  <c r="D11" i="2"/>
  <c r="D10" i="2"/>
  <c r="D9" i="2"/>
  <c r="D8" i="2"/>
  <c r="D7" i="2"/>
  <c r="D6" i="2"/>
  <c r="D5" i="2"/>
  <c r="D4" i="2"/>
  <c r="D13" i="1"/>
  <c r="D11" i="1"/>
  <c r="D10" i="1"/>
  <c r="D9" i="1"/>
  <c r="D8" i="1"/>
  <c r="D7" i="1"/>
  <c r="D6" i="1"/>
  <c r="D5" i="1"/>
  <c r="D4" i="1"/>
  <c r="N35" i="6" l="1"/>
  <c r="H36" i="6"/>
  <c r="H53" i="6" s="1"/>
  <c r="N34" i="6"/>
  <c r="E36" i="6"/>
  <c r="E53" i="6" l="1"/>
  <c r="N55" i="6" s="1"/>
  <c r="N36" i="6"/>
  <c r="N53" i="6" s="1"/>
  <c r="N29" i="5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<sst xmlns="http://schemas.openxmlformats.org/spreadsheetml/2006/main" count="200" uniqueCount="73">
  <si>
    <t>Opción 1: Para instalación en fachada</t>
  </si>
  <si>
    <t>DESCRIPCIÓN</t>
  </si>
  <si>
    <t>PRECIO UNITARIO</t>
  </si>
  <si>
    <t>CANTIDAD</t>
  </si>
  <si>
    <t>TOTAL</t>
  </si>
  <si>
    <t>Cámaras tipo domo con panel solar 4MP IP66 WIFI</t>
  </si>
  <si>
    <t>Panel solar 60W (incluye inversor solar)</t>
  </si>
  <si>
    <t>Access Point</t>
  </si>
  <si>
    <t>Gabinete en polipropileno (incluye baterías)</t>
  </si>
  <si>
    <t>Memoria Micro SD de 256 GB</t>
  </si>
  <si>
    <t>Brazo para cámara</t>
  </si>
  <si>
    <t>Materiales: Anclajes, cable UTP Cat 6 exterior, conduflex y otros</t>
  </si>
  <si>
    <t>Mano de obra instalación, capacitación, mantenimiento y soporte.</t>
  </si>
  <si>
    <t>Subtotal</t>
  </si>
  <si>
    <t>Descuentos 8.92%</t>
  </si>
  <si>
    <t>IVA 19%</t>
  </si>
  <si>
    <t>Total</t>
  </si>
  <si>
    <t>Fuente: COTIZACIÓN PPTO PTIVO DDAS.pdf, Oferta económica.</t>
  </si>
  <si>
    <t>Opción 2: Para instalación en poste (independiente)</t>
  </si>
  <si>
    <t>Poste monolítico, fabricado en Poliéster Reforzado con Fibra de Vidrio (PRFV).</t>
  </si>
  <si>
    <t>Fuente: COTIZACIÓN PPTO PTIVO DDAS.pdf, Oferta económica. Nota: el PDF aparenta mostrar el total como '$ 4.6111.176'; se normalizó como $4.611.176 por consistencia aritmética con los valores del cuadro.</t>
  </si>
  <si>
    <t>Resumen comparativo de oferta económica</t>
  </si>
  <si>
    <t>Opción</t>
  </si>
  <si>
    <t>Descuentos</t>
  </si>
  <si>
    <t>IVA</t>
  </si>
  <si>
    <t>Opción 1 - Fachada</t>
  </si>
  <si>
    <t>Opción 2 - Poste independiente</t>
  </si>
  <si>
    <t>Descuentos indicados en el PDF: Estampilla Pro Cultura 0,52%, Estampilla Pro Adulto Mayor 3%, Tasa Pro Deporte y Recreación 2%, Justicia Familiar 2%, ICA, 4 por 1.000.</t>
  </si>
  <si>
    <t>Condiciones comerciales</t>
  </si>
  <si>
    <t>Concepto</t>
  </si>
  <si>
    <t>Detalle</t>
  </si>
  <si>
    <t>Tiempo entrega</t>
  </si>
  <si>
    <t>Entre 45 y 60 días</t>
  </si>
  <si>
    <t>Forma de pago</t>
  </si>
  <si>
    <t>Actas parciales por avance (entrega a satisfacción).</t>
  </si>
  <si>
    <t>Validez de la oferta</t>
  </si>
  <si>
    <t>90 días</t>
  </si>
  <si>
    <t>Garantía</t>
  </si>
  <si>
    <t>1 año en equipos e instalación</t>
  </si>
  <si>
    <t>Soporte</t>
  </si>
  <si>
    <t>5 x 8 durante el período de garantía</t>
  </si>
  <si>
    <t>Costos operativos / impuestos (Administración 6%, Estampilla Pro Cultura 0,52%, Estampilla Pro Adulto Mayor 3%, Tasa Pro Deporte y Recreación 2%, Justicia Familiar 2%, Reteica según actividad económica) 8.92%</t>
  </si>
  <si>
    <t>No de Cámaras</t>
  </si>
  <si>
    <t>Opción 1: Para instalación en fachada para Comuna 11</t>
  </si>
  <si>
    <t>Opción 2: Para instalación en poste (independiente) Corregimiento Alto del Nudo</t>
  </si>
  <si>
    <t xml:space="preserve">UBICACIÓN </t>
  </si>
  <si>
    <t>Comuna 11</t>
  </si>
  <si>
    <t xml:space="preserve">Corregimiento Alto del Nudo </t>
  </si>
  <si>
    <t xml:space="preserve">VALOR DEL PROYECTO </t>
  </si>
  <si>
    <t>valor estimado</t>
  </si>
  <si>
    <t>Valor proyectado</t>
  </si>
  <si>
    <t>VALOR ESTIMADO</t>
  </si>
  <si>
    <t>NO CÁMARAS</t>
  </si>
  <si>
    <t>Comuna 11 Barrio Santa Teresita (Cáma Solar en Facha de vivienda)</t>
  </si>
  <si>
    <t>Corregimiento Alto del Nudo (Camara en Poste)</t>
  </si>
  <si>
    <t>Total Propuesta</t>
  </si>
  <si>
    <t>PRECIO UNITARIO2</t>
  </si>
  <si>
    <t>CANTIDAD3</t>
  </si>
  <si>
    <t>TOTAL4</t>
  </si>
  <si>
    <t>CANTIDAD2</t>
  </si>
  <si>
    <t>TOTAL2</t>
  </si>
  <si>
    <t>GRUPO IAS</t>
  </si>
  <si>
    <t>ELATIN</t>
  </si>
  <si>
    <t>INTEGRADORES TECONOLÓGICOS S.A.S</t>
  </si>
  <si>
    <t>PRECIO UNITARIO3</t>
  </si>
  <si>
    <t xml:space="preserve">VALOR PROMEDIO ESTIMADO </t>
  </si>
  <si>
    <t>PRECIO UNITARIO4</t>
  </si>
  <si>
    <t>TOTAL3</t>
  </si>
  <si>
    <t>UBICACIÓN</t>
  </si>
  <si>
    <t>VALOR DEL PROYECTO</t>
  </si>
  <si>
    <t>Comuna 11 Barrio Santa Teresita (Cámara Solar en Fachada de vivienda)</t>
  </si>
  <si>
    <t>Corregimiento Alto del Nudo (Cámara en Poste)</t>
  </si>
  <si>
    <t>Corregimiento Alto del Nudo (Cámara en vivienda)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</si>
</sst>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164" formatCode="&quot;$&quot;#,##0"/>
    <numFmt numFmtId="165" formatCode="0.0"/>
  </numFmts>
  <fonts count="22">
    <font>
      <sz val="11"/>
      <name val="Carlito"/>
    </font>
    <font>
      <b/>
      <sz val="14"/>
      <name val="Carlito"/>
    </font>
    <font>
      <b/>
      <sz val="11"/>
      <color rgb="FF000000"/>
      <name val="Carlito"/>
    </font>
    <font>
      <i/>
      <sz val="9"/>
      <name val="Carlito"/>
    </font>
    <font>
      <sz val="11"/>
      <name val="Carlito"/>
    </font>
    <font>
      <sz val="11"/>
      <color theme="1"/>
      <name val="Carlito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i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Carlito"/>
    </font>
    <font>
      <b/>
      <sz val="12"/>
      <name val="Carlito"/>
    </font>
    <font>
      <sz val="12"/>
      <name val="Carlito"/>
    </font>
    <font>
      <b/>
      <sz val="11"/>
      <name val="Carlito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A6D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</fills>
  <borders count="70">
    <border>
      <left/>
      <right/>
      <top/>
      <bottom/>
      <diagonal/>
    </border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medium">
        <color theme="9" tint="-0.249977111117893"/>
      </left>
      <right/>
      <top style="medium">
        <color theme="9" tint="-0.249977111117893"/>
      </top>
      <bottom style="medium">
        <color theme="9" tint="-0.249977111117893"/>
      </bottom>
      <diagonal/>
    </border>
    <border>
      <left/>
      <right/>
      <top style="medium">
        <color theme="9" tint="-0.249977111117893"/>
      </top>
      <bottom style="medium">
        <color theme="9" tint="-0.249977111117893"/>
      </bottom>
      <diagonal/>
    </border>
    <border>
      <left/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medium">
        <color theme="9" tint="-0.249977111117893"/>
      </left>
      <right style="thin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thin">
        <color theme="9" tint="-0.249977111117893"/>
      </left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double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double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double">
        <color theme="9" tint="-0.249977111117893"/>
      </bottom>
      <diagonal/>
    </border>
    <border>
      <left style="medium">
        <color theme="9" tint="-0.249977111117893"/>
      </left>
      <right style="medium">
        <color theme="9" tint="-0.249977111117893"/>
      </right>
      <top/>
      <bottom style="medium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0.39997558519241921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0.39997558519241921"/>
      </top>
      <bottom style="thin">
        <color theme="9" tint="-0.249977111117893"/>
      </bottom>
      <diagonal/>
    </border>
    <border>
      <left/>
      <right/>
      <top style="thin">
        <color theme="9" tint="0.39997558519241921"/>
      </top>
      <bottom style="thin">
        <color theme="9" tint="-0.249977111117893"/>
      </bottom>
      <diagonal/>
    </border>
    <border>
      <left/>
      <right style="medium">
        <color theme="9" tint="-0.249977111117893"/>
      </right>
      <top style="thin">
        <color theme="9" tint="0.39997558519241921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double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double">
        <color indexed="64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9" tint="-0.24997711111789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9" tint="-0.24997711111789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9" tint="-0.24997711111789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28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64" fontId="0" fillId="0" borderId="0" xfId="0" applyNumberFormat="1"/>
    <xf numFmtId="0" fontId="7" fillId="0" borderId="0" xfId="0" applyFont="1"/>
    <xf numFmtId="0" fontId="8" fillId="5" borderId="0" xfId="0" applyFont="1" applyFill="1" applyAlignment="1">
      <alignment horizontal="center" vertical="center" wrapText="1"/>
    </xf>
    <xf numFmtId="164" fontId="7" fillId="5" borderId="0" xfId="0" applyNumberFormat="1" applyFont="1" applyFill="1" applyAlignment="1">
      <alignment horizontal="right"/>
    </xf>
    <xf numFmtId="0" fontId="2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2" fontId="5" fillId="4" borderId="2" xfId="1" applyFont="1" applyFill="1" applyBorder="1" applyAlignment="1">
      <alignment vertical="top" wrapText="1"/>
    </xf>
    <xf numFmtId="42" fontId="5" fillId="0" borderId="2" xfId="1" applyFont="1" applyBorder="1" applyAlignment="1">
      <alignment vertical="top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vertical="top" wrapText="1"/>
    </xf>
    <xf numFmtId="164" fontId="7" fillId="0" borderId="7" xfId="0" applyNumberFormat="1" applyFont="1" applyBorder="1" applyAlignment="1">
      <alignment vertical="top" wrapText="1"/>
    </xf>
    <xf numFmtId="0" fontId="7" fillId="0" borderId="7" xfId="0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164" fontId="7" fillId="0" borderId="15" xfId="0" applyNumberFormat="1" applyFont="1" applyBorder="1" applyAlignment="1">
      <alignment vertical="top" wrapText="1"/>
    </xf>
    <xf numFmtId="0" fontId="7" fillId="0" borderId="15" xfId="0" applyFont="1" applyBorder="1" applyAlignment="1">
      <alignment horizontal="center" vertical="top" wrapText="1"/>
    </xf>
    <xf numFmtId="164" fontId="7" fillId="0" borderId="8" xfId="0" applyNumberFormat="1" applyFont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164" fontId="0" fillId="0" borderId="7" xfId="0" applyNumberFormat="1" applyBorder="1" applyAlignment="1">
      <alignment vertical="top" wrapText="1"/>
    </xf>
    <xf numFmtId="0" fontId="0" fillId="0" borderId="7" xfId="0" applyBorder="1" applyAlignment="1">
      <alignment horizontal="center" vertical="top" wrapText="1"/>
    </xf>
    <xf numFmtId="164" fontId="0" fillId="0" borderId="14" xfId="0" applyNumberFormat="1" applyBorder="1" applyAlignment="1">
      <alignment vertical="top" wrapText="1"/>
    </xf>
    <xf numFmtId="0" fontId="0" fillId="0" borderId="11" xfId="0" applyBorder="1" applyAlignment="1">
      <alignment vertical="top" wrapText="1"/>
    </xf>
    <xf numFmtId="164" fontId="0" fillId="0" borderId="15" xfId="0" applyNumberFormat="1" applyBorder="1" applyAlignment="1">
      <alignment vertical="top" wrapText="1"/>
    </xf>
    <xf numFmtId="0" fontId="0" fillId="0" borderId="15" xfId="0" applyBorder="1" applyAlignment="1">
      <alignment horizontal="center" vertical="top" wrapText="1"/>
    </xf>
    <xf numFmtId="164" fontId="0" fillId="0" borderId="8" xfId="0" applyNumberFormat="1" applyBorder="1" applyAlignment="1">
      <alignment vertical="top" wrapText="1"/>
    </xf>
    <xf numFmtId="0" fontId="0" fillId="0" borderId="1" xfId="0" applyBorder="1"/>
    <xf numFmtId="0" fontId="10" fillId="0" borderId="1" xfId="0" applyFont="1" applyBorder="1" applyAlignment="1">
      <alignment vertical="top" wrapText="1"/>
    </xf>
    <xf numFmtId="164" fontId="10" fillId="0" borderId="1" xfId="0" applyNumberFormat="1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/>
    <xf numFmtId="0" fontId="11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right"/>
    </xf>
    <xf numFmtId="42" fontId="10" fillId="4" borderId="7" xfId="1" applyFont="1" applyFill="1" applyBorder="1" applyAlignment="1">
      <alignment vertical="center" wrapText="1"/>
    </xf>
    <xf numFmtId="0" fontId="10" fillId="4" borderId="15" xfId="0" applyFont="1" applyFill="1" applyBorder="1" applyAlignment="1">
      <alignment vertical="top" wrapText="1"/>
    </xf>
    <xf numFmtId="42" fontId="10" fillId="4" borderId="15" xfId="1" applyFont="1" applyFill="1" applyBorder="1" applyAlignment="1">
      <alignment vertical="center" wrapText="1"/>
    </xf>
    <xf numFmtId="164" fontId="6" fillId="0" borderId="21" xfId="0" applyNumberFormat="1" applyFont="1" applyBorder="1" applyAlignment="1">
      <alignment horizontal="right"/>
    </xf>
    <xf numFmtId="0" fontId="7" fillId="0" borderId="10" xfId="0" applyFont="1" applyBorder="1" applyAlignment="1">
      <alignment vertical="top" wrapText="1"/>
    </xf>
    <xf numFmtId="164" fontId="7" fillId="0" borderId="12" xfId="0" applyNumberFormat="1" applyFont="1" applyBorder="1" applyAlignment="1">
      <alignment vertical="top" wrapText="1"/>
    </xf>
    <xf numFmtId="0" fontId="7" fillId="0" borderId="12" xfId="0" applyFont="1" applyBorder="1" applyAlignment="1">
      <alignment horizontal="center" vertical="top" wrapText="1"/>
    </xf>
    <xf numFmtId="164" fontId="7" fillId="0" borderId="9" xfId="0" applyNumberFormat="1" applyFont="1" applyBorder="1" applyAlignment="1">
      <alignment vertical="top" wrapText="1"/>
    </xf>
    <xf numFmtId="0" fontId="10" fillId="4" borderId="12" xfId="0" applyFont="1" applyFill="1" applyBorder="1" applyAlignment="1">
      <alignment vertical="top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vertical="center" wrapText="1"/>
    </xf>
    <xf numFmtId="42" fontId="10" fillId="4" borderId="14" xfId="1" applyFont="1" applyFill="1" applyBorder="1" applyAlignment="1">
      <alignment vertical="center" wrapText="1"/>
    </xf>
    <xf numFmtId="0" fontId="11" fillId="4" borderId="22" xfId="0" applyFont="1" applyFill="1" applyBorder="1" applyAlignment="1">
      <alignment horizontal="center" vertical="top" wrapText="1"/>
    </xf>
    <xf numFmtId="0" fontId="11" fillId="4" borderId="23" xfId="0" applyFont="1" applyFill="1" applyBorder="1" applyAlignment="1">
      <alignment horizontal="center" vertical="top" wrapText="1"/>
    </xf>
    <xf numFmtId="0" fontId="11" fillId="4" borderId="24" xfId="0" applyFont="1" applyFill="1" applyBorder="1" applyAlignment="1">
      <alignment horizontal="center" vertical="top" wrapText="1"/>
    </xf>
    <xf numFmtId="164" fontId="11" fillId="5" borderId="10" xfId="0" applyNumberFormat="1" applyFont="1" applyFill="1" applyBorder="1" applyAlignment="1">
      <alignment horizontal="right"/>
    </xf>
    <xf numFmtId="0" fontId="7" fillId="0" borderId="25" xfId="0" applyFont="1" applyBorder="1" applyAlignment="1">
      <alignment vertical="top" wrapText="1"/>
    </xf>
    <xf numFmtId="164" fontId="7" fillId="0" borderId="26" xfId="0" applyNumberFormat="1" applyFont="1" applyBorder="1" applyAlignment="1">
      <alignment vertical="top" wrapText="1"/>
    </xf>
    <xf numFmtId="0" fontId="7" fillId="0" borderId="26" xfId="0" applyFont="1" applyBorder="1" applyAlignment="1">
      <alignment horizontal="center" vertical="top" wrapText="1"/>
    </xf>
    <xf numFmtId="164" fontId="7" fillId="0" borderId="27" xfId="0" applyNumberFormat="1" applyFont="1" applyBorder="1" applyAlignment="1">
      <alignment vertical="top" wrapText="1"/>
    </xf>
    <xf numFmtId="0" fontId="11" fillId="7" borderId="22" xfId="0" applyFont="1" applyFill="1" applyBorder="1" applyAlignment="1">
      <alignment horizontal="center" vertical="top" wrapText="1"/>
    </xf>
    <xf numFmtId="0" fontId="11" fillId="7" borderId="23" xfId="0" applyFont="1" applyFill="1" applyBorder="1" applyAlignment="1">
      <alignment horizontal="center" vertical="top" wrapText="1"/>
    </xf>
    <xf numFmtId="0" fontId="11" fillId="7" borderId="24" xfId="0" applyFont="1" applyFill="1" applyBorder="1" applyAlignment="1">
      <alignment horizontal="center" vertical="top" wrapText="1"/>
    </xf>
    <xf numFmtId="42" fontId="11" fillId="7" borderId="28" xfId="1" applyFont="1" applyFill="1" applyBorder="1" applyAlignment="1">
      <alignment vertical="top" wrapText="1"/>
    </xf>
    <xf numFmtId="0" fontId="10" fillId="4" borderId="26" xfId="0" applyFont="1" applyFill="1" applyBorder="1" applyAlignment="1">
      <alignment vertical="top" wrapText="1"/>
    </xf>
    <xf numFmtId="42" fontId="10" fillId="0" borderId="27" xfId="1" applyFont="1" applyBorder="1" applyAlignment="1">
      <alignment vertical="top" wrapText="1"/>
    </xf>
    <xf numFmtId="0" fontId="0" fillId="0" borderId="0" xfId="0" applyAlignment="1">
      <alignment horizontal="center"/>
    </xf>
    <xf numFmtId="42" fontId="0" fillId="8" borderId="0" xfId="1" applyFont="1" applyFill="1"/>
    <xf numFmtId="42" fontId="0" fillId="9" borderId="0" xfId="1" applyFont="1" applyFill="1"/>
    <xf numFmtId="0" fontId="11" fillId="7" borderId="30" xfId="0" applyFont="1" applyFill="1" applyBorder="1" applyAlignment="1">
      <alignment horizontal="center" vertical="top" wrapText="1"/>
    </xf>
    <xf numFmtId="0" fontId="11" fillId="7" borderId="31" xfId="0" applyFont="1" applyFill="1" applyBorder="1" applyAlignment="1">
      <alignment horizontal="center" vertical="top" wrapText="1"/>
    </xf>
    <xf numFmtId="0" fontId="11" fillId="7" borderId="32" xfId="0" applyFont="1" applyFill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164" fontId="7" fillId="0" borderId="34" xfId="0" applyNumberFormat="1" applyFont="1" applyBorder="1" applyAlignment="1">
      <alignment vertical="top" wrapText="1"/>
    </xf>
    <xf numFmtId="0" fontId="7" fillId="0" borderId="34" xfId="0" applyFont="1" applyBorder="1" applyAlignment="1">
      <alignment horizontal="center" vertical="top" wrapText="1"/>
    </xf>
    <xf numFmtId="164" fontId="7" fillId="0" borderId="35" xfId="0" applyNumberFormat="1" applyFont="1" applyBorder="1" applyAlignment="1">
      <alignment vertical="top" wrapText="1"/>
    </xf>
    <xf numFmtId="0" fontId="10" fillId="4" borderId="29" xfId="0" applyFont="1" applyFill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42" fontId="4" fillId="0" borderId="36" xfId="1" applyFont="1" applyBorder="1" applyAlignment="1">
      <alignment vertical="center"/>
    </xf>
    <xf numFmtId="42" fontId="0" fillId="0" borderId="36" xfId="0" applyNumberFormat="1" applyBorder="1" applyAlignment="1">
      <alignment vertical="center"/>
    </xf>
    <xf numFmtId="165" fontId="0" fillId="8" borderId="0" xfId="0" applyNumberFormat="1" applyFill="1"/>
    <xf numFmtId="165" fontId="0" fillId="9" borderId="0" xfId="0" applyNumberFormat="1" applyFill="1"/>
    <xf numFmtId="0" fontId="15" fillId="0" borderId="0" xfId="0" applyFont="1"/>
    <xf numFmtId="1" fontId="0" fillId="0" borderId="36" xfId="0" applyNumberFormat="1" applyBorder="1" applyAlignment="1">
      <alignment horizontal="center"/>
    </xf>
    <xf numFmtId="42" fontId="0" fillId="0" borderId="36" xfId="1" applyFont="1" applyFill="1" applyBorder="1"/>
    <xf numFmtId="0" fontId="0" fillId="0" borderId="36" xfId="0" applyBorder="1"/>
    <xf numFmtId="0" fontId="0" fillId="10" borderId="36" xfId="0" applyFill="1" applyBorder="1" applyAlignment="1">
      <alignment horizontal="center" vertical="center"/>
    </xf>
    <xf numFmtId="0" fontId="0" fillId="10" borderId="36" xfId="0" applyFill="1" applyBorder="1"/>
    <xf numFmtId="0" fontId="0" fillId="10" borderId="36" xfId="0" applyFill="1" applyBorder="1" applyAlignment="1">
      <alignment horizontal="center"/>
    </xf>
    <xf numFmtId="164" fontId="17" fillId="0" borderId="0" xfId="0" applyNumberFormat="1" applyFont="1"/>
    <xf numFmtId="0" fontId="17" fillId="0" borderId="0" xfId="0" applyFont="1" applyProtection="1">
      <protection locked="0"/>
    </xf>
    <xf numFmtId="42" fontId="17" fillId="0" borderId="61" xfId="1" applyFont="1" applyFill="1" applyBorder="1" applyAlignment="1">
      <alignment vertical="center"/>
    </xf>
    <xf numFmtId="0" fontId="17" fillId="0" borderId="0" xfId="0" applyFo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Protection="1">
      <protection locked="0"/>
    </xf>
    <xf numFmtId="0" fontId="18" fillId="11" borderId="3" xfId="0" applyFont="1" applyFill="1" applyBorder="1" applyAlignment="1">
      <alignment horizontal="center" vertical="center" wrapText="1"/>
    </xf>
    <xf numFmtId="0" fontId="18" fillId="11" borderId="45" xfId="0" applyFont="1" applyFill="1" applyBorder="1" applyAlignment="1">
      <alignment horizontal="center" vertical="center" wrapText="1"/>
    </xf>
    <xf numFmtId="0" fontId="18" fillId="11" borderId="46" xfId="0" applyFont="1" applyFill="1" applyBorder="1" applyAlignment="1">
      <alignment horizontal="center" vertical="center" wrapText="1"/>
    </xf>
    <xf numFmtId="0" fontId="18" fillId="11" borderId="47" xfId="0" applyFont="1" applyFill="1" applyBorder="1" applyAlignment="1">
      <alignment horizontal="center" vertical="center" wrapText="1"/>
    </xf>
    <xf numFmtId="0" fontId="18" fillId="11" borderId="57" xfId="0" applyFont="1" applyFill="1" applyBorder="1" applyAlignment="1">
      <alignment horizontal="center" vertical="center" wrapText="1"/>
    </xf>
    <xf numFmtId="0" fontId="18" fillId="11" borderId="63" xfId="0" applyFont="1" applyFill="1" applyBorder="1" applyAlignment="1">
      <alignment horizontal="center" vertical="center" wrapText="1"/>
    </xf>
    <xf numFmtId="0" fontId="18" fillId="11" borderId="51" xfId="0" applyFont="1" applyFill="1" applyBorder="1" applyAlignment="1">
      <alignment horizontal="center" vertical="center" wrapText="1"/>
    </xf>
    <xf numFmtId="0" fontId="18" fillId="11" borderId="58" xfId="0" applyFont="1" applyFill="1" applyBorder="1" applyAlignment="1">
      <alignment horizontal="center" vertical="center" wrapText="1"/>
    </xf>
    <xf numFmtId="0" fontId="17" fillId="0" borderId="38" xfId="0" applyFont="1" applyBorder="1" applyAlignment="1">
      <alignment vertical="top" wrapText="1"/>
    </xf>
    <xf numFmtId="0" fontId="17" fillId="0" borderId="37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top" wrapText="1"/>
    </xf>
    <xf numFmtId="0" fontId="17" fillId="0" borderId="39" xfId="0" applyFont="1" applyBorder="1" applyAlignment="1">
      <alignment vertical="top" wrapText="1"/>
    </xf>
    <xf numFmtId="0" fontId="17" fillId="0" borderId="36" xfId="0" applyFont="1" applyBorder="1" applyAlignment="1">
      <alignment horizontal="center" vertical="center" wrapText="1"/>
    </xf>
    <xf numFmtId="0" fontId="17" fillId="0" borderId="41" xfId="0" applyFont="1" applyBorder="1" applyAlignment="1">
      <alignment vertical="top" wrapText="1"/>
    </xf>
    <xf numFmtId="0" fontId="17" fillId="0" borderId="50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top" wrapText="1"/>
    </xf>
    <xf numFmtId="0" fontId="19" fillId="11" borderId="3" xfId="0" applyFont="1" applyFill="1" applyBorder="1" applyAlignment="1">
      <alignment vertical="top" wrapText="1"/>
    </xf>
    <xf numFmtId="0" fontId="19" fillId="11" borderId="45" xfId="0" applyFont="1" applyFill="1" applyBorder="1" applyAlignment="1">
      <alignment vertical="top" wrapText="1"/>
    </xf>
    <xf numFmtId="164" fontId="19" fillId="11" borderId="47" xfId="0" applyNumberFormat="1" applyFont="1" applyFill="1" applyBorder="1" applyAlignment="1">
      <alignment horizontal="center"/>
    </xf>
    <xf numFmtId="164" fontId="19" fillId="11" borderId="57" xfId="0" applyNumberFormat="1" applyFont="1" applyFill="1" applyBorder="1" applyAlignment="1">
      <alignment horizontal="center"/>
    </xf>
    <xf numFmtId="0" fontId="20" fillId="0" borderId="38" xfId="0" applyFont="1" applyBorder="1" applyAlignment="1">
      <alignment vertical="top" wrapText="1"/>
    </xf>
    <xf numFmtId="0" fontId="20" fillId="0" borderId="37" xfId="0" applyFont="1" applyBorder="1" applyAlignment="1">
      <alignment horizontal="center" vertical="center" wrapText="1"/>
    </xf>
    <xf numFmtId="42" fontId="16" fillId="0" borderId="38" xfId="1" applyFont="1" applyBorder="1" applyAlignment="1">
      <alignment horizontal="right"/>
    </xf>
    <xf numFmtId="0" fontId="20" fillId="0" borderId="41" xfId="0" applyFont="1" applyBorder="1" applyAlignment="1">
      <alignment vertical="top" wrapText="1"/>
    </xf>
    <xf numFmtId="164" fontId="16" fillId="11" borderId="46" xfId="0" applyNumberFormat="1" applyFont="1" applyFill="1" applyBorder="1" applyAlignment="1">
      <alignment horizontal="right"/>
    </xf>
    <xf numFmtId="0" fontId="17" fillId="0" borderId="43" xfId="0" applyFont="1" applyBorder="1" applyAlignment="1">
      <alignment vertical="top" wrapText="1"/>
    </xf>
    <xf numFmtId="42" fontId="17" fillId="0" borderId="59" xfId="1" applyFont="1" applyFill="1" applyBorder="1" applyAlignment="1">
      <alignment vertical="center"/>
    </xf>
    <xf numFmtId="0" fontId="17" fillId="0" borderId="37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42" xfId="0" applyFont="1" applyBorder="1" applyAlignment="1">
      <alignment vertical="top" wrapText="1"/>
    </xf>
    <xf numFmtId="42" fontId="17" fillId="0" borderId="64" xfId="1" applyFont="1" applyFill="1" applyBorder="1" applyAlignment="1">
      <alignment vertical="center"/>
    </xf>
    <xf numFmtId="0" fontId="17" fillId="0" borderId="55" xfId="0" applyFont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top" wrapText="1"/>
    </xf>
    <xf numFmtId="164" fontId="19" fillId="11" borderId="57" xfId="0" applyNumberFormat="1" applyFont="1" applyFill="1" applyBorder="1" applyAlignment="1">
      <alignment horizontal="right"/>
    </xf>
    <xf numFmtId="0" fontId="20" fillId="0" borderId="43" xfId="0" applyFont="1" applyBorder="1" applyAlignment="1">
      <alignment vertical="top" wrapText="1"/>
    </xf>
    <xf numFmtId="164" fontId="20" fillId="0" borderId="38" xfId="1" applyNumberFormat="1" applyFont="1" applyFill="1" applyBorder="1" applyAlignment="1">
      <alignment vertical="center" wrapText="1"/>
    </xf>
    <xf numFmtId="0" fontId="20" fillId="0" borderId="42" xfId="0" applyFont="1" applyBorder="1" applyAlignment="1">
      <alignment vertical="top" wrapText="1"/>
    </xf>
    <xf numFmtId="164" fontId="16" fillId="11" borderId="57" xfId="0" applyNumberFormat="1" applyFont="1" applyFill="1" applyBorder="1" applyAlignment="1">
      <alignment horizontal="right"/>
    </xf>
    <xf numFmtId="0" fontId="17" fillId="0" borderId="37" xfId="0" applyFont="1" applyBorder="1" applyAlignment="1">
      <alignment vertical="top" wrapText="1"/>
    </xf>
    <xf numFmtId="0" fontId="17" fillId="0" borderId="36" xfId="0" applyFont="1" applyBorder="1" applyAlignment="1">
      <alignment vertical="top" wrapText="1"/>
    </xf>
    <xf numFmtId="0" fontId="20" fillId="0" borderId="50" xfId="0" applyFont="1" applyBorder="1" applyAlignment="1">
      <alignment vertical="top" wrapText="1"/>
    </xf>
    <xf numFmtId="0" fontId="20" fillId="0" borderId="50" xfId="0" applyFont="1" applyBorder="1" applyAlignment="1">
      <alignment horizontal="center" vertical="center" wrapText="1"/>
    </xf>
    <xf numFmtId="42" fontId="17" fillId="0" borderId="62" xfId="1" applyFont="1" applyBorder="1" applyAlignment="1">
      <alignment vertical="center"/>
    </xf>
    <xf numFmtId="0" fontId="17" fillId="0" borderId="36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50" xfId="0" applyFont="1" applyBorder="1" applyAlignment="1">
      <alignment vertical="top" wrapText="1"/>
    </xf>
    <xf numFmtId="0" fontId="20" fillId="0" borderId="37" xfId="0" applyFont="1" applyBorder="1" applyAlignment="1">
      <alignment vertical="top" wrapText="1"/>
    </xf>
    <xf numFmtId="42" fontId="17" fillId="0" borderId="59" xfId="1" applyFont="1" applyBorder="1" applyAlignment="1">
      <alignment vertical="center"/>
    </xf>
    <xf numFmtId="0" fontId="19" fillId="11" borderId="46" xfId="0" applyFont="1" applyFill="1" applyBorder="1"/>
    <xf numFmtId="0" fontId="17" fillId="0" borderId="55" xfId="0" applyFont="1" applyBorder="1" applyAlignment="1">
      <alignment horizontal="center" vertical="center" wrapText="1"/>
    </xf>
    <xf numFmtId="42" fontId="20" fillId="0" borderId="59" xfId="1" applyFont="1" applyBorder="1" applyAlignment="1">
      <alignment vertical="center" wrapText="1"/>
    </xf>
    <xf numFmtId="42" fontId="17" fillId="0" borderId="60" xfId="1" applyFont="1" applyBorder="1" applyAlignment="1">
      <alignment horizontal="right"/>
    </xf>
    <xf numFmtId="164" fontId="16" fillId="11" borderId="47" xfId="0" applyNumberFormat="1" applyFont="1" applyFill="1" applyBorder="1" applyAlignment="1">
      <alignment horizontal="right"/>
    </xf>
    <xf numFmtId="164" fontId="16" fillId="11" borderId="45" xfId="0" applyNumberFormat="1" applyFont="1" applyFill="1" applyBorder="1" applyAlignment="1">
      <alignment horizontal="right"/>
    </xf>
    <xf numFmtId="0" fontId="18" fillId="11" borderId="3" xfId="0" applyFont="1" applyFill="1" applyBorder="1" applyAlignment="1">
      <alignment horizontal="center" vertical="center"/>
    </xf>
    <xf numFmtId="42" fontId="20" fillId="0" borderId="64" xfId="1" applyFont="1" applyBorder="1" applyAlignment="1">
      <alignment vertical="top" wrapText="1"/>
    </xf>
    <xf numFmtId="0" fontId="17" fillId="0" borderId="55" xfId="0" applyFont="1" applyBorder="1" applyAlignment="1">
      <alignment horizontal="center" vertical="top" wrapText="1"/>
    </xf>
    <xf numFmtId="42" fontId="16" fillId="0" borderId="41" xfId="1" applyFont="1" applyBorder="1" applyAlignment="1">
      <alignment horizontal="right"/>
    </xf>
    <xf numFmtId="0" fontId="19" fillId="11" borderId="44" xfId="0" applyFont="1" applyFill="1" applyBorder="1" applyAlignment="1">
      <alignment vertical="top" wrapText="1"/>
    </xf>
    <xf numFmtId="0" fontId="19" fillId="11" borderId="45" xfId="0" applyFont="1" applyFill="1" applyBorder="1"/>
    <xf numFmtId="0" fontId="18" fillId="11" borderId="53" xfId="0" applyFont="1" applyFill="1" applyBorder="1" applyAlignment="1">
      <alignment horizontal="center" vertical="center" wrapText="1"/>
    </xf>
    <xf numFmtId="0" fontId="18" fillId="11" borderId="48" xfId="0" applyFont="1" applyFill="1" applyBorder="1" applyAlignment="1">
      <alignment horizontal="center" vertical="center" wrapText="1"/>
    </xf>
    <xf numFmtId="165" fontId="17" fillId="0" borderId="37" xfId="0" applyNumberFormat="1" applyFont="1" applyBorder="1" applyAlignment="1">
      <alignment horizontal="center" vertical="center" wrapText="1"/>
    </xf>
    <xf numFmtId="0" fontId="18" fillId="11" borderId="52" xfId="0" applyFont="1" applyFill="1" applyBorder="1" applyAlignment="1">
      <alignment horizontal="center" vertical="center" wrapText="1"/>
    </xf>
    <xf numFmtId="165" fontId="17" fillId="0" borderId="37" xfId="0" applyNumberFormat="1" applyFont="1" applyBorder="1" applyAlignment="1">
      <alignment horizontal="center" vertical="center"/>
    </xf>
    <xf numFmtId="164" fontId="19" fillId="11" borderId="47" xfId="0" applyNumberFormat="1" applyFont="1" applyFill="1" applyBorder="1"/>
    <xf numFmtId="164" fontId="17" fillId="0" borderId="60" xfId="0" applyNumberFormat="1" applyFont="1" applyBorder="1" applyAlignment="1">
      <alignment horizontal="right" vertical="top" wrapText="1"/>
    </xf>
    <xf numFmtId="164" fontId="17" fillId="0" borderId="54" xfId="0" applyNumberFormat="1" applyFont="1" applyBorder="1" applyAlignment="1">
      <alignment horizontal="right" vertical="top" wrapText="1"/>
    </xf>
    <xf numFmtId="164" fontId="17" fillId="0" borderId="65" xfId="0" applyNumberFormat="1" applyFont="1" applyBorder="1" applyAlignment="1">
      <alignment horizontal="right" vertical="top" wrapText="1"/>
    </xf>
    <xf numFmtId="164" fontId="19" fillId="11" borderId="47" xfId="0" applyNumberFormat="1" applyFont="1" applyFill="1" applyBorder="1" applyAlignment="1">
      <alignment horizontal="right"/>
    </xf>
    <xf numFmtId="42" fontId="20" fillId="0" borderId="60" xfId="1" applyFont="1" applyFill="1" applyBorder="1" applyAlignment="1">
      <alignment horizontal="right" vertical="center" wrapText="1"/>
    </xf>
    <xf numFmtId="42" fontId="20" fillId="0" borderId="65" xfId="1" applyFont="1" applyFill="1" applyBorder="1" applyAlignment="1">
      <alignment horizontal="right" vertical="center" wrapText="1"/>
    </xf>
    <xf numFmtId="164" fontId="17" fillId="0" borderId="59" xfId="0" applyNumberFormat="1" applyFont="1" applyBorder="1" applyAlignment="1">
      <alignment vertical="top" wrapText="1"/>
    </xf>
    <xf numFmtId="164" fontId="17" fillId="0" borderId="61" xfId="0" applyNumberFormat="1" applyFont="1" applyBorder="1" applyAlignment="1">
      <alignment vertical="top" wrapText="1"/>
    </xf>
    <xf numFmtId="164" fontId="17" fillId="0" borderId="64" xfId="0" applyNumberFormat="1" applyFont="1" applyBorder="1" applyAlignment="1">
      <alignment vertical="top" wrapText="1"/>
    </xf>
    <xf numFmtId="164" fontId="16" fillId="11" borderId="45" xfId="0" applyNumberFormat="1" applyFont="1" applyFill="1" applyBorder="1"/>
    <xf numFmtId="42" fontId="17" fillId="0" borderId="59" xfId="1" applyFont="1" applyFill="1" applyBorder="1" applyAlignment="1">
      <alignment horizontal="right" vertical="top" wrapText="1"/>
    </xf>
    <xf numFmtId="42" fontId="17" fillId="0" borderId="61" xfId="1" applyFont="1" applyFill="1" applyBorder="1" applyAlignment="1">
      <alignment horizontal="right" vertical="top" wrapText="1"/>
    </xf>
    <xf numFmtId="42" fontId="17" fillId="0" borderId="66" xfId="1" applyFont="1" applyFill="1" applyBorder="1" applyAlignment="1">
      <alignment horizontal="right" vertical="top" wrapText="1"/>
    </xf>
    <xf numFmtId="42" fontId="19" fillId="0" borderId="59" xfId="1" applyFont="1" applyBorder="1" applyAlignment="1">
      <alignment horizontal="right" vertical="top" wrapText="1"/>
    </xf>
    <xf numFmtId="42" fontId="17" fillId="0" borderId="64" xfId="1" applyFont="1" applyBorder="1" applyAlignment="1">
      <alignment horizontal="right"/>
    </xf>
    <xf numFmtId="42" fontId="17" fillId="0" borderId="38" xfId="1" applyFont="1" applyFill="1" applyBorder="1" applyAlignment="1">
      <alignment horizontal="right" vertical="top" wrapText="1"/>
    </xf>
    <xf numFmtId="42" fontId="17" fillId="0" borderId="39" xfId="1" applyFont="1" applyFill="1" applyBorder="1" applyAlignment="1">
      <alignment horizontal="right" vertical="top" wrapText="1"/>
    </xf>
    <xf numFmtId="42" fontId="17" fillId="0" borderId="42" xfId="1" applyFont="1" applyFill="1" applyBorder="1" applyAlignment="1">
      <alignment horizontal="right" vertical="top" wrapText="1"/>
    </xf>
    <xf numFmtId="42" fontId="17" fillId="0" borderId="59" xfId="1" applyFont="1" applyFill="1" applyBorder="1" applyAlignment="1">
      <alignment horizontal="right" vertical="center" wrapText="1"/>
    </xf>
    <xf numFmtId="42" fontId="17" fillId="0" borderId="61" xfId="1" applyFont="1" applyFill="1" applyBorder="1" applyAlignment="1">
      <alignment horizontal="right" vertical="center" wrapText="1"/>
    </xf>
    <xf numFmtId="42" fontId="17" fillId="0" borderId="64" xfId="1" applyFont="1" applyFill="1" applyBorder="1" applyAlignment="1">
      <alignment horizontal="right" vertical="center" wrapText="1"/>
    </xf>
    <xf numFmtId="42" fontId="20" fillId="0" borderId="59" xfId="1" applyFont="1" applyBorder="1" applyAlignment="1">
      <alignment horizontal="right" vertical="center" wrapText="1"/>
    </xf>
    <xf numFmtId="42" fontId="17" fillId="0" borderId="64" xfId="1" applyFont="1" applyBorder="1" applyAlignment="1">
      <alignment horizontal="right" vertical="center"/>
    </xf>
    <xf numFmtId="42" fontId="17" fillId="0" borderId="60" xfId="1" applyFont="1" applyFill="1" applyBorder="1" applyAlignment="1">
      <alignment horizontal="right" vertical="center" wrapText="1"/>
    </xf>
    <xf numFmtId="42" fontId="17" fillId="0" borderId="67" xfId="1" applyFont="1" applyFill="1" applyBorder="1" applyAlignment="1">
      <alignment horizontal="right" vertical="center" wrapText="1"/>
    </xf>
    <xf numFmtId="164" fontId="19" fillId="11" borderId="47" xfId="0" applyNumberFormat="1" applyFont="1" applyFill="1" applyBorder="1" applyAlignment="1">
      <alignment horizontal="right" vertical="center"/>
    </xf>
    <xf numFmtId="42" fontId="17" fillId="0" borderId="60" xfId="1" applyFont="1" applyBorder="1" applyAlignment="1">
      <alignment horizontal="right" vertical="center"/>
    </xf>
    <xf numFmtId="42" fontId="17" fillId="0" borderId="65" xfId="1" applyFont="1" applyBorder="1" applyAlignment="1">
      <alignment horizontal="right" vertical="center"/>
    </xf>
    <xf numFmtId="164" fontId="16" fillId="11" borderId="47" xfId="0" applyNumberFormat="1" applyFont="1" applyFill="1" applyBorder="1" applyAlignment="1">
      <alignment horizontal="right" vertical="center"/>
    </xf>
    <xf numFmtId="164" fontId="17" fillId="0" borderId="59" xfId="1" applyNumberFormat="1" applyFont="1" applyFill="1" applyBorder="1" applyAlignment="1">
      <alignment horizontal="right" vertical="center" wrapText="1"/>
    </xf>
    <xf numFmtId="164" fontId="19" fillId="11" borderId="44" xfId="0" applyNumberFormat="1" applyFont="1" applyFill="1" applyBorder="1" applyAlignment="1">
      <alignment horizontal="right"/>
    </xf>
    <xf numFmtId="164" fontId="17" fillId="0" borderId="60" xfId="1" applyNumberFormat="1" applyFont="1" applyFill="1" applyBorder="1" applyAlignment="1">
      <alignment horizontal="right" vertical="center" wrapText="1"/>
    </xf>
    <xf numFmtId="42" fontId="17" fillId="0" borderId="59" xfId="1" applyFont="1" applyBorder="1" applyAlignment="1">
      <alignment horizontal="right" vertical="center" wrapText="1"/>
    </xf>
    <xf numFmtId="42" fontId="17" fillId="0" borderId="61" xfId="1" applyFont="1" applyBorder="1" applyAlignment="1">
      <alignment horizontal="right" vertical="center" wrapText="1"/>
    </xf>
    <xf numFmtId="42" fontId="17" fillId="0" borderId="64" xfId="1" applyFont="1" applyBorder="1" applyAlignment="1">
      <alignment horizontal="right" vertical="center" wrapText="1"/>
    </xf>
    <xf numFmtId="42" fontId="20" fillId="0" borderId="64" xfId="1" applyFont="1" applyBorder="1" applyAlignment="1">
      <alignment horizontal="right" vertical="center" wrapText="1"/>
    </xf>
    <xf numFmtId="164" fontId="17" fillId="0" borderId="38" xfId="0" applyNumberFormat="1" applyFont="1" applyBorder="1" applyAlignment="1">
      <alignment horizontal="right" vertical="center" wrapText="1"/>
    </xf>
    <xf numFmtId="164" fontId="17" fillId="0" borderId="39" xfId="0" applyNumberFormat="1" applyFont="1" applyBorder="1" applyAlignment="1">
      <alignment horizontal="right" vertical="center" wrapText="1"/>
    </xf>
    <xf numFmtId="164" fontId="17" fillId="0" borderId="41" xfId="0" applyNumberFormat="1" applyFont="1" applyBorder="1" applyAlignment="1">
      <alignment horizontal="right" vertical="center" wrapText="1"/>
    </xf>
    <xf numFmtId="164" fontId="19" fillId="11" borderId="57" xfId="0" applyNumberFormat="1" applyFont="1" applyFill="1" applyBorder="1" applyAlignment="1">
      <alignment horizontal="right" vertical="center"/>
    </xf>
    <xf numFmtId="164" fontId="16" fillId="11" borderId="57" xfId="0" applyNumberFormat="1" applyFont="1" applyFill="1" applyBorder="1" applyAlignment="1">
      <alignment horizontal="right" vertical="center"/>
    </xf>
    <xf numFmtId="164" fontId="17" fillId="0" borderId="38" xfId="0" applyNumberFormat="1" applyFont="1" applyBorder="1" applyAlignment="1">
      <alignment vertical="center" wrapText="1"/>
    </xf>
    <xf numFmtId="164" fontId="17" fillId="0" borderId="39" xfId="0" applyNumberFormat="1" applyFont="1" applyBorder="1" applyAlignment="1">
      <alignment vertical="center" wrapText="1"/>
    </xf>
    <xf numFmtId="164" fontId="17" fillId="0" borderId="41" xfId="0" applyNumberFormat="1" applyFont="1" applyBorder="1" applyAlignment="1">
      <alignment vertical="center" wrapText="1"/>
    </xf>
    <xf numFmtId="164" fontId="19" fillId="11" borderId="57" xfId="0" applyNumberFormat="1" applyFont="1" applyFill="1" applyBorder="1" applyAlignment="1">
      <alignment vertical="center"/>
    </xf>
    <xf numFmtId="164" fontId="20" fillId="0" borderId="41" xfId="1" applyNumberFormat="1" applyFont="1" applyFill="1" applyBorder="1" applyAlignment="1">
      <alignment vertical="center" wrapText="1"/>
    </xf>
    <xf numFmtId="164" fontId="16" fillId="11" borderId="57" xfId="0" applyNumberFormat="1" applyFont="1" applyFill="1" applyBorder="1" applyAlignment="1">
      <alignment vertical="center"/>
    </xf>
    <xf numFmtId="42" fontId="17" fillId="0" borderId="59" xfId="1" applyFont="1" applyFill="1" applyBorder="1" applyAlignment="1">
      <alignment horizontal="right" vertical="center"/>
    </xf>
    <xf numFmtId="42" fontId="17" fillId="0" borderId="61" xfId="1" applyFont="1" applyFill="1" applyBorder="1" applyAlignment="1">
      <alignment horizontal="right" vertical="center"/>
    </xf>
    <xf numFmtId="42" fontId="17" fillId="0" borderId="64" xfId="1" applyFont="1" applyFill="1" applyBorder="1" applyAlignment="1">
      <alignment horizontal="right" vertical="center"/>
    </xf>
    <xf numFmtId="42" fontId="17" fillId="0" borderId="60" xfId="1" applyFont="1" applyFill="1" applyBorder="1" applyAlignment="1">
      <alignment horizontal="right" vertical="center"/>
    </xf>
    <xf numFmtId="42" fontId="17" fillId="0" borderId="54" xfId="1" applyFont="1" applyFill="1" applyBorder="1" applyAlignment="1">
      <alignment horizontal="right" vertical="center"/>
    </xf>
    <xf numFmtId="42" fontId="17" fillId="0" borderId="65" xfId="1" applyFont="1" applyFill="1" applyBorder="1" applyAlignment="1">
      <alignment horizontal="right" vertical="center"/>
    </xf>
    <xf numFmtId="164" fontId="17" fillId="0" borderId="60" xfId="1" applyNumberFormat="1" applyFont="1" applyFill="1" applyBorder="1" applyAlignment="1">
      <alignment horizontal="right" vertical="center"/>
    </xf>
    <xf numFmtId="164" fontId="17" fillId="0" borderId="37" xfId="0" applyNumberFormat="1" applyFont="1" applyBorder="1" applyAlignment="1">
      <alignment horizontal="right" vertical="center" wrapText="1"/>
    </xf>
    <xf numFmtId="164" fontId="17" fillId="0" borderId="36" xfId="0" applyNumberFormat="1" applyFont="1" applyBorder="1" applyAlignment="1">
      <alignment horizontal="right" vertical="center" wrapText="1"/>
    </xf>
    <xf numFmtId="164" fontId="17" fillId="0" borderId="50" xfId="0" applyNumberFormat="1" applyFont="1" applyBorder="1" applyAlignment="1">
      <alignment horizontal="right" vertical="center" wrapText="1"/>
    </xf>
    <xf numFmtId="42" fontId="20" fillId="0" borderId="37" xfId="1" applyFont="1" applyBorder="1" applyAlignment="1">
      <alignment horizontal="right" vertical="center" wrapText="1"/>
    </xf>
    <xf numFmtId="42" fontId="20" fillId="0" borderId="50" xfId="1" applyFont="1" applyBorder="1" applyAlignment="1">
      <alignment horizontal="right" vertical="center" wrapText="1"/>
    </xf>
    <xf numFmtId="0" fontId="17" fillId="0" borderId="0" xfId="0" applyFont="1" applyAlignment="1">
      <alignment horizontal="right"/>
    </xf>
    <xf numFmtId="164" fontId="19" fillId="11" borderId="57" xfId="0" applyNumberFormat="1" applyFont="1" applyFill="1" applyBorder="1" applyAlignment="1">
      <alignment horizontal="center" vertical="center"/>
    </xf>
    <xf numFmtId="42" fontId="20" fillId="0" borderId="38" xfId="1" applyFont="1" applyFill="1" applyBorder="1" applyAlignment="1">
      <alignment horizontal="right" vertical="center" wrapText="1"/>
    </xf>
    <xf numFmtId="42" fontId="20" fillId="0" borderId="41" xfId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/>
    </xf>
    <xf numFmtId="42" fontId="17" fillId="0" borderId="59" xfId="1" applyFont="1" applyBorder="1" applyAlignment="1">
      <alignment horizontal="right" vertical="center"/>
    </xf>
    <xf numFmtId="42" fontId="17" fillId="0" borderId="62" xfId="1" applyFont="1" applyBorder="1" applyAlignment="1">
      <alignment horizontal="right" vertical="center"/>
    </xf>
    <xf numFmtId="0" fontId="19" fillId="11" borderId="46" xfId="0" applyFont="1" applyFill="1" applyBorder="1" applyAlignment="1">
      <alignment horizontal="right" vertical="center"/>
    </xf>
    <xf numFmtId="42" fontId="17" fillId="0" borderId="60" xfId="0" applyNumberFormat="1" applyFont="1" applyBorder="1" applyAlignment="1">
      <alignment horizontal="right" vertical="center"/>
    </xf>
    <xf numFmtId="42" fontId="17" fillId="0" borderId="54" xfId="0" applyNumberFormat="1" applyFont="1" applyBorder="1" applyAlignment="1">
      <alignment horizontal="right" vertical="center"/>
    </xf>
    <xf numFmtId="42" fontId="17" fillId="0" borderId="65" xfId="0" applyNumberFormat="1" applyFont="1" applyBorder="1" applyAlignment="1">
      <alignment horizontal="right" vertical="center"/>
    </xf>
    <xf numFmtId="42" fontId="17" fillId="0" borderId="56" xfId="0" applyNumberFormat="1" applyFont="1" applyBorder="1" applyAlignment="1">
      <alignment horizontal="right" vertical="center"/>
    </xf>
    <xf numFmtId="164" fontId="19" fillId="11" borderId="46" xfId="0" applyNumberFormat="1" applyFont="1" applyFill="1" applyBorder="1" applyAlignment="1">
      <alignment horizontal="right" vertical="center"/>
    </xf>
    <xf numFmtId="42" fontId="17" fillId="0" borderId="60" xfId="0" applyNumberFormat="1" applyFont="1" applyBorder="1" applyAlignment="1">
      <alignment horizontal="center" vertical="center"/>
    </xf>
    <xf numFmtId="42" fontId="17" fillId="0" borderId="54" xfId="0" applyNumberFormat="1" applyFont="1" applyBorder="1" applyAlignment="1">
      <alignment horizontal="center" vertical="center"/>
    </xf>
    <xf numFmtId="42" fontId="17" fillId="0" borderId="65" xfId="0" applyNumberFormat="1" applyFont="1" applyBorder="1" applyAlignment="1">
      <alignment horizontal="center" vertical="center"/>
    </xf>
    <xf numFmtId="164" fontId="19" fillId="11" borderId="47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4" fontId="17" fillId="0" borderId="59" xfId="1" applyNumberFormat="1" applyFont="1" applyFill="1" applyBorder="1" applyAlignment="1">
      <alignment horizontal="right" vertical="center"/>
    </xf>
    <xf numFmtId="0" fontId="19" fillId="11" borderId="46" xfId="0" applyFont="1" applyFill="1" applyBorder="1" applyAlignment="1">
      <alignment horizontal="right"/>
    </xf>
    <xf numFmtId="164" fontId="17" fillId="0" borderId="60" xfId="0" applyNumberFormat="1" applyFont="1" applyBorder="1" applyAlignment="1">
      <alignment horizontal="right" vertical="center"/>
    </xf>
    <xf numFmtId="6" fontId="17" fillId="0" borderId="69" xfId="0" applyNumberFormat="1" applyFont="1" applyBorder="1" applyAlignment="1">
      <alignment horizontal="right" vertical="center"/>
    </xf>
    <xf numFmtId="0" fontId="17" fillId="0" borderId="69" xfId="0" applyFont="1" applyBorder="1" applyAlignment="1">
      <alignment horizontal="center" vertical="center"/>
    </xf>
    <xf numFmtId="0" fontId="18" fillId="12" borderId="68" xfId="0" applyFont="1" applyFill="1" applyBorder="1" applyAlignment="1">
      <alignment horizontal="center" vertical="center"/>
    </xf>
    <xf numFmtId="6" fontId="18" fillId="12" borderId="69" xfId="0" applyNumberFormat="1" applyFont="1" applyFill="1" applyBorder="1" applyAlignment="1">
      <alignment horizontal="center" vertical="center"/>
    </xf>
    <xf numFmtId="0" fontId="21" fillId="12" borderId="69" xfId="0" applyFont="1" applyFill="1" applyBorder="1" applyAlignment="1">
      <alignment vertical="center"/>
    </xf>
    <xf numFmtId="0" fontId="18" fillId="12" borderId="69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 wrapText="1"/>
    </xf>
    <xf numFmtId="0" fontId="18" fillId="12" borderId="5" xfId="0" applyFont="1" applyFill="1" applyBorder="1" applyAlignment="1">
      <alignment horizontal="center" vertical="center" wrapText="1"/>
    </xf>
    <xf numFmtId="0" fontId="17" fillId="0" borderId="68" xfId="0" applyFont="1" applyBorder="1" applyAlignment="1">
      <alignment vertical="center" wrapText="1"/>
    </xf>
    <xf numFmtId="165" fontId="17" fillId="0" borderId="0" xfId="0" applyNumberFormat="1" applyFont="1"/>
    <xf numFmtId="6" fontId="17" fillId="0" borderId="0" xfId="0" applyNumberFormat="1" applyFont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7" fillId="0" borderId="0" xfId="0" applyFont="1"/>
    <xf numFmtId="0" fontId="7" fillId="0" borderId="6" xfId="0" applyFont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1" fillId="4" borderId="22" xfId="0" applyFont="1" applyFill="1" applyBorder="1" applyAlignment="1">
      <alignment horizontal="center" vertical="top" wrapText="1"/>
    </xf>
    <xf numFmtId="0" fontId="11" fillId="4" borderId="23" xfId="0" applyFont="1" applyFill="1" applyBorder="1" applyAlignment="1">
      <alignment horizontal="center" vertical="top" wrapText="1"/>
    </xf>
    <xf numFmtId="0" fontId="11" fillId="4" borderId="24" xfId="0" applyFont="1" applyFill="1" applyBorder="1" applyAlignment="1">
      <alignment horizontal="center" vertical="top" wrapText="1"/>
    </xf>
    <xf numFmtId="0" fontId="13" fillId="6" borderId="19" xfId="0" applyFont="1" applyFill="1" applyBorder="1" applyAlignment="1">
      <alignment horizontal="center" vertical="center"/>
    </xf>
    <xf numFmtId="0" fontId="14" fillId="6" borderId="20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/>
    </xf>
    <xf numFmtId="0" fontId="16" fillId="11" borderId="3" xfId="0" applyFont="1" applyFill="1" applyBorder="1" applyAlignment="1" applyProtection="1">
      <alignment horizontal="center"/>
      <protection locked="0"/>
    </xf>
    <xf numFmtId="0" fontId="16" fillId="11" borderId="4" xfId="0" applyFont="1" applyFill="1" applyBorder="1" applyAlignment="1" applyProtection="1">
      <alignment horizontal="center"/>
      <protection locked="0"/>
    </xf>
    <xf numFmtId="0" fontId="16" fillId="11" borderId="5" xfId="0" applyFont="1" applyFill="1" applyBorder="1" applyAlignment="1" applyProtection="1">
      <alignment horizontal="center"/>
      <protection locked="0"/>
    </xf>
    <xf numFmtId="0" fontId="16" fillId="11" borderId="3" xfId="0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</cellXfs>
  <cellStyles count="2">
    <cellStyle name="Moneda [0]" xfId="1" builtinId="7"/>
    <cellStyle name="Normal" xfId="0" builtinId="0"/>
  </cellStyles>
  <dxfs count="96"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2" formatCode="_-&quot;$&quot;\ * #,##0_-;\-&quot;$&quot;\ * #,##0_-;_-&quot;$&quot;\ * &quot;-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2" formatCode="_-&quot;$&quot;\ * #,##0_-;\-&quot;$&quot;\ * #,##0_-;_-&quot;$&quot;\ * &quot;-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4" formatCode="&quot;$&quot;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2" formatCode="_-&quot;$&quot;\ * #,##0_-;\-&quot;$&quot;\ * #,##0_-;_-&quot;$&quot;\ * &quot;-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2" formatCode="_-&quot;$&quot;\ * #,##0_-;\-&quot;$&quot;\ * #,##0_-;_-&quot;$&quot;\ * &quot;-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4" formatCode="&quot;$&quot;#,##0"/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2" formatCode="_-&quot;$&quot;\ * #,##0_-;\-&quot;$&quot;\ * #,##0_-;_-&quot;$&quot;\ * &quot;-&quot;_-;_-@_-"/>
      <fill>
        <patternFill patternType="none">
          <fgColor indexed="64"/>
          <bgColor auto="1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32" formatCode="_-&quot;$&quot;\ * #,##0_-;\-&quot;$&quot;\ * #,##0_-;_-&quot;$&quot;\ * &quot;-&quot;_-;_-@_-"/>
      <fill>
        <patternFill patternType="none">
          <fgColor indexed="64"/>
          <bgColor auto="1"/>
        </patternFill>
      </fill>
      <alignment horizontal="right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4" formatCode="&quot;$&quot;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 outline="0">
        <left style="thin">
          <color theme="9" tint="-0.249977111117893"/>
        </left>
        <right/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 outline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 outline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 outline="0">
        <left/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 outline="0">
        <left style="thin">
          <color theme="9" tint="-0.249977111117893"/>
        </left>
        <right style="thin">
          <color theme="9" tint="-0.249977111117893"/>
        </right>
        <top/>
        <bottom/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border>
        <bottom style="medium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/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/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/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border>
        <bottom style="medium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theme="9" tint="-0.249977111117893"/>
        </left>
        <right style="thin">
          <color theme="9" tint="-0.249977111117893"/>
        </right>
        <top/>
        <bottom/>
      </border>
    </dxf>
    <dxf>
      <border diagonalUp="0" diagonalDown="0">
        <left style="thin">
          <color theme="9" tint="-0.249977111117893"/>
        </left>
        <right/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/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border>
        <bottom style="thin">
          <color theme="9" tint="-0.249977111117893"/>
        </bottom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/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/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  <vertical style="thin">
          <color theme="9" tint="-0.249977111117893"/>
        </vertical>
        <horizontal style="thin">
          <color theme="9" tint="-0.249977111117893"/>
        </horizontal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border>
        <bottom style="thin">
          <color theme="9" tint="-0.249977111117893"/>
        </bottom>
      </border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250208</xdr:colOff>
      <xdr:row>6</xdr:row>
      <xdr:rowOff>50800</xdr:rowOff>
    </xdr:from>
    <xdr:to>
      <xdr:col>11</xdr:col>
      <xdr:colOff>520699</xdr:colOff>
      <xdr:row>17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F6DAC8-4CF8-C29C-B08E-227EAD333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2608" y="1409700"/>
          <a:ext cx="5286991" cy="4051300"/>
        </a:xfrm>
        <a:prstGeom prst="rect">
          <a:avLst/>
        </a:prstGeom>
      </xdr:spPr>
    </xdr:pic>
    <xdr:clientData/>
  </xdr:twoCellAnchor>
  <xdr:twoCellAnchor editAs="oneCell">
    <xdr:from>
      <xdr:col>5</xdr:col>
      <xdr:colOff>198678</xdr:colOff>
      <xdr:row>18</xdr:row>
      <xdr:rowOff>152400</xdr:rowOff>
    </xdr:from>
    <xdr:to>
      <xdr:col>11</xdr:col>
      <xdr:colOff>571499</xdr:colOff>
      <xdr:row>36</xdr:row>
      <xdr:rowOff>153830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BC200D-7053-5BF1-CA23-9B0321806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71078" y="5651500"/>
          <a:ext cx="5389321" cy="56402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319295</xdr:colOff>
      <xdr:row>24</xdr:row>
      <xdr:rowOff>50109</xdr:rowOff>
    </xdr:from>
    <xdr:to>
      <xdr:col>23</xdr:col>
      <xdr:colOff>311422</xdr:colOff>
      <xdr:row>45</xdr:row>
      <xdr:rowOff>89349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CDA82C-4BF0-35BA-562F-787F67FF5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17360" y="5881184"/>
          <a:ext cx="7707719" cy="6006875"/>
        </a:xfrm>
        <a:prstGeom prst="rect">
          <a:avLst/>
        </a:prstGeom>
        <a:effectLst>
          <a:softEdge rad="151460"/>
        </a:effectLst>
      </xdr:spPr>
    </xdr:pic>
    <xdr:clientData/>
  </xdr:twoCellAnchor>
  <xdr:twoCellAnchor editAs="oneCell">
    <xdr:from>
      <xdr:col>14</xdr:col>
      <xdr:colOff>355054</xdr:colOff>
      <xdr:row>0</xdr:row>
      <xdr:rowOff>0</xdr:rowOff>
    </xdr:from>
    <xdr:to>
      <xdr:col>23</xdr:col>
      <xdr:colOff>356554</xdr:colOff>
      <xdr:row>25</xdr:row>
      <xdr:rowOff>58650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6BD38A-772F-2DB4-5000-F101EFD34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53119" y="0"/>
          <a:ext cx="7717092" cy="6080908"/>
        </a:xfrm>
        <a:prstGeom prst="rect">
          <a:avLst/>
        </a:prstGeom>
        <a:ln w="12700">
          <a:noFill/>
        </a:ln>
        <a:effectLst>
          <a:softEdge rad="151460"/>
        </a:effectLst>
      </xdr:spPr>
    </xdr:pic>
    <xdr:clientData/>
  </xdr:twoCellAnchor>
  <xdr:twoCellAnchor editAs="oneCell">
    <xdr:from>
      <xdr:col>14</xdr:col>
      <xdr:colOff>382365</xdr:colOff>
      <xdr:row>45</xdr:row>
      <xdr:rowOff>128910</xdr:rowOff>
    </xdr:from>
    <xdr:to>
      <xdr:col>23</xdr:col>
      <xdr:colOff>655482</xdr:colOff>
      <xdr:row>64</xdr:row>
      <xdr:rowOff>49190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0F5199-0A3B-223B-D1AF-EFC4D5D59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80430" y="11927620"/>
          <a:ext cx="7988709" cy="6147376"/>
        </a:xfrm>
        <a:prstGeom prst="rect">
          <a:avLst/>
        </a:prstGeom>
        <a:effectLst>
          <a:softEdge rad="151460"/>
        </a:effectLst>
      </xdr:spPr>
    </xdr:pic>
    <xdr:clientData/>
  </xdr:twoCellAnchor>
  <xdr:twoCellAnchor editAs="oneCell">
    <xdr:from>
      <xdr:col>23</xdr:col>
      <xdr:colOff>778386</xdr:colOff>
      <xdr:row>0</xdr:row>
      <xdr:rowOff>109248</xdr:rowOff>
    </xdr:from>
    <xdr:to>
      <xdr:col>30</xdr:col>
      <xdr:colOff>644831</xdr:colOff>
      <xdr:row>31</xdr:row>
      <xdr:rowOff>78342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A111175-4C20-D13C-B332-95F5763E2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2042" y="109248"/>
          <a:ext cx="5601928" cy="7520814"/>
        </a:xfrm>
        <a:prstGeom prst="rect">
          <a:avLst/>
        </a:prstGeom>
      </xdr:spPr>
    </xdr:pic>
    <xdr:clientData/>
  </xdr:twoCellAnchor>
  <xdr:twoCellAnchor editAs="oneCell">
    <xdr:from>
      <xdr:col>24</xdr:col>
      <xdr:colOff>12063</xdr:colOff>
      <xdr:row>31</xdr:row>
      <xdr:rowOff>154037</xdr:rowOff>
    </xdr:from>
    <xdr:to>
      <xdr:col>30</xdr:col>
      <xdr:colOff>672462</xdr:colOff>
      <xdr:row>55</xdr:row>
      <xdr:rowOff>190723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37A6108-F7CA-BC59-FC7E-7C1EB7F36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245074" y="7705757"/>
          <a:ext cx="5576528" cy="7574751"/>
        </a:xfrm>
        <a:prstGeom prst="rect">
          <a:avLst/>
        </a:prstGeom>
      </xdr:spPr>
    </xdr:pic>
    <xdr:clientData/>
  </xdr:twoCellAnchor>
  <xdr:twoCellAnchor editAs="oneCell">
    <xdr:from>
      <xdr:col>24</xdr:col>
      <xdr:colOff>23610</xdr:colOff>
      <xdr:row>56</xdr:row>
      <xdr:rowOff>97066</xdr:rowOff>
    </xdr:from>
    <xdr:to>
      <xdr:col>30</xdr:col>
      <xdr:colOff>740621</xdr:colOff>
      <xdr:row>69</xdr:row>
      <xdr:rowOff>91914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9A19A37-605D-15CF-F6C5-1B362612E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256621" y="15364378"/>
          <a:ext cx="5633140" cy="3627321"/>
        </a:xfrm>
        <a:prstGeom prst="rect">
          <a:avLst/>
        </a:prstGeom>
      </xdr:spPr>
    </xdr:pic>
    <xdr:clientData/>
  </xdr:twoCellAnchor>
  <xdr:twoCellAnchor editAs="oneCell">
    <xdr:from>
      <xdr:col>31</xdr:col>
      <xdr:colOff>751074</xdr:colOff>
      <xdr:row>0</xdr:row>
      <xdr:rowOff>0</xdr:rowOff>
    </xdr:from>
    <xdr:to>
      <xdr:col>39</xdr:col>
      <xdr:colOff>515918</xdr:colOff>
      <xdr:row>33</xdr:row>
      <xdr:rowOff>225839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2102FE3-6F6C-277C-F88E-BAC946D85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2719569" y="0"/>
          <a:ext cx="6319683" cy="8378420"/>
        </a:xfrm>
        <a:prstGeom prst="rect">
          <a:avLst/>
        </a:prstGeom>
      </xdr:spPr>
    </xdr:pic>
    <xdr:clientData/>
  </xdr:twoCellAnchor>
  <xdr:twoCellAnchor editAs="oneCell">
    <xdr:from>
      <xdr:col>31</xdr:col>
      <xdr:colOff>778966</xdr:colOff>
      <xdr:row>33</xdr:row>
      <xdr:rowOff>234695</xdr:rowOff>
    </xdr:from>
    <xdr:to>
      <xdr:col>39</xdr:col>
      <xdr:colOff>521738</xdr:colOff>
      <xdr:row>59</xdr:row>
      <xdr:rowOff>49602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4168370-A721-4BA6-F4C9-2969D3136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2747461" y="8387276"/>
          <a:ext cx="6297611" cy="8500068"/>
        </a:xfrm>
        <a:prstGeom prst="rect">
          <a:avLst/>
        </a:prstGeom>
      </xdr:spPr>
    </xdr:pic>
    <xdr:clientData/>
  </xdr:twoCellAnchor>
  <xdr:twoCellAnchor editAs="oneCell">
    <xdr:from>
      <xdr:col>31</xdr:col>
      <xdr:colOff>729771</xdr:colOff>
      <xdr:row>66</xdr:row>
      <xdr:rowOff>17752</xdr:rowOff>
    </xdr:from>
    <xdr:to>
      <xdr:col>39</xdr:col>
      <xdr:colOff>507315</xdr:colOff>
      <xdr:row>112</xdr:row>
      <xdr:rowOff>93677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E6C92B9-E00B-E5E2-E9E0-2AFFC31D6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2698266" y="16882806"/>
          <a:ext cx="6332383" cy="8242162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Opción1" displayName="TablaOpción1" ref="A3:D11" headerRowDxfId="95" dataDxfId="93" totalsRowDxfId="91" headerRowBorderDxfId="94" tableBorderDxfId="92">
  <tableColumns count="4">
    <tableColumn id="1" xr3:uid="{00000000-0010-0000-0000-000001000000}" name="DESCRIPCIÓN" dataDxfId="90"/>
    <tableColumn id="2" xr3:uid="{00000000-0010-0000-0000-000002000000}" name="PRECIO UNITARIO" dataDxfId="89"/>
    <tableColumn id="3" xr3:uid="{00000000-0010-0000-0000-000003000000}" name="CANTIDAD" dataDxfId="88"/>
    <tableColumn id="4" xr3:uid="{00000000-0010-0000-0000-000004000000}" name="TOTAL" dataDxfId="8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Opción2" displayName="TablaOpción2" ref="A3:D12" headerRowDxfId="86" totalsRowDxfId="83" headerRowBorderDxfId="85" tableBorderDxfId="84">
  <tableColumns count="4">
    <tableColumn id="1" xr3:uid="{00000000-0010-0000-0100-000001000000}" name="DESCRIPCIÓN" dataDxfId="82"/>
    <tableColumn id="2" xr3:uid="{00000000-0010-0000-0100-000002000000}" name="PRECIO UNITARIO" dataDxfId="81"/>
    <tableColumn id="3" xr3:uid="{00000000-0010-0000-0100-000003000000}" name="CANTIDAD" dataDxfId="80"/>
    <tableColumn id="4" xr3:uid="{00000000-0010-0000-0100-000004000000}" name="TOTAL" dataDxfId="7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Resumen" displayName="TablaResumen" ref="A3:E5">
  <tableColumns count="5">
    <tableColumn id="1" xr3:uid="{00000000-0010-0000-0200-000001000000}" name="Opción"/>
    <tableColumn id="2" xr3:uid="{00000000-0010-0000-0200-000002000000}" name="Subtotal"/>
    <tableColumn id="3" xr3:uid="{00000000-0010-0000-0200-000003000000}" name="Descuentos"/>
    <tableColumn id="4" xr3:uid="{00000000-0010-0000-0200-000004000000}" name="IVA"/>
    <tableColumn id="5" xr3:uid="{00000000-0010-0000-0200-000005000000}" name="Tot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Condiciones" displayName="TablaCondiciones" ref="A3:B8">
  <tableColumns count="2">
    <tableColumn id="1" xr3:uid="{00000000-0010-0000-0300-000001000000}" name="Concepto"/>
    <tableColumn id="2" xr3:uid="{00000000-0010-0000-0300-000002000000}" name="Detall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E58E175-619F-FE48-AE97-4F11E5B163A2}" name="TablaOpción17" displayName="TablaOpción17" ref="B7:E15" headerRowDxfId="78" dataDxfId="76" totalsRowDxfId="74" headerRowBorderDxfId="77" tableBorderDxfId="75">
  <tableColumns count="4">
    <tableColumn id="1" xr3:uid="{58AE9F66-E7EA-AB4D-B7D6-6916A6BE6FA1}" name="DESCRIPCIÓN" dataDxfId="73"/>
    <tableColumn id="2" xr3:uid="{9C2F5DC5-CF2E-4443-91AE-CAFD2CF051A4}" name="PRECIO UNITARIO" dataDxfId="72"/>
    <tableColumn id="3" xr3:uid="{29DBA410-EA42-0A49-83F8-DDD551BC1750}" name="CANTIDAD" dataDxfId="71"/>
    <tableColumn id="4" xr3:uid="{9B76AFEC-C33F-D643-9237-360BF15FB66A}" name="TOTAL" dataDxfId="70">
      <calculatedColumnFormula>C8*D8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7E7DFE1-00D7-3B40-BF8A-D90F2159F8A8}" name="TablaOpción28" displayName="TablaOpción28" ref="B23:E36" headerRowDxfId="69" dataDxfId="67" totalsRowDxfId="65" headerRowBorderDxfId="68" tableBorderDxfId="66">
  <tableColumns count="4">
    <tableColumn id="1" xr3:uid="{2ACDFD80-574D-2749-BA67-9E40E9973326}" name="DESCRIPCIÓN" dataDxfId="64"/>
    <tableColumn id="2" xr3:uid="{CE83E633-1CFA-A343-A39F-23B708192199}" name="PRECIO UNITARIO" dataDxfId="63"/>
    <tableColumn id="3" xr3:uid="{6D0D10E5-5ED5-7A4D-8EFC-5E6EE09D7F72}" name="CANTIDAD" dataDxfId="62"/>
    <tableColumn id="4" xr3:uid="{8E82F7F7-D4F8-4F4E-B79A-21EFA80800F8}" name="TOTAL" dataDxfId="61">
      <calculatedColumnFormula>C24*D24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D112FF-B358-E249-A3A6-8640E4A3E430}" name="TablaOpción176" displayName="TablaOpción176" ref="B7:K15" headerRowDxfId="60" dataDxfId="58" totalsRowDxfId="56" headerRowBorderDxfId="59" tableBorderDxfId="57">
  <tableColumns count="10">
    <tableColumn id="1" xr3:uid="{EE2F7E59-F657-4845-8257-E1D0AF1D8AF6}" name="DESCRIPCIÓN" dataDxfId="55"/>
    <tableColumn id="2" xr3:uid="{2954D084-8065-4C41-8720-DD8CF2235BCC}" name="PRECIO UNITARIO" dataDxfId="54"/>
    <tableColumn id="3" xr3:uid="{2DF5BA0E-4EF5-0041-9F8E-A1FE8A192A15}" name="CANTIDAD" dataDxfId="53"/>
    <tableColumn id="4" xr3:uid="{B0007412-1B66-8F47-B623-7A2A3E3D77AF}" name="TOTAL" dataDxfId="52">
      <calculatedColumnFormula>TablaOpción176[[#This Row],[PRECIO UNITARIO]]*TablaOpción176[[#This Row],[CANTIDAD]]</calculatedColumnFormula>
    </tableColumn>
    <tableColumn id="5" xr3:uid="{E6D85B14-7641-DC4A-9BB4-6A63781B9F9E}" name="PRECIO UNITARIO2" dataDxfId="51" totalsRowDxfId="50" dataCellStyle="Moneda [0]"/>
    <tableColumn id="6" xr3:uid="{F1109594-30A6-7346-A2CB-2A6FD40A6D4C}" name="CANTIDAD3" dataDxfId="49" totalsRowDxfId="48"/>
    <tableColumn id="7" xr3:uid="{43A30B48-5547-C642-BC83-EFBEBE36CF53}" name="TOTAL4" dataDxfId="47" totalsRowDxfId="46" dataCellStyle="Moneda [0]">
      <calculatedColumnFormula>TablaOpción176[[#This Row],[PRECIO UNITARIO2]]*TablaOpción176[[#This Row],[CANTIDAD3]]</calculatedColumnFormula>
    </tableColumn>
    <tableColumn id="8" xr3:uid="{C895B4AE-BDD2-BE4E-9E50-0D1563ACCB9C}" name="PRECIO UNITARIO3" dataDxfId="45" totalsRowDxfId="44" dataCellStyle="Moneda [0]"/>
    <tableColumn id="9" xr3:uid="{EE4C389E-27F6-4948-83FA-3BCA87FC6695}" name="CANTIDAD2" dataDxfId="43" totalsRowDxfId="42"/>
    <tableColumn id="10" xr3:uid="{DABB8D77-9E67-B648-BF08-5C30BCC630BD}" name="TOTAL2" dataDxfId="41" totalsRowDxfId="40" dataCellStyle="Moneda [0]">
      <calculatedColumnFormula>TablaOpción176[[#This Row],[PRECIO UNITARIO3]]*TablaOpción176[[#This Row],[CANTIDAD2]]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1CB2E80-64E2-1F40-B8DE-1CAF94AFA10E}" name="TablaOpción289" displayName="TablaOpción289" ref="B23:K35" headerRowDxfId="39" dataDxfId="37" totalsRowDxfId="35" headerRowBorderDxfId="38" tableBorderDxfId="36">
  <tableColumns count="10">
    <tableColumn id="1" xr3:uid="{10CC6560-6879-354D-A306-FB3E1BA189A1}" name="DESCRIPCIÓN" dataDxfId="34"/>
    <tableColumn id="2" xr3:uid="{33C16935-20E1-AB44-AD3E-965CF208B08A}" name="PRECIO UNITARIO" dataDxfId="33" dataCellStyle="Moneda [0]"/>
    <tableColumn id="3" xr3:uid="{4902EDD9-9695-4B4B-9397-05F57A417CD9}" name="CANTIDAD" dataDxfId="32"/>
    <tableColumn id="4" xr3:uid="{85AB7AB8-11D3-1342-97C3-10CE99FCDA09}" name="TOTAL" dataDxfId="31">
      <calculatedColumnFormula>TablaOpción289[[#This Row],[PRECIO UNITARIO]]*TablaOpción289[[#This Row],[CANTIDAD]]</calculatedColumnFormula>
    </tableColumn>
    <tableColumn id="5" xr3:uid="{1AE69341-43F3-BD4B-9C4E-66B95C6A3FF8}" name="PRECIO UNITARIO2" dataDxfId="30" totalsRowDxfId="29" dataCellStyle="Moneda [0]"/>
    <tableColumn id="6" xr3:uid="{676D31DA-3BA6-0E41-B74E-E2F64F25F4BC}" name="CANTIDAD3" dataDxfId="28" totalsRowDxfId="27"/>
    <tableColumn id="7" xr3:uid="{24A1ED5D-4DFD-8B40-A8C9-C2A6A8551128}" name="TOTAL4" dataDxfId="26" dataCellStyle="Moneda [0]">
      <calculatedColumnFormula>TablaOpción289[[#This Row],[PRECIO UNITARIO2]]*TablaOpción289[[#This Row],[CANTIDAD3]]</calculatedColumnFormula>
    </tableColumn>
    <tableColumn id="8" xr3:uid="{FF65A266-F625-E046-B8F5-9712CC9F9AD6}" name="PRECIO UNITARIO3" dataDxfId="25" totalsRowDxfId="24" dataCellStyle="Moneda [0]"/>
    <tableColumn id="9" xr3:uid="{EA177A1C-F2AD-154E-901B-AF04C542C75B}" name="CANTIDAD2" dataDxfId="23" totalsRowDxfId="22"/>
    <tableColumn id="10" xr3:uid="{0C889430-DF74-2148-9C7A-05EDA9773B77}" name="TOTAL2" dataDxfId="21" dataCellStyle="Moneda [0]">
      <calculatedColumnFormula>TablaOpción289[[#This Row],[PRECIO UNITARIO3]]*TablaOpción289[[#This Row],[CANTIDAD2]]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191068-3AFD-A74F-94EF-AEAE7675ABB5}" name="TablaOpción17610" displayName="TablaOpción17610" ref="B39:K47" headerRowDxfId="20" dataDxfId="18" totalsRowDxfId="16" headerRowBorderDxfId="19" tableBorderDxfId="17">
  <tableColumns count="10">
    <tableColumn id="1" xr3:uid="{B9461C02-715F-E24A-8AC2-3F0DB20856D7}" name="DESCRIPCIÓN" dataDxfId="15"/>
    <tableColumn id="2" xr3:uid="{5DB4C575-8BBA-4F4A-8D01-10ABC290C534}" name="PRECIO UNITARIO" dataDxfId="14"/>
    <tableColumn id="3" xr3:uid="{72712431-C7E1-D943-8C98-5FAC8B993A73}" name="CANTIDAD" dataDxfId="13"/>
    <tableColumn id="4" xr3:uid="{7BA2F365-64FA-504B-AAEA-231273904E44}" name="TOTAL" dataDxfId="12">
      <calculatedColumnFormula>TablaOpción17610[[#This Row],[PRECIO UNITARIO]]*TablaOpción17610[[#This Row],[CANTIDAD]]</calculatedColumnFormula>
    </tableColumn>
    <tableColumn id="5" xr3:uid="{E47FF192-4456-F741-88B5-0B9EE487DD03}" name="PRECIO UNITARIO2" dataDxfId="11" totalsRowDxfId="10" dataCellStyle="Moneda [0]"/>
    <tableColumn id="6" xr3:uid="{6BDE0579-9DD7-9749-A140-D95B6A8277B6}" name="CANTIDAD3" dataDxfId="9" totalsRowDxfId="8"/>
    <tableColumn id="7" xr3:uid="{8ED1C5CD-9785-D64C-8C61-6FAA06389E38}" name="TOTAL4" dataDxfId="7" totalsRowDxfId="6">
      <calculatedColumnFormula>TablaOpción17610[[#This Row],[PRECIO UNITARIO2]]*TablaOpción17610[[#This Row],[CANTIDAD3]]</calculatedColumnFormula>
    </tableColumn>
    <tableColumn id="8" xr3:uid="{E68C565F-62E1-3B42-91B8-15515E6612D9}" name="PRECIO UNITARIO3" dataDxfId="5" totalsRowDxfId="4" dataCellStyle="Moneda [0]"/>
    <tableColumn id="9" xr3:uid="{8DB10F0B-7748-314B-9922-D5753890B5F0}" name="CANTIDAD2" dataDxfId="3" totalsRowDxfId="2"/>
    <tableColumn id="10" xr3:uid="{4E62785F-FE80-4348-8CF6-01D00EDB8B1F}" name="TOTAL2" dataDxfId="1" totalsRowDxfId="0">
      <calculatedColumnFormula>TablaOpción17610[[#This Row],[PRECIO UNITARIO3]]*TablaOpción17610[[#This Row],[CANTIDAD2]]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drawing" Target="../drawings/drawing2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workbookViewId="0">
      <selection activeCell="F24" sqref="F24"/>
    </sheetView>
  </sheetViews>
  <sheetFormatPr baseColWidth="10" defaultColWidth="8.83203125" defaultRowHeight="14"/>
  <cols>
    <col min="1" max="1" width="50.83203125" customWidth="1"/>
    <col min="2" max="2" width="16" customWidth="1"/>
    <col min="3" max="3" width="12" customWidth="1"/>
    <col min="4" max="4" width="14" customWidth="1"/>
  </cols>
  <sheetData>
    <row r="1" spans="1:4" ht="32" customHeight="1" thickBot="1">
      <c r="A1" s="257" t="s">
        <v>0</v>
      </c>
      <c r="B1" s="258"/>
      <c r="C1" s="258"/>
      <c r="D1" s="259"/>
    </row>
    <row r="2" spans="1:4" ht="16">
      <c r="A2" s="262"/>
      <c r="B2" s="262"/>
      <c r="C2" s="262"/>
      <c r="D2" s="262"/>
    </row>
    <row r="3" spans="1:4" ht="34">
      <c r="A3" s="11" t="s">
        <v>1</v>
      </c>
      <c r="B3" s="12" t="s">
        <v>2</v>
      </c>
      <c r="C3" s="12" t="s">
        <v>3</v>
      </c>
      <c r="D3" s="13" t="s">
        <v>4</v>
      </c>
    </row>
    <row r="4" spans="1:4" ht="19" customHeight="1">
      <c r="A4" s="14" t="s">
        <v>5</v>
      </c>
      <c r="B4" s="15">
        <v>532500</v>
      </c>
      <c r="C4" s="16">
        <v>1</v>
      </c>
      <c r="D4" s="17">
        <f t="shared" ref="D4:D11" si="0">B4*C4</f>
        <v>532500</v>
      </c>
    </row>
    <row r="5" spans="1:4" ht="17">
      <c r="A5" s="14" t="s">
        <v>6</v>
      </c>
      <c r="B5" s="15">
        <v>234600</v>
      </c>
      <c r="C5" s="16">
        <v>1</v>
      </c>
      <c r="D5" s="17">
        <f t="shared" si="0"/>
        <v>234600</v>
      </c>
    </row>
    <row r="6" spans="1:4" ht="17">
      <c r="A6" s="14" t="s">
        <v>7</v>
      </c>
      <c r="B6" s="15">
        <v>274200</v>
      </c>
      <c r="C6" s="16">
        <v>1</v>
      </c>
      <c r="D6" s="17">
        <f t="shared" si="0"/>
        <v>274200</v>
      </c>
    </row>
    <row r="7" spans="1:4" ht="17">
      <c r="A7" s="14" t="s">
        <v>8</v>
      </c>
      <c r="B7" s="15">
        <v>318800</v>
      </c>
      <c r="C7" s="16">
        <v>1</v>
      </c>
      <c r="D7" s="17">
        <f t="shared" si="0"/>
        <v>318800</v>
      </c>
    </row>
    <row r="8" spans="1:4" ht="17">
      <c r="A8" s="14" t="s">
        <v>9</v>
      </c>
      <c r="B8" s="15">
        <v>309900</v>
      </c>
      <c r="C8" s="16">
        <v>1</v>
      </c>
      <c r="D8" s="17">
        <f t="shared" si="0"/>
        <v>309900</v>
      </c>
    </row>
    <row r="9" spans="1:4" ht="17">
      <c r="A9" s="14" t="s">
        <v>10</v>
      </c>
      <c r="B9" s="15">
        <v>205700</v>
      </c>
      <c r="C9" s="16">
        <v>1</v>
      </c>
      <c r="D9" s="17">
        <f t="shared" si="0"/>
        <v>205700</v>
      </c>
    </row>
    <row r="10" spans="1:4" ht="34">
      <c r="A10" s="14" t="s">
        <v>11</v>
      </c>
      <c r="B10" s="15">
        <v>94100</v>
      </c>
      <c r="C10" s="16">
        <v>1</v>
      </c>
      <c r="D10" s="17">
        <f t="shared" si="0"/>
        <v>94100</v>
      </c>
    </row>
    <row r="11" spans="1:4" ht="34">
      <c r="A11" s="18" t="s">
        <v>12</v>
      </c>
      <c r="B11" s="19">
        <v>155000</v>
      </c>
      <c r="C11" s="20">
        <v>1</v>
      </c>
      <c r="D11" s="21">
        <f t="shared" si="0"/>
        <v>155000</v>
      </c>
    </row>
    <row r="12" spans="1:4" ht="16">
      <c r="A12" s="3"/>
      <c r="B12" s="3"/>
      <c r="C12" s="3"/>
      <c r="D12" s="3"/>
    </row>
    <row r="13" spans="1:4" ht="17">
      <c r="A13" s="3"/>
      <c r="B13" s="3"/>
      <c r="C13" s="4" t="s">
        <v>13</v>
      </c>
      <c r="D13" s="5">
        <f>SUM(D4:D11)</f>
        <v>2124800</v>
      </c>
    </row>
    <row r="14" spans="1:4" ht="34">
      <c r="A14" s="3"/>
      <c r="B14" s="3"/>
      <c r="C14" s="4" t="s">
        <v>14</v>
      </c>
      <c r="D14" s="5">
        <v>208655</v>
      </c>
    </row>
    <row r="15" spans="1:4" ht="17">
      <c r="A15" s="3"/>
      <c r="B15" s="3"/>
      <c r="C15" s="4" t="s">
        <v>15</v>
      </c>
      <c r="D15" s="5">
        <v>443357</v>
      </c>
    </row>
    <row r="16" spans="1:4" ht="17">
      <c r="A16" s="3"/>
      <c r="B16" s="3"/>
      <c r="C16" s="4" t="s">
        <v>16</v>
      </c>
      <c r="D16" s="5">
        <v>2776812</v>
      </c>
    </row>
    <row r="17" spans="1:4" ht="16">
      <c r="A17" s="3"/>
      <c r="B17" s="3"/>
      <c r="C17" s="3"/>
      <c r="D17" s="3"/>
    </row>
    <row r="18" spans="1:4" ht="16">
      <c r="A18" s="260" t="s">
        <v>17</v>
      </c>
      <c r="B18" s="261"/>
      <c r="C18" s="261"/>
      <c r="D18" s="261"/>
    </row>
    <row r="19" spans="1:4" ht="16">
      <c r="A19" s="3"/>
      <c r="B19" s="3"/>
      <c r="C19" s="3"/>
      <c r="D19" s="3"/>
    </row>
  </sheetData>
  <mergeCells count="3">
    <mergeCell ref="A1:D1"/>
    <mergeCell ref="A18:D18"/>
    <mergeCell ref="A2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workbookViewId="0">
      <selection activeCell="B27" sqref="B27"/>
    </sheetView>
  </sheetViews>
  <sheetFormatPr baseColWidth="10" defaultColWidth="8.83203125" defaultRowHeight="14"/>
  <cols>
    <col min="1" max="1" width="48" customWidth="1"/>
    <col min="2" max="2" width="16" customWidth="1"/>
    <col min="3" max="3" width="12" customWidth="1"/>
    <col min="4" max="4" width="13.83203125" customWidth="1"/>
  </cols>
  <sheetData>
    <row r="1" spans="1:4" ht="32" customHeight="1">
      <c r="A1" s="263" t="s">
        <v>18</v>
      </c>
      <c r="B1" s="264"/>
      <c r="C1" s="264"/>
      <c r="D1" s="264"/>
    </row>
    <row r="2" spans="1:4">
      <c r="A2" s="267"/>
      <c r="B2" s="267"/>
      <c r="C2" s="267"/>
      <c r="D2" s="267"/>
    </row>
    <row r="3" spans="1:4" ht="32">
      <c r="A3" s="22" t="s">
        <v>1</v>
      </c>
      <c r="B3" s="23" t="s">
        <v>2</v>
      </c>
      <c r="C3" s="23" t="s">
        <v>3</v>
      </c>
      <c r="D3" s="24" t="s">
        <v>4</v>
      </c>
    </row>
    <row r="4" spans="1:4" ht="15">
      <c r="A4" s="25" t="s">
        <v>5</v>
      </c>
      <c r="B4" s="26">
        <v>532500</v>
      </c>
      <c r="C4" s="27">
        <v>1</v>
      </c>
      <c r="D4" s="28">
        <f t="shared" ref="D4:D12" si="0">B4*C4</f>
        <v>532500</v>
      </c>
    </row>
    <row r="5" spans="1:4" ht="15">
      <c r="A5" s="25" t="s">
        <v>6</v>
      </c>
      <c r="B5" s="26">
        <v>234600</v>
      </c>
      <c r="C5" s="27">
        <v>1</v>
      </c>
      <c r="D5" s="28">
        <f t="shared" si="0"/>
        <v>234600</v>
      </c>
    </row>
    <row r="6" spans="1:4" ht="15">
      <c r="A6" s="25" t="s">
        <v>7</v>
      </c>
      <c r="B6" s="26">
        <v>274200</v>
      </c>
      <c r="C6" s="27">
        <v>1</v>
      </c>
      <c r="D6" s="28">
        <f t="shared" si="0"/>
        <v>274200</v>
      </c>
    </row>
    <row r="7" spans="1:4" ht="15">
      <c r="A7" s="25" t="s">
        <v>8</v>
      </c>
      <c r="B7" s="26">
        <v>318800</v>
      </c>
      <c r="C7" s="27">
        <v>1</v>
      </c>
      <c r="D7" s="28">
        <f t="shared" si="0"/>
        <v>318800</v>
      </c>
    </row>
    <row r="8" spans="1:4" ht="15">
      <c r="A8" s="25" t="s">
        <v>9</v>
      </c>
      <c r="B8" s="26">
        <v>309900</v>
      </c>
      <c r="C8" s="27">
        <v>1</v>
      </c>
      <c r="D8" s="28">
        <f t="shared" si="0"/>
        <v>309900</v>
      </c>
    </row>
    <row r="9" spans="1:4" ht="15">
      <c r="A9" s="25" t="s">
        <v>10</v>
      </c>
      <c r="B9" s="26">
        <v>205700</v>
      </c>
      <c r="C9" s="27">
        <v>1</v>
      </c>
      <c r="D9" s="28">
        <f t="shared" si="0"/>
        <v>205700</v>
      </c>
    </row>
    <row r="10" spans="1:4" ht="30">
      <c r="A10" s="25" t="s">
        <v>11</v>
      </c>
      <c r="B10" s="26">
        <v>279600</v>
      </c>
      <c r="C10" s="27">
        <v>1</v>
      </c>
      <c r="D10" s="28">
        <f t="shared" si="0"/>
        <v>279600</v>
      </c>
    </row>
    <row r="11" spans="1:4" ht="30">
      <c r="A11" s="25" t="s">
        <v>12</v>
      </c>
      <c r="B11" s="26">
        <v>415300</v>
      </c>
      <c r="C11" s="27">
        <v>1</v>
      </c>
      <c r="D11" s="28">
        <f t="shared" si="0"/>
        <v>415300</v>
      </c>
    </row>
    <row r="12" spans="1:4" ht="30">
      <c r="A12" s="29" t="s">
        <v>19</v>
      </c>
      <c r="B12" s="30">
        <v>987000</v>
      </c>
      <c r="C12" s="31">
        <v>1</v>
      </c>
      <c r="D12" s="32">
        <f t="shared" si="0"/>
        <v>987000</v>
      </c>
    </row>
    <row r="14" spans="1:4" ht="16">
      <c r="C14" s="6" t="s">
        <v>13</v>
      </c>
      <c r="D14" s="6">
        <f>SUM(D4:D12)</f>
        <v>3557600</v>
      </c>
    </row>
    <row r="15" spans="1:4" ht="30">
      <c r="C15" s="7" t="s">
        <v>14</v>
      </c>
      <c r="D15" s="9">
        <v>317338</v>
      </c>
    </row>
    <row r="16" spans="1:4" ht="15">
      <c r="C16" s="8" t="s">
        <v>15</v>
      </c>
      <c r="D16" s="10">
        <v>736238</v>
      </c>
    </row>
    <row r="17" spans="1:4" ht="15">
      <c r="C17" s="7" t="s">
        <v>16</v>
      </c>
      <c r="D17" s="9">
        <v>4611176</v>
      </c>
    </row>
    <row r="19" spans="1:4">
      <c r="A19" s="265" t="s">
        <v>20</v>
      </c>
      <c r="B19" s="266"/>
      <c r="C19" s="266"/>
      <c r="D19" s="266"/>
    </row>
  </sheetData>
  <mergeCells count="3">
    <mergeCell ref="A1:D1"/>
    <mergeCell ref="A19:D19"/>
    <mergeCell ref="A2:D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workbookViewId="0">
      <selection sqref="A1:E1"/>
    </sheetView>
  </sheetViews>
  <sheetFormatPr baseColWidth="10" defaultColWidth="8.83203125" defaultRowHeight="14"/>
  <cols>
    <col min="1" max="1" width="34" customWidth="1"/>
    <col min="2" max="5" width="16" customWidth="1"/>
  </cols>
  <sheetData>
    <row r="1" spans="1:5" ht="18">
      <c r="A1" s="268" t="s">
        <v>21</v>
      </c>
      <c r="B1" s="266"/>
      <c r="C1" s="266"/>
      <c r="D1" s="266"/>
      <c r="E1" s="266"/>
    </row>
    <row r="3" spans="1:5" ht="16">
      <c r="A3" s="1" t="s">
        <v>22</v>
      </c>
      <c r="B3" s="1" t="s">
        <v>13</v>
      </c>
      <c r="C3" s="1" t="s">
        <v>23</v>
      </c>
      <c r="D3" s="1" t="s">
        <v>24</v>
      </c>
      <c r="E3" s="1" t="s">
        <v>16</v>
      </c>
    </row>
    <row r="4" spans="1:5">
      <c r="A4" t="s">
        <v>25</v>
      </c>
      <c r="B4" s="2">
        <v>2124800</v>
      </c>
      <c r="C4" s="2">
        <v>208655</v>
      </c>
      <c r="D4" s="2">
        <v>443357</v>
      </c>
      <c r="E4" s="2">
        <v>2776812</v>
      </c>
    </row>
    <row r="5" spans="1:5">
      <c r="A5" t="s">
        <v>26</v>
      </c>
      <c r="B5" s="2">
        <v>3557600</v>
      </c>
      <c r="C5" s="2">
        <v>317338</v>
      </c>
      <c r="D5" s="2">
        <v>736238</v>
      </c>
      <c r="E5" s="2">
        <v>4611176</v>
      </c>
    </row>
    <row r="7" spans="1:5">
      <c r="A7" s="265" t="s">
        <v>27</v>
      </c>
      <c r="B7" s="266"/>
      <c r="C7" s="266"/>
      <c r="D7" s="266"/>
      <c r="E7" s="266"/>
    </row>
  </sheetData>
  <mergeCells count="2">
    <mergeCell ref="A1:E1"/>
    <mergeCell ref="A7:E7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8"/>
  <sheetViews>
    <sheetView workbookViewId="0">
      <selection sqref="A1:B1"/>
    </sheetView>
  </sheetViews>
  <sheetFormatPr baseColWidth="10" defaultColWidth="8.83203125" defaultRowHeight="14"/>
  <cols>
    <col min="1" max="1" width="24" customWidth="1"/>
    <col min="2" max="2" width="56" customWidth="1"/>
  </cols>
  <sheetData>
    <row r="1" spans="1:2" ht="15">
      <c r="A1" s="269" t="s">
        <v>28</v>
      </c>
      <c r="B1" s="270"/>
    </row>
    <row r="3" spans="1:2" ht="16">
      <c r="A3" s="1" t="s">
        <v>29</v>
      </c>
      <c r="B3" s="1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CDB31-71EC-5A4A-B96C-C657616D78D6}">
  <dimension ref="B1:S36"/>
  <sheetViews>
    <sheetView topLeftCell="A23" workbookViewId="0">
      <selection activeCell="M12" sqref="M12"/>
    </sheetView>
  </sheetViews>
  <sheetFormatPr baseColWidth="10" defaultRowHeight="14"/>
  <cols>
    <col min="2" max="2" width="51" customWidth="1"/>
    <col min="4" max="4" width="14.1640625" customWidth="1"/>
    <col min="5" max="5" width="15.1640625" customWidth="1"/>
    <col min="6" max="6" width="11" bestFit="1" customWidth="1"/>
    <col min="7" max="7" width="11.5" bestFit="1" customWidth="1"/>
    <col min="13" max="13" width="28" customWidth="1"/>
    <col min="14" max="14" width="23" customWidth="1"/>
    <col min="15" max="15" width="15.1640625" customWidth="1"/>
    <col min="16" max="16" width="14.83203125" customWidth="1"/>
  </cols>
  <sheetData>
    <row r="1" spans="2:14" ht="16">
      <c r="E1" s="34"/>
      <c r="F1" s="36"/>
      <c r="G1" s="35"/>
      <c r="H1" s="33"/>
    </row>
    <row r="2" spans="2:14" ht="16">
      <c r="E2" s="34"/>
      <c r="F2" s="36"/>
      <c r="G2" s="35"/>
      <c r="H2" s="33"/>
    </row>
    <row r="3" spans="2:14" ht="16">
      <c r="E3" s="34"/>
      <c r="F3" s="36"/>
      <c r="G3" s="35"/>
      <c r="H3" s="33"/>
    </row>
    <row r="4" spans="2:14" ht="17" thickBot="1">
      <c r="E4" s="34"/>
      <c r="F4" s="36"/>
      <c r="G4" s="35"/>
      <c r="H4" s="33"/>
    </row>
    <row r="5" spans="2:14" ht="25" customHeight="1" thickBot="1">
      <c r="B5" s="271" t="s">
        <v>43</v>
      </c>
      <c r="C5" s="272"/>
      <c r="D5" s="272"/>
      <c r="E5" s="273"/>
      <c r="F5" s="37"/>
      <c r="G5" s="37"/>
      <c r="H5" s="33"/>
    </row>
    <row r="6" spans="2:14" ht="17" thickBot="1">
      <c r="B6" s="274"/>
      <c r="C6" s="274"/>
      <c r="D6" s="274"/>
      <c r="E6" s="274"/>
      <c r="F6" s="38"/>
      <c r="G6" s="39"/>
    </row>
    <row r="7" spans="2:14" ht="35" thickBot="1">
      <c r="B7" s="49" t="s">
        <v>1</v>
      </c>
      <c r="C7" s="50" t="s">
        <v>2</v>
      </c>
      <c r="D7" s="50" t="s">
        <v>3</v>
      </c>
      <c r="E7" s="51" t="s">
        <v>4</v>
      </c>
      <c r="F7" s="38"/>
      <c r="G7" s="39"/>
    </row>
    <row r="8" spans="2:14" ht="17">
      <c r="B8" s="44" t="s">
        <v>5</v>
      </c>
      <c r="C8" s="45">
        <v>532500</v>
      </c>
      <c r="D8" s="46">
        <v>1</v>
      </c>
      <c r="E8" s="47">
        <f t="shared" ref="E8:E15" si="0">C8*D8</f>
        <v>532500</v>
      </c>
      <c r="F8" s="38"/>
      <c r="G8" s="39"/>
    </row>
    <row r="9" spans="2:14" ht="17">
      <c r="B9" s="14" t="s">
        <v>6</v>
      </c>
      <c r="C9" s="15">
        <v>234600</v>
      </c>
      <c r="D9" s="16">
        <v>1</v>
      </c>
      <c r="E9" s="17">
        <f t="shared" si="0"/>
        <v>234600</v>
      </c>
      <c r="F9" s="38"/>
      <c r="G9" s="39"/>
    </row>
    <row r="10" spans="2:14" ht="17">
      <c r="B10" s="14" t="s">
        <v>7</v>
      </c>
      <c r="C10" s="15">
        <v>274200</v>
      </c>
      <c r="D10" s="16">
        <v>1</v>
      </c>
      <c r="E10" s="17">
        <f t="shared" si="0"/>
        <v>274200</v>
      </c>
    </row>
    <row r="11" spans="2:14" ht="17">
      <c r="B11" s="14" t="s">
        <v>8</v>
      </c>
      <c r="C11" s="15">
        <v>318800</v>
      </c>
      <c r="D11" s="16">
        <v>1</v>
      </c>
      <c r="E11" s="17">
        <f t="shared" si="0"/>
        <v>318800</v>
      </c>
    </row>
    <row r="12" spans="2:14" ht="17">
      <c r="B12" s="14" t="s">
        <v>9</v>
      </c>
      <c r="C12" s="15">
        <v>309900</v>
      </c>
      <c r="D12" s="16">
        <v>1</v>
      </c>
      <c r="E12" s="17">
        <f t="shared" si="0"/>
        <v>309900</v>
      </c>
    </row>
    <row r="13" spans="2:14" ht="17">
      <c r="B13" s="14" t="s">
        <v>10</v>
      </c>
      <c r="C13" s="15">
        <v>205700</v>
      </c>
      <c r="D13" s="16">
        <v>1</v>
      </c>
      <c r="E13" s="17">
        <f t="shared" si="0"/>
        <v>205700</v>
      </c>
    </row>
    <row r="14" spans="2:14" ht="34">
      <c r="B14" s="14" t="s">
        <v>11</v>
      </c>
      <c r="C14" s="15">
        <v>94100</v>
      </c>
      <c r="D14" s="16">
        <v>1</v>
      </c>
      <c r="E14" s="17">
        <f t="shared" si="0"/>
        <v>94100</v>
      </c>
    </row>
    <row r="15" spans="2:14" ht="35" thickBot="1">
      <c r="B15" s="74" t="s">
        <v>12</v>
      </c>
      <c r="C15" s="75">
        <v>155000</v>
      </c>
      <c r="D15" s="76">
        <v>1</v>
      </c>
      <c r="E15" s="77">
        <f t="shared" si="0"/>
        <v>155000</v>
      </c>
    </row>
    <row r="16" spans="2:14" ht="17" customHeight="1" thickTop="1" thickBot="1">
      <c r="B16" s="275" t="s">
        <v>13</v>
      </c>
      <c r="C16" s="276"/>
      <c r="D16" s="277"/>
      <c r="E16" s="57">
        <f>SUM(E8:E15)</f>
        <v>2124800</v>
      </c>
      <c r="N16" s="79"/>
    </row>
    <row r="17" spans="2:19" ht="85">
      <c r="B17" s="48" t="s">
        <v>41</v>
      </c>
      <c r="C17" s="78"/>
      <c r="D17" s="78">
        <v>1</v>
      </c>
      <c r="E17" s="40">
        <v>208655</v>
      </c>
    </row>
    <row r="18" spans="2:19" ht="18" thickBot="1">
      <c r="B18" s="41" t="s">
        <v>15</v>
      </c>
      <c r="C18" s="41"/>
      <c r="D18" s="41"/>
      <c r="E18" s="42">
        <v>443357</v>
      </c>
    </row>
    <row r="19" spans="2:19" ht="18" thickBot="1">
      <c r="B19" s="71" t="s">
        <v>16</v>
      </c>
      <c r="C19" s="72"/>
      <c r="D19" s="73"/>
      <c r="E19" s="43">
        <v>2776812</v>
      </c>
    </row>
    <row r="20" spans="2:19" ht="15" thickBot="1">
      <c r="M20" s="79" t="s">
        <v>45</v>
      </c>
      <c r="N20" s="80" t="s">
        <v>48</v>
      </c>
      <c r="O20" t="s">
        <v>49</v>
      </c>
      <c r="P20" t="s">
        <v>50</v>
      </c>
      <c r="Q20" s="267" t="s">
        <v>42</v>
      </c>
      <c r="R20" s="267"/>
    </row>
    <row r="21" spans="2:19" ht="17" thickBot="1">
      <c r="B21" s="278" t="s">
        <v>44</v>
      </c>
      <c r="C21" s="279"/>
      <c r="D21" s="279"/>
      <c r="E21" s="280"/>
      <c r="M21" t="s">
        <v>47</v>
      </c>
      <c r="N21" s="81">
        <v>179017841</v>
      </c>
      <c r="O21" s="69">
        <v>4611176</v>
      </c>
      <c r="P21" s="70">
        <v>3000000</v>
      </c>
      <c r="Q21" s="83">
        <f>N21/O21</f>
        <v>38.822599918111997</v>
      </c>
      <c r="R21" s="84">
        <f>N21/P21</f>
        <v>59.672613666666663</v>
      </c>
      <c r="S21" s="68"/>
    </row>
    <row r="22" spans="2:19" ht="15" thickBot="1">
      <c r="B22" s="267"/>
      <c r="C22" s="267"/>
      <c r="D22" s="267"/>
      <c r="E22" s="267"/>
      <c r="M22" s="79" t="s">
        <v>46</v>
      </c>
      <c r="N22" s="81">
        <v>247593889</v>
      </c>
      <c r="O22" s="69">
        <v>2776812</v>
      </c>
      <c r="P22" s="70">
        <v>4900000</v>
      </c>
      <c r="Q22" s="83">
        <f>N22/O22</f>
        <v>89.164800857962291</v>
      </c>
      <c r="R22" s="84">
        <f>N22/P22</f>
        <v>50.529365102040813</v>
      </c>
      <c r="S22" s="68"/>
    </row>
    <row r="23" spans="2:19" ht="35" thickBot="1">
      <c r="B23" s="49" t="s">
        <v>1</v>
      </c>
      <c r="C23" s="50" t="s">
        <v>2</v>
      </c>
      <c r="D23" s="50" t="s">
        <v>3</v>
      </c>
      <c r="E23" s="51" t="s">
        <v>4</v>
      </c>
      <c r="M23" s="79" t="s">
        <v>4</v>
      </c>
      <c r="N23" s="82">
        <f>SUM(N21:N22)</f>
        <v>426611730</v>
      </c>
    </row>
    <row r="24" spans="2:19" ht="17">
      <c r="B24" s="44" t="s">
        <v>5</v>
      </c>
      <c r="C24" s="45">
        <v>532500</v>
      </c>
      <c r="D24" s="46">
        <v>1</v>
      </c>
      <c r="E24" s="47">
        <f t="shared" ref="E24:E32" si="1">C24*D24</f>
        <v>532500</v>
      </c>
    </row>
    <row r="25" spans="2:19" ht="17">
      <c r="B25" s="14" t="s">
        <v>6</v>
      </c>
      <c r="C25" s="15">
        <v>234600</v>
      </c>
      <c r="D25" s="16">
        <v>1</v>
      </c>
      <c r="E25" s="17">
        <f t="shared" si="1"/>
        <v>234600</v>
      </c>
      <c r="M25" s="85"/>
    </row>
    <row r="26" spans="2:19" ht="17">
      <c r="B26" s="14" t="s">
        <v>7</v>
      </c>
      <c r="C26" s="15">
        <v>274200</v>
      </c>
      <c r="D26" s="16">
        <v>1</v>
      </c>
      <c r="E26" s="17">
        <f t="shared" si="1"/>
        <v>274200</v>
      </c>
      <c r="M26" s="89" t="s">
        <v>45</v>
      </c>
      <c r="N26" s="89" t="s">
        <v>48</v>
      </c>
      <c r="O26" s="90" t="s">
        <v>51</v>
      </c>
      <c r="P26" s="91" t="s">
        <v>52</v>
      </c>
    </row>
    <row r="27" spans="2:19" ht="17">
      <c r="B27" s="14" t="s">
        <v>8</v>
      </c>
      <c r="C27" s="15">
        <v>318800</v>
      </c>
      <c r="D27" s="16">
        <v>1</v>
      </c>
      <c r="E27" s="17">
        <f t="shared" si="1"/>
        <v>318800</v>
      </c>
      <c r="M27" s="79" t="s">
        <v>53</v>
      </c>
      <c r="N27" s="81">
        <v>247593889</v>
      </c>
      <c r="O27" s="87">
        <v>2776812</v>
      </c>
      <c r="P27" s="86">
        <f>N27/O27</f>
        <v>89.164800857962291</v>
      </c>
    </row>
    <row r="28" spans="2:19" ht="17">
      <c r="B28" s="14" t="s">
        <v>9</v>
      </c>
      <c r="C28" s="15">
        <v>309900</v>
      </c>
      <c r="D28" s="16">
        <v>1</v>
      </c>
      <c r="E28" s="17">
        <f t="shared" si="1"/>
        <v>309900</v>
      </c>
      <c r="M28" s="79" t="s">
        <v>54</v>
      </c>
      <c r="N28" s="81">
        <v>179017841</v>
      </c>
      <c r="O28" s="87">
        <v>4611176</v>
      </c>
      <c r="P28" s="86">
        <f>N28/O28</f>
        <v>38.822599918111997</v>
      </c>
    </row>
    <row r="29" spans="2:19" ht="17">
      <c r="B29" s="14" t="s">
        <v>10</v>
      </c>
      <c r="C29" s="15">
        <v>205700</v>
      </c>
      <c r="D29" s="16">
        <v>1</v>
      </c>
      <c r="E29" s="17">
        <f t="shared" si="1"/>
        <v>205700</v>
      </c>
      <c r="M29" s="79" t="s">
        <v>4</v>
      </c>
      <c r="N29" s="82">
        <f ca="1">SUM(N28:N30)</f>
        <v>426611730</v>
      </c>
      <c r="O29" s="88"/>
      <c r="P29" s="86">
        <f>SUM(P27:P28)</f>
        <v>127.98740077607428</v>
      </c>
    </row>
    <row r="30" spans="2:19" ht="34">
      <c r="B30" s="14" t="s">
        <v>11</v>
      </c>
      <c r="C30" s="15">
        <v>279600</v>
      </c>
      <c r="D30" s="16">
        <v>1</v>
      </c>
      <c r="E30" s="17">
        <f t="shared" si="1"/>
        <v>279600</v>
      </c>
    </row>
    <row r="31" spans="2:19" ht="34">
      <c r="B31" s="14" t="s">
        <v>12</v>
      </c>
      <c r="C31" s="15">
        <v>415300</v>
      </c>
      <c r="D31" s="16">
        <v>1</v>
      </c>
      <c r="E31" s="17">
        <f t="shared" si="1"/>
        <v>415300</v>
      </c>
    </row>
    <row r="32" spans="2:19" ht="35" thickBot="1">
      <c r="B32" s="58" t="s">
        <v>19</v>
      </c>
      <c r="C32" s="59">
        <v>987000</v>
      </c>
      <c r="D32" s="60">
        <v>1</v>
      </c>
      <c r="E32" s="61">
        <f t="shared" si="1"/>
        <v>987000</v>
      </c>
    </row>
    <row r="33" spans="2:5" ht="17" customHeight="1" thickTop="1" thickBot="1">
      <c r="B33" s="54" t="s">
        <v>13</v>
      </c>
      <c r="C33" s="55"/>
      <c r="D33" s="56"/>
      <c r="E33" s="57">
        <f>SUM(E23:E31)</f>
        <v>2570600</v>
      </c>
    </row>
    <row r="34" spans="2:5" ht="85">
      <c r="B34" s="48" t="s">
        <v>41</v>
      </c>
      <c r="C34" s="52"/>
      <c r="D34" s="52">
        <v>1</v>
      </c>
      <c r="E34" s="53">
        <v>317338</v>
      </c>
    </row>
    <row r="35" spans="2:5" ht="18" thickBot="1">
      <c r="B35" s="66" t="s">
        <v>15</v>
      </c>
      <c r="C35" s="66"/>
      <c r="D35" s="66"/>
      <c r="E35" s="67">
        <v>736238</v>
      </c>
    </row>
    <row r="36" spans="2:5" ht="19" thickTop="1" thickBot="1">
      <c r="B36" s="62" t="s">
        <v>16</v>
      </c>
      <c r="C36" s="63"/>
      <c r="D36" s="64"/>
      <c r="E36" s="65">
        <v>4611176</v>
      </c>
    </row>
  </sheetData>
  <mergeCells count="6">
    <mergeCell ref="Q20:R20"/>
    <mergeCell ref="B22:E22"/>
    <mergeCell ref="B5:E5"/>
    <mergeCell ref="B6:E6"/>
    <mergeCell ref="B16:D16"/>
    <mergeCell ref="B21:E21"/>
  </mergeCells>
  <phoneticPr fontId="12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2BAEE-43C7-914D-91EB-0153EFD83758}">
  <dimension ref="A2:V61"/>
  <sheetViews>
    <sheetView tabSelected="1" zoomScale="93" workbookViewId="0">
      <selection activeCell="A45" sqref="A1:N1048576"/>
    </sheetView>
  </sheetViews>
  <sheetFormatPr baseColWidth="10" defaultRowHeight="14"/>
  <cols>
    <col min="1" max="1" width="10.83203125" style="95"/>
    <col min="2" max="2" width="39.33203125" style="95" customWidth="1"/>
    <col min="3" max="3" width="13.6640625" style="95" customWidth="1"/>
    <col min="4" max="4" width="11.5" style="95" customWidth="1"/>
    <col min="5" max="5" width="13.83203125" style="95" customWidth="1"/>
    <col min="6" max="6" width="11.1640625" style="95" customWidth="1"/>
    <col min="7" max="7" width="11.33203125" style="95" customWidth="1"/>
    <col min="8" max="8" width="13.6640625" style="95" customWidth="1"/>
    <col min="9" max="9" width="12.6640625" style="95" customWidth="1"/>
    <col min="10" max="10" width="11.83203125" style="95" bestFit="1" customWidth="1"/>
    <col min="11" max="11" width="13.6640625" style="95" bestFit="1" customWidth="1"/>
    <col min="12" max="12" width="11.1640625" style="95" bestFit="1" customWidth="1"/>
    <col min="13" max="13" width="11.83203125" style="95" bestFit="1" customWidth="1"/>
    <col min="14" max="14" width="13.6640625" style="95" bestFit="1" customWidth="1"/>
    <col min="15" max="15" width="15.1640625" style="95" customWidth="1"/>
    <col min="16" max="22" width="10.83203125" style="95" customWidth="1"/>
    <col min="23" max="16384" width="10.83203125" style="95"/>
  </cols>
  <sheetData>
    <row r="2" spans="1:14" ht="15" thickBot="1"/>
    <row r="3" spans="1:14" ht="15" thickBot="1">
      <c r="B3" s="284" t="s">
        <v>43</v>
      </c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6"/>
    </row>
    <row r="4" spans="1:14">
      <c r="B4" s="96"/>
      <c r="C4" s="96"/>
      <c r="D4" s="96"/>
      <c r="E4" s="96"/>
    </row>
    <row r="5" spans="1:14" ht="15" thickBot="1">
      <c r="A5" s="93"/>
      <c r="B5" s="97"/>
      <c r="C5" s="97"/>
      <c r="D5" s="97"/>
      <c r="E5" s="97"/>
      <c r="F5" s="93"/>
      <c r="G5" s="93"/>
      <c r="H5" s="93"/>
      <c r="I5" s="93"/>
      <c r="J5" s="93"/>
      <c r="K5" s="93"/>
    </row>
    <row r="6" spans="1:14" ht="15" thickBot="1">
      <c r="A6" s="93"/>
      <c r="B6" s="98"/>
      <c r="C6" s="281" t="s">
        <v>61</v>
      </c>
      <c r="D6" s="282"/>
      <c r="E6" s="283"/>
      <c r="F6" s="281" t="s">
        <v>62</v>
      </c>
      <c r="G6" s="282"/>
      <c r="H6" s="282"/>
      <c r="I6" s="281" t="s">
        <v>63</v>
      </c>
      <c r="J6" s="282"/>
      <c r="K6" s="283"/>
      <c r="L6" s="281" t="s">
        <v>65</v>
      </c>
      <c r="M6" s="282"/>
      <c r="N6" s="283"/>
    </row>
    <row r="7" spans="1:14" ht="31" thickBot="1">
      <c r="A7" s="93"/>
      <c r="B7" s="154" t="s">
        <v>1</v>
      </c>
      <c r="C7" s="100" t="s">
        <v>2</v>
      </c>
      <c r="D7" s="101" t="s">
        <v>3</v>
      </c>
      <c r="E7" s="102" t="s">
        <v>4</v>
      </c>
      <c r="F7" s="100" t="s">
        <v>56</v>
      </c>
      <c r="G7" s="101" t="s">
        <v>57</v>
      </c>
      <c r="H7" s="103" t="s">
        <v>58</v>
      </c>
      <c r="I7" s="104" t="s">
        <v>64</v>
      </c>
      <c r="J7" s="105" t="s">
        <v>59</v>
      </c>
      <c r="K7" s="106" t="s">
        <v>60</v>
      </c>
      <c r="L7" s="160" t="s">
        <v>64</v>
      </c>
      <c r="M7" s="161" t="s">
        <v>59</v>
      </c>
      <c r="N7" s="163" t="s">
        <v>60</v>
      </c>
    </row>
    <row r="8" spans="1:14" ht="30">
      <c r="B8" s="107" t="s">
        <v>5</v>
      </c>
      <c r="C8" s="172">
        <v>658000</v>
      </c>
      <c r="D8" s="108">
        <v>78</v>
      </c>
      <c r="E8" s="166">
        <f>TablaOpción176[[#This Row],[PRECIO UNITARIO]]*TablaOpción176[[#This Row],[CANTIDAD]]</f>
        <v>51324000</v>
      </c>
      <c r="F8" s="176">
        <v>532500</v>
      </c>
      <c r="G8" s="109">
        <v>86</v>
      </c>
      <c r="H8" s="181">
        <f>TablaOpción176[[#This Row],[PRECIO UNITARIO2]]*TablaOpción176[[#This Row],[CANTIDAD3]]</f>
        <v>45795000</v>
      </c>
      <c r="I8" s="184">
        <v>524320</v>
      </c>
      <c r="J8" s="108">
        <v>87</v>
      </c>
      <c r="K8" s="189">
        <f>TablaOpción176[[#This Row],[PRECIO UNITARIO3]]*TablaOpción176[[#This Row],[CANTIDAD2]]</f>
        <v>45615840</v>
      </c>
      <c r="L8" s="195">
        <f>(TablaOpción176[[#This Row],[PRECIO UNITARIO]]+TablaOpción176[[#This Row],[PRECIO UNITARIO2]]+TablaOpción176[[#This Row],[PRECIO UNITARIO3]])/3</f>
        <v>571606.66666666663</v>
      </c>
      <c r="M8" s="162">
        <f>(D8+G8+J8)/3</f>
        <v>83.666666666666671</v>
      </c>
      <c r="N8" s="197">
        <f>(TablaOpción176[[#This Row],[TOTAL]]+TablaOpción176[[#This Row],[TOTAL4]]+TablaOpción176[[#This Row],[TOTAL2]])/3</f>
        <v>47578280</v>
      </c>
    </row>
    <row r="9" spans="1:14" ht="15">
      <c r="B9" s="110" t="s">
        <v>6</v>
      </c>
      <c r="C9" s="173">
        <v>217000</v>
      </c>
      <c r="D9" s="111">
        <v>78</v>
      </c>
      <c r="E9" s="167">
        <f>TablaOpción176[[#This Row],[PRECIO UNITARIO]]*TablaOpción176[[#This Row],[CANTIDAD]]</f>
        <v>16926000</v>
      </c>
      <c r="F9" s="177">
        <v>234600</v>
      </c>
      <c r="G9" s="109">
        <v>86</v>
      </c>
      <c r="H9" s="182">
        <f>TablaOpción176[[#This Row],[PRECIO UNITARIO2]]*TablaOpción176[[#This Row],[CANTIDAD3]]</f>
        <v>20175600</v>
      </c>
      <c r="I9" s="185">
        <v>217580</v>
      </c>
      <c r="J9" s="108">
        <v>87</v>
      </c>
      <c r="K9" s="189">
        <f>TablaOpción176[[#This Row],[PRECIO UNITARIO3]]*TablaOpción176[[#This Row],[CANTIDAD2]]</f>
        <v>18929460</v>
      </c>
      <c r="L9" s="195">
        <f>(TablaOpción176[[#This Row],[PRECIO UNITARIO]]+TablaOpción176[[#This Row],[PRECIO UNITARIO2]]+TablaOpción176[[#This Row],[PRECIO UNITARIO3]])/3</f>
        <v>223060</v>
      </c>
      <c r="M9" s="162">
        <f t="shared" ref="M9:M15" si="0">(D9+G9+J9)/3</f>
        <v>83.666666666666671</v>
      </c>
      <c r="N9" s="197">
        <f>(TablaOpción176[[#This Row],[TOTAL]]+TablaOpción176[[#This Row],[TOTAL4]]+TablaOpción176[[#This Row],[TOTAL2]])/3</f>
        <v>18677020</v>
      </c>
    </row>
    <row r="10" spans="1:14" ht="15">
      <c r="B10" s="110" t="s">
        <v>7</v>
      </c>
      <c r="C10" s="173">
        <v>338000</v>
      </c>
      <c r="D10" s="111">
        <v>78</v>
      </c>
      <c r="E10" s="167">
        <f>TablaOpción176[[#This Row],[PRECIO UNITARIO]]*TablaOpción176[[#This Row],[CANTIDAD]]</f>
        <v>26364000</v>
      </c>
      <c r="F10" s="177">
        <v>274200</v>
      </c>
      <c r="G10" s="109">
        <v>86</v>
      </c>
      <c r="H10" s="182">
        <f>TablaOpción176[[#This Row],[PRECIO UNITARIO2]]*TablaOpción176[[#This Row],[CANTIDAD3]]</f>
        <v>23581200</v>
      </c>
      <c r="I10" s="185">
        <v>251830</v>
      </c>
      <c r="J10" s="108">
        <v>87</v>
      </c>
      <c r="K10" s="189">
        <f>TablaOpción176[[#This Row],[PRECIO UNITARIO3]]*TablaOpción176[[#This Row],[CANTIDAD2]]</f>
        <v>21909210</v>
      </c>
      <c r="L10" s="195">
        <f>(TablaOpción176[[#This Row],[PRECIO UNITARIO]]+TablaOpción176[[#This Row],[PRECIO UNITARIO2]]+TablaOpción176[[#This Row],[PRECIO UNITARIO3]])/3</f>
        <v>288010</v>
      </c>
      <c r="M10" s="162">
        <f t="shared" si="0"/>
        <v>83.666666666666671</v>
      </c>
      <c r="N10" s="197">
        <f>(TablaOpción176[[#This Row],[TOTAL]]+TablaOpción176[[#This Row],[TOTAL4]]+TablaOpción176[[#This Row],[TOTAL2]])/3</f>
        <v>23951470</v>
      </c>
    </row>
    <row r="11" spans="1:14" ht="15">
      <c r="B11" s="110" t="s">
        <v>8</v>
      </c>
      <c r="C11" s="173">
        <v>303000</v>
      </c>
      <c r="D11" s="111">
        <v>78</v>
      </c>
      <c r="E11" s="167">
        <f>TablaOpción176[[#This Row],[PRECIO UNITARIO]]*TablaOpción176[[#This Row],[CANTIDAD]]</f>
        <v>23634000</v>
      </c>
      <c r="F11" s="177">
        <v>318800</v>
      </c>
      <c r="G11" s="109">
        <v>86</v>
      </c>
      <c r="H11" s="182">
        <f>TablaOpción176[[#This Row],[PRECIO UNITARIO2]]*TablaOpción176[[#This Row],[CANTIDAD3]]</f>
        <v>27416800</v>
      </c>
      <c r="I11" s="185">
        <v>327470</v>
      </c>
      <c r="J11" s="108">
        <v>87</v>
      </c>
      <c r="K11" s="189">
        <f>TablaOpción176[[#This Row],[PRECIO UNITARIO3]]*TablaOpción176[[#This Row],[CANTIDAD2]]</f>
        <v>28489890</v>
      </c>
      <c r="L11" s="195">
        <f>(TablaOpción176[[#This Row],[PRECIO UNITARIO]]+TablaOpción176[[#This Row],[PRECIO UNITARIO2]]+TablaOpción176[[#This Row],[PRECIO UNITARIO3]])/3</f>
        <v>316423.33333333331</v>
      </c>
      <c r="M11" s="162">
        <f t="shared" si="0"/>
        <v>83.666666666666671</v>
      </c>
      <c r="N11" s="197">
        <f>(TablaOpción176[[#This Row],[TOTAL]]+TablaOpción176[[#This Row],[TOTAL4]]+TablaOpción176[[#This Row],[TOTAL2]])/3</f>
        <v>26513563.333333332</v>
      </c>
    </row>
    <row r="12" spans="1:14" ht="15">
      <c r="B12" s="110" t="s">
        <v>9</v>
      </c>
      <c r="C12" s="173">
        <v>365000</v>
      </c>
      <c r="D12" s="111">
        <v>78</v>
      </c>
      <c r="E12" s="167">
        <f>TablaOpción176[[#This Row],[PRECIO UNITARIO]]*TablaOpción176[[#This Row],[CANTIDAD]]</f>
        <v>28470000</v>
      </c>
      <c r="F12" s="177">
        <v>335900</v>
      </c>
      <c r="G12" s="109">
        <v>86</v>
      </c>
      <c r="H12" s="182">
        <f>TablaOpción176[[#This Row],[PRECIO UNITARIO2]]*TablaOpción176[[#This Row],[CANTIDAD3]]</f>
        <v>28887400</v>
      </c>
      <c r="I12" s="185">
        <v>328030</v>
      </c>
      <c r="J12" s="108">
        <v>87</v>
      </c>
      <c r="K12" s="189">
        <f>TablaOpción176[[#This Row],[PRECIO UNITARIO3]]*TablaOpción176[[#This Row],[CANTIDAD2]]</f>
        <v>28538610</v>
      </c>
      <c r="L12" s="195">
        <f>(TablaOpción176[[#This Row],[PRECIO UNITARIO]]+TablaOpción176[[#This Row],[PRECIO UNITARIO2]]+TablaOpción176[[#This Row],[PRECIO UNITARIO3]])/3</f>
        <v>342976.66666666669</v>
      </c>
      <c r="M12" s="162">
        <f t="shared" si="0"/>
        <v>83.666666666666671</v>
      </c>
      <c r="N12" s="197">
        <f>(TablaOpción176[[#This Row],[TOTAL]]+TablaOpción176[[#This Row],[TOTAL4]]+TablaOpción176[[#This Row],[TOTAL2]])/3</f>
        <v>28632003.333333332</v>
      </c>
    </row>
    <row r="13" spans="1:14" ht="15">
      <c r="B13" s="110" t="s">
        <v>10</v>
      </c>
      <c r="C13" s="173">
        <v>222000</v>
      </c>
      <c r="D13" s="111">
        <v>78</v>
      </c>
      <c r="E13" s="167">
        <f>TablaOpción176[[#This Row],[PRECIO UNITARIO]]*TablaOpción176[[#This Row],[CANTIDAD]]</f>
        <v>17316000</v>
      </c>
      <c r="F13" s="177">
        <v>205700</v>
      </c>
      <c r="G13" s="109">
        <v>86</v>
      </c>
      <c r="H13" s="182">
        <f>TablaOpción176[[#This Row],[PRECIO UNITARIO2]]*TablaOpción176[[#This Row],[CANTIDAD3]]</f>
        <v>17690200</v>
      </c>
      <c r="I13" s="185">
        <v>208820</v>
      </c>
      <c r="J13" s="108">
        <v>87</v>
      </c>
      <c r="K13" s="189">
        <f>TablaOpción176[[#This Row],[PRECIO UNITARIO3]]*TablaOpción176[[#This Row],[CANTIDAD2]]</f>
        <v>18167340</v>
      </c>
      <c r="L13" s="195">
        <f>(TablaOpción176[[#This Row],[PRECIO UNITARIO]]+TablaOpción176[[#This Row],[PRECIO UNITARIO2]]+TablaOpción176[[#This Row],[PRECIO UNITARIO3]])/3</f>
        <v>212173.33333333334</v>
      </c>
      <c r="M13" s="162">
        <f t="shared" si="0"/>
        <v>83.666666666666671</v>
      </c>
      <c r="N13" s="197">
        <f>(TablaOpción176[[#This Row],[TOTAL]]+TablaOpción176[[#This Row],[TOTAL4]]+TablaOpción176[[#This Row],[TOTAL2]])/3</f>
        <v>17724513.333333332</v>
      </c>
    </row>
    <row r="14" spans="1:14" ht="30">
      <c r="B14" s="110" t="s">
        <v>11</v>
      </c>
      <c r="C14" s="173">
        <v>139000</v>
      </c>
      <c r="D14" s="111">
        <v>78</v>
      </c>
      <c r="E14" s="167">
        <f>TablaOpción176[[#This Row],[PRECIO UNITARIO]]*TablaOpción176[[#This Row],[CANTIDAD]]</f>
        <v>10842000</v>
      </c>
      <c r="F14" s="177">
        <v>119700</v>
      </c>
      <c r="G14" s="109">
        <v>86</v>
      </c>
      <c r="H14" s="182">
        <f>TablaOpción176[[#This Row],[PRECIO UNITARIO2]]*TablaOpción176[[#This Row],[CANTIDAD3]]</f>
        <v>10294200</v>
      </c>
      <c r="I14" s="185">
        <v>124020</v>
      </c>
      <c r="J14" s="108">
        <v>87</v>
      </c>
      <c r="K14" s="189">
        <f>TablaOpción176[[#This Row],[PRECIO UNITARIO3]]*TablaOpción176[[#This Row],[CANTIDAD2]]</f>
        <v>10789740</v>
      </c>
      <c r="L14" s="195">
        <f>(TablaOpción176[[#This Row],[PRECIO UNITARIO]]+TablaOpción176[[#This Row],[PRECIO UNITARIO2]]+TablaOpción176[[#This Row],[PRECIO UNITARIO3]])/3</f>
        <v>127573.33333333333</v>
      </c>
      <c r="M14" s="162">
        <f t="shared" si="0"/>
        <v>83.666666666666671</v>
      </c>
      <c r="N14" s="197">
        <f>(TablaOpción176[[#This Row],[TOTAL]]+TablaOpción176[[#This Row],[TOTAL4]]+TablaOpción176[[#This Row],[TOTAL2]])/3</f>
        <v>10641980</v>
      </c>
    </row>
    <row r="15" spans="1:14" ht="31" thickBot="1">
      <c r="B15" s="112" t="s">
        <v>12</v>
      </c>
      <c r="C15" s="174">
        <v>203000</v>
      </c>
      <c r="D15" s="113">
        <v>78</v>
      </c>
      <c r="E15" s="168">
        <f>TablaOpción176[[#This Row],[PRECIO UNITARIO]]*TablaOpción176[[#This Row],[CANTIDAD]]</f>
        <v>15834000</v>
      </c>
      <c r="F15" s="178">
        <v>195000</v>
      </c>
      <c r="G15" s="114">
        <v>86</v>
      </c>
      <c r="H15" s="183">
        <f>TablaOpción176[[#This Row],[PRECIO UNITARIO2]]*TablaOpción176[[#This Row],[CANTIDAD3]]</f>
        <v>16770000</v>
      </c>
      <c r="I15" s="186">
        <v>190990</v>
      </c>
      <c r="J15" s="149">
        <v>87</v>
      </c>
      <c r="K15" s="190">
        <f>TablaOpción176[[#This Row],[PRECIO UNITARIO3]]*TablaOpción176[[#This Row],[CANTIDAD2]]</f>
        <v>16616130</v>
      </c>
      <c r="L15" s="195">
        <f>(TablaOpción176[[#This Row],[PRECIO UNITARIO]]+TablaOpción176[[#This Row],[PRECIO UNITARIO2]]+TablaOpción176[[#This Row],[PRECIO UNITARIO3]])/3</f>
        <v>196330</v>
      </c>
      <c r="M15" s="162">
        <f t="shared" si="0"/>
        <v>83.666666666666671</v>
      </c>
      <c r="N15" s="197">
        <f>(TablaOpción176[[#This Row],[TOTAL]]+TablaOpción176[[#This Row],[TOTAL4]]+TablaOpción176[[#This Row],[TOTAL2]])/3</f>
        <v>16406710</v>
      </c>
    </row>
    <row r="16" spans="1:14" ht="16" thickBot="1">
      <c r="B16" s="115" t="s">
        <v>13</v>
      </c>
      <c r="C16" s="165">
        <f>SUM(TablaOpción176[PRECIO UNITARIO])</f>
        <v>2445000</v>
      </c>
      <c r="D16" s="117"/>
      <c r="E16" s="169">
        <f>SUM(TablaOpción176[TOTAL])</f>
        <v>190710000</v>
      </c>
      <c r="F16" s="169">
        <f>SUM(TablaOpción176[PRECIO UNITARIO2])</f>
        <v>2216400</v>
      </c>
      <c r="G16" s="117"/>
      <c r="H16" s="169">
        <f>SUM(TablaOpción176[TOTAL4])</f>
        <v>190610400</v>
      </c>
      <c r="I16" s="169">
        <f>SUM(TablaOpción176[PRECIO UNITARIO3])</f>
        <v>2173060</v>
      </c>
      <c r="J16" s="117"/>
      <c r="K16" s="191">
        <f>SUM(TablaOpción176[TOTAL2])</f>
        <v>189056220</v>
      </c>
      <c r="L16" s="196">
        <f>SUM(L8:L15)</f>
        <v>2278153.333333333</v>
      </c>
      <c r="M16" s="117"/>
      <c r="N16" s="169">
        <f>SUM(N8:N15)</f>
        <v>190125540</v>
      </c>
    </row>
    <row r="17" spans="2:22" ht="17" customHeight="1">
      <c r="B17" s="119" t="s">
        <v>41</v>
      </c>
      <c r="C17" s="150">
        <v>218094</v>
      </c>
      <c r="D17" s="120">
        <v>78</v>
      </c>
      <c r="E17" s="170">
        <f>C17*D17</f>
        <v>17011332</v>
      </c>
      <c r="F17" s="179">
        <v>197702</v>
      </c>
      <c r="G17" s="109">
        <v>86</v>
      </c>
      <c r="H17" s="121">
        <f>F17*G17</f>
        <v>17002372</v>
      </c>
      <c r="I17" s="187">
        <v>205000.4</v>
      </c>
      <c r="J17" s="120">
        <v>87</v>
      </c>
      <c r="K17" s="192">
        <f>I17*J17</f>
        <v>17835034.800000001</v>
      </c>
      <c r="L17" s="187">
        <f>(C17+F17+I17)/3</f>
        <v>206932.13333333333</v>
      </c>
      <c r="M17" s="120">
        <v>83</v>
      </c>
      <c r="N17" s="151">
        <f>(E17+H17+K17)/3</f>
        <v>17282912.933333334</v>
      </c>
    </row>
    <row r="18" spans="2:22" ht="16" thickBot="1">
      <c r="B18" s="122" t="s">
        <v>15</v>
      </c>
      <c r="C18" s="155">
        <v>505987.86</v>
      </c>
      <c r="D18" s="140">
        <v>78</v>
      </c>
      <c r="E18" s="171">
        <f>C18*D18</f>
        <v>39467053.079999998</v>
      </c>
      <c r="F18" s="180">
        <v>458680</v>
      </c>
      <c r="G18" s="156">
        <v>86</v>
      </c>
      <c r="H18" s="157">
        <f>F18*G18</f>
        <v>39446480</v>
      </c>
      <c r="I18" s="188">
        <v>451831</v>
      </c>
      <c r="J18" s="144">
        <v>87</v>
      </c>
      <c r="K18" s="193">
        <f>I18*J18</f>
        <v>39309297</v>
      </c>
      <c r="L18" s="187">
        <f>(C18+F18+I18)/3</f>
        <v>472166.28666666662</v>
      </c>
      <c r="M18" s="144">
        <v>83</v>
      </c>
      <c r="N18" s="151">
        <f>(E18+H18+K18)/3</f>
        <v>39407610.026666664</v>
      </c>
    </row>
    <row r="19" spans="2:22" ht="17" customHeight="1" thickBot="1">
      <c r="B19" s="158" t="s">
        <v>16</v>
      </c>
      <c r="C19" s="175">
        <f>C16+C17+C18</f>
        <v>3169081.86</v>
      </c>
      <c r="D19" s="123"/>
      <c r="E19" s="152">
        <f>E16+E17+E18</f>
        <v>247188385.07999998</v>
      </c>
      <c r="F19" s="153">
        <f t="shared" ref="F19:K19" si="1">F16+F17+F18</f>
        <v>2872782</v>
      </c>
      <c r="G19" s="123"/>
      <c r="H19" s="152">
        <f t="shared" si="1"/>
        <v>247059252</v>
      </c>
      <c r="I19" s="153">
        <f t="shared" si="1"/>
        <v>2829891.4</v>
      </c>
      <c r="J19" s="123"/>
      <c r="K19" s="194">
        <f t="shared" si="1"/>
        <v>246200551.80000001</v>
      </c>
      <c r="L19" s="153">
        <f>L16+L17+L18</f>
        <v>2957251.7533333329</v>
      </c>
      <c r="M19" s="123"/>
      <c r="N19" s="152">
        <f>N16+N17+N18</f>
        <v>246816062.96000001</v>
      </c>
    </row>
    <row r="20" spans="2:22" ht="15" thickBot="1">
      <c r="E20" s="92"/>
    </row>
    <row r="21" spans="2:22" ht="15" thickBot="1">
      <c r="B21" s="284" t="s">
        <v>44</v>
      </c>
      <c r="C21" s="285"/>
      <c r="D21" s="285"/>
      <c r="E21" s="285"/>
      <c r="F21" s="285"/>
      <c r="G21" s="285"/>
      <c r="H21" s="285"/>
      <c r="I21" s="285"/>
      <c r="J21" s="285"/>
      <c r="K21" s="285"/>
      <c r="L21" s="285"/>
      <c r="M21" s="285"/>
      <c r="N21" s="286"/>
    </row>
    <row r="22" spans="2:22" ht="15" thickBot="1">
      <c r="B22" s="287"/>
      <c r="C22" s="287"/>
      <c r="D22" s="287"/>
      <c r="E22" s="287"/>
    </row>
    <row r="23" spans="2:22" ht="31" thickBot="1">
      <c r="B23" s="99" t="s">
        <v>1</v>
      </c>
      <c r="C23" s="100" t="s">
        <v>2</v>
      </c>
      <c r="D23" s="103" t="s">
        <v>3</v>
      </c>
      <c r="E23" s="99" t="s">
        <v>4</v>
      </c>
      <c r="F23" s="100" t="s">
        <v>56</v>
      </c>
      <c r="G23" s="101" t="s">
        <v>57</v>
      </c>
      <c r="H23" s="102" t="s">
        <v>58</v>
      </c>
      <c r="I23" s="100" t="s">
        <v>64</v>
      </c>
      <c r="J23" s="101" t="s">
        <v>59</v>
      </c>
      <c r="K23" s="102" t="s">
        <v>60</v>
      </c>
      <c r="L23" s="100" t="s">
        <v>66</v>
      </c>
      <c r="M23" s="101" t="s">
        <v>57</v>
      </c>
      <c r="N23" s="102" t="s">
        <v>67</v>
      </c>
    </row>
    <row r="24" spans="2:22" ht="30">
      <c r="B24" s="124" t="s">
        <v>5</v>
      </c>
      <c r="C24" s="198">
        <v>658000</v>
      </c>
      <c r="D24" s="108">
        <v>35</v>
      </c>
      <c r="E24" s="207">
        <f>TablaOpción289[[#This Row],[PRECIO UNITARIO]]*TablaOpción289[[#This Row],[CANTIDAD]]</f>
        <v>23030000</v>
      </c>
      <c r="F24" s="213">
        <v>532499.5</v>
      </c>
      <c r="G24" s="126">
        <v>38</v>
      </c>
      <c r="H24" s="216">
        <f>TablaOpción289[[#This Row],[PRECIO UNITARIO2]]*TablaOpción289[[#This Row],[CANTIDAD3]]</f>
        <v>20234981</v>
      </c>
      <c r="I24" s="213">
        <v>524320</v>
      </c>
      <c r="J24" s="126">
        <v>37</v>
      </c>
      <c r="K24" s="216">
        <f>TablaOpción289[[#This Row],[PRECIO UNITARIO3]]*TablaOpción289[[#This Row],[CANTIDAD2]]</f>
        <v>19399840</v>
      </c>
      <c r="L24" s="213">
        <f>(TablaOpción289[[#This Row],[PRECIO UNITARIO]]+TablaOpción289[[#This Row],[PRECIO UNITARIO2]]+TablaOpción289[[#This Row],[PRECIO UNITARIO3]])/3</f>
        <v>571606.5</v>
      </c>
      <c r="M24" s="164">
        <f>(TablaOpción289[[#This Row],[CANTIDAD]]+TablaOpción289[[#This Row],[CANTIDAD3]]+TablaOpción289[[#This Row],[CANTIDAD2]])/3</f>
        <v>36.666666666666664</v>
      </c>
      <c r="N24" s="219">
        <f>(TablaOpción289[[#This Row],[TOTAL]]+TablaOpción289[[#This Row],[TOTAL4]]+TablaOpción289[[#This Row],[TOTAL2]])/3</f>
        <v>20888273.666666668</v>
      </c>
    </row>
    <row r="25" spans="2:22" ht="15">
      <c r="B25" s="127" t="s">
        <v>6</v>
      </c>
      <c r="C25" s="199">
        <v>217000</v>
      </c>
      <c r="D25" s="111">
        <v>35</v>
      </c>
      <c r="E25" s="208">
        <f>TablaOpción289[[#This Row],[PRECIO UNITARIO]]*TablaOpción289[[#This Row],[CANTIDAD]]</f>
        <v>7595000</v>
      </c>
      <c r="F25" s="214">
        <v>234600</v>
      </c>
      <c r="G25" s="126">
        <v>38</v>
      </c>
      <c r="H25" s="217">
        <f>TablaOpción289[[#This Row],[PRECIO UNITARIO2]]*TablaOpción289[[#This Row],[CANTIDAD3]]</f>
        <v>8914800</v>
      </c>
      <c r="I25" s="214">
        <v>217580</v>
      </c>
      <c r="J25" s="126">
        <v>37</v>
      </c>
      <c r="K25" s="217">
        <f>TablaOpción289[[#This Row],[PRECIO UNITARIO3]]*TablaOpción289[[#This Row],[CANTIDAD2]]</f>
        <v>8050460</v>
      </c>
      <c r="L25" s="213">
        <f>(TablaOpción289[[#This Row],[PRECIO UNITARIO]]+TablaOpción289[[#This Row],[PRECIO UNITARIO2]]+TablaOpción289[[#This Row],[PRECIO UNITARIO3]])/3</f>
        <v>223060</v>
      </c>
      <c r="M25" s="164">
        <f>(TablaOpción289[[#This Row],[CANTIDAD]]+TablaOpción289[[#This Row],[CANTIDAD3]]+TablaOpción289[[#This Row],[CANTIDAD2]])/3</f>
        <v>36.666666666666664</v>
      </c>
      <c r="N25" s="219">
        <f>(TablaOpción289[[#This Row],[TOTAL]]+TablaOpción289[[#This Row],[TOTAL4]]+TablaOpción289[[#This Row],[TOTAL2]])/3</f>
        <v>8186753.333333333</v>
      </c>
    </row>
    <row r="26" spans="2:22" ht="15">
      <c r="B26" s="127" t="s">
        <v>7</v>
      </c>
      <c r="C26" s="199">
        <v>338000</v>
      </c>
      <c r="D26" s="111">
        <v>35</v>
      </c>
      <c r="E26" s="208">
        <f>TablaOpción289[[#This Row],[PRECIO UNITARIO]]*TablaOpción289[[#This Row],[CANTIDAD]]</f>
        <v>11830000</v>
      </c>
      <c r="F26" s="214">
        <v>274200</v>
      </c>
      <c r="G26" s="126">
        <v>38</v>
      </c>
      <c r="H26" s="217">
        <f>TablaOpción289[[#This Row],[PRECIO UNITARIO2]]*TablaOpción289[[#This Row],[CANTIDAD3]]</f>
        <v>10419600</v>
      </c>
      <c r="I26" s="214">
        <v>251830</v>
      </c>
      <c r="J26" s="126">
        <v>37</v>
      </c>
      <c r="K26" s="217">
        <f>TablaOpción289[[#This Row],[PRECIO UNITARIO3]]*TablaOpción289[[#This Row],[CANTIDAD2]]</f>
        <v>9317710</v>
      </c>
      <c r="L26" s="213">
        <f>(TablaOpción289[[#This Row],[PRECIO UNITARIO]]+TablaOpción289[[#This Row],[PRECIO UNITARIO2]]+TablaOpción289[[#This Row],[PRECIO UNITARIO3]])/3</f>
        <v>288010</v>
      </c>
      <c r="M26" s="164">
        <f>(TablaOpción289[[#This Row],[CANTIDAD]]+TablaOpción289[[#This Row],[CANTIDAD3]]+TablaOpción289[[#This Row],[CANTIDAD2]])/3</f>
        <v>36.666666666666664</v>
      </c>
      <c r="N26" s="219">
        <f>(TablaOpción289[[#This Row],[TOTAL]]+TablaOpción289[[#This Row],[TOTAL4]]+TablaOpción289[[#This Row],[TOTAL2]])/3</f>
        <v>10522436.666666666</v>
      </c>
      <c r="V26" s="95" t="e" vm="1">
        <v>#VALUE!</v>
      </c>
    </row>
    <row r="27" spans="2:22" ht="15">
      <c r="B27" s="127" t="s">
        <v>8</v>
      </c>
      <c r="C27" s="199">
        <v>303000</v>
      </c>
      <c r="D27" s="111">
        <v>35</v>
      </c>
      <c r="E27" s="208">
        <f>TablaOpción289[[#This Row],[PRECIO UNITARIO]]*TablaOpción289[[#This Row],[CANTIDAD]]</f>
        <v>10605000</v>
      </c>
      <c r="F27" s="214">
        <v>318800</v>
      </c>
      <c r="G27" s="126">
        <v>38</v>
      </c>
      <c r="H27" s="217">
        <f>TablaOpción289[[#This Row],[PRECIO UNITARIO2]]*TablaOpción289[[#This Row],[CANTIDAD3]]</f>
        <v>12114400</v>
      </c>
      <c r="I27" s="214">
        <v>327470</v>
      </c>
      <c r="J27" s="126">
        <v>37</v>
      </c>
      <c r="K27" s="217">
        <f>TablaOpción289[[#This Row],[PRECIO UNITARIO3]]*TablaOpción289[[#This Row],[CANTIDAD2]]</f>
        <v>12116390</v>
      </c>
      <c r="L27" s="213">
        <f>(TablaOpción289[[#This Row],[PRECIO UNITARIO]]+TablaOpción289[[#This Row],[PRECIO UNITARIO2]]+TablaOpción289[[#This Row],[PRECIO UNITARIO3]])/3</f>
        <v>316423.33333333331</v>
      </c>
      <c r="M27" s="164">
        <f>(TablaOpción289[[#This Row],[CANTIDAD]]+TablaOpción289[[#This Row],[CANTIDAD3]]+TablaOpción289[[#This Row],[CANTIDAD2]])/3</f>
        <v>36.666666666666664</v>
      </c>
      <c r="N27" s="219">
        <f>(TablaOpción289[[#This Row],[TOTAL]]+TablaOpción289[[#This Row],[TOTAL4]]+TablaOpción289[[#This Row],[TOTAL2]])/3</f>
        <v>11611930</v>
      </c>
    </row>
    <row r="28" spans="2:22" ht="15">
      <c r="B28" s="127" t="s">
        <v>9</v>
      </c>
      <c r="C28" s="199">
        <v>365000</v>
      </c>
      <c r="D28" s="111">
        <v>35</v>
      </c>
      <c r="E28" s="208">
        <f>TablaOpción289[[#This Row],[PRECIO UNITARIO]]*TablaOpción289[[#This Row],[CANTIDAD]]</f>
        <v>12775000</v>
      </c>
      <c r="F28" s="214">
        <v>335900</v>
      </c>
      <c r="G28" s="126">
        <v>38</v>
      </c>
      <c r="H28" s="217">
        <f>TablaOpción289[[#This Row],[PRECIO UNITARIO2]]*TablaOpción289[[#This Row],[CANTIDAD3]]</f>
        <v>12764200</v>
      </c>
      <c r="I28" s="214">
        <v>328030</v>
      </c>
      <c r="J28" s="126">
        <v>37</v>
      </c>
      <c r="K28" s="217">
        <f>TablaOpción289[[#This Row],[PRECIO UNITARIO3]]*TablaOpción289[[#This Row],[CANTIDAD2]]</f>
        <v>12137110</v>
      </c>
      <c r="L28" s="213">
        <f>(TablaOpción289[[#This Row],[PRECIO UNITARIO]]+TablaOpción289[[#This Row],[PRECIO UNITARIO2]]+TablaOpción289[[#This Row],[PRECIO UNITARIO3]])/3</f>
        <v>342976.66666666669</v>
      </c>
      <c r="M28" s="164">
        <f>(TablaOpción289[[#This Row],[CANTIDAD]]+TablaOpción289[[#This Row],[CANTIDAD3]]+TablaOpción289[[#This Row],[CANTIDAD2]])/3</f>
        <v>36.666666666666664</v>
      </c>
      <c r="N28" s="219">
        <f>(TablaOpción289[[#This Row],[TOTAL]]+TablaOpción289[[#This Row],[TOTAL4]]+TablaOpción289[[#This Row],[TOTAL2]])/3</f>
        <v>12558770</v>
      </c>
    </row>
    <row r="29" spans="2:22" ht="15">
      <c r="B29" s="127" t="s">
        <v>10</v>
      </c>
      <c r="C29" s="199">
        <v>222000</v>
      </c>
      <c r="D29" s="111">
        <v>35</v>
      </c>
      <c r="E29" s="208">
        <f>TablaOpción289[[#This Row],[PRECIO UNITARIO]]*TablaOpción289[[#This Row],[CANTIDAD]]</f>
        <v>7770000</v>
      </c>
      <c r="F29" s="214">
        <v>205700</v>
      </c>
      <c r="G29" s="126">
        <v>38</v>
      </c>
      <c r="H29" s="217">
        <f>TablaOpción289[[#This Row],[PRECIO UNITARIO2]]*TablaOpción289[[#This Row],[CANTIDAD3]]</f>
        <v>7816600</v>
      </c>
      <c r="I29" s="214">
        <v>208820</v>
      </c>
      <c r="J29" s="126">
        <v>37</v>
      </c>
      <c r="K29" s="217">
        <f>TablaOpción289[[#This Row],[PRECIO UNITARIO3]]*TablaOpción289[[#This Row],[CANTIDAD2]]</f>
        <v>7726340</v>
      </c>
      <c r="L29" s="213">
        <f>(TablaOpción289[[#This Row],[PRECIO UNITARIO]]+TablaOpción289[[#This Row],[PRECIO UNITARIO2]]+TablaOpción289[[#This Row],[PRECIO UNITARIO3]])/3</f>
        <v>212173.33333333334</v>
      </c>
      <c r="M29" s="164">
        <f>(TablaOpción289[[#This Row],[CANTIDAD]]+TablaOpción289[[#This Row],[CANTIDAD3]]+TablaOpción289[[#This Row],[CANTIDAD2]])/3</f>
        <v>36.666666666666664</v>
      </c>
      <c r="N29" s="219">
        <f>(TablaOpción289[[#This Row],[TOTAL]]+TablaOpción289[[#This Row],[TOTAL4]]+TablaOpción289[[#This Row],[TOTAL2]])/3</f>
        <v>7770980</v>
      </c>
    </row>
    <row r="30" spans="2:22" ht="30">
      <c r="B30" s="127" t="s">
        <v>11</v>
      </c>
      <c r="C30" s="199">
        <v>139000</v>
      </c>
      <c r="D30" s="111">
        <v>35</v>
      </c>
      <c r="E30" s="208">
        <f>TablaOpción289[[#This Row],[PRECIO UNITARIO]]*TablaOpción289[[#This Row],[CANTIDAD]]</f>
        <v>4865000</v>
      </c>
      <c r="F30" s="214">
        <v>119700.1</v>
      </c>
      <c r="G30" s="126">
        <v>38</v>
      </c>
      <c r="H30" s="217">
        <f>TablaOpción289[[#This Row],[PRECIO UNITARIO2]]*TablaOpción289[[#This Row],[CANTIDAD3]]</f>
        <v>4548603.8</v>
      </c>
      <c r="I30" s="214">
        <v>124020</v>
      </c>
      <c r="J30" s="126">
        <v>37</v>
      </c>
      <c r="K30" s="217">
        <f>TablaOpción289[[#This Row],[PRECIO UNITARIO3]]*TablaOpción289[[#This Row],[CANTIDAD2]]</f>
        <v>4588740</v>
      </c>
      <c r="L30" s="213">
        <f>(TablaOpción289[[#This Row],[PRECIO UNITARIO]]+TablaOpción289[[#This Row],[PRECIO UNITARIO2]]+TablaOpción289[[#This Row],[PRECIO UNITARIO3]])/3</f>
        <v>127573.36666666665</v>
      </c>
      <c r="M30" s="164">
        <f>(TablaOpción289[[#This Row],[CANTIDAD]]+TablaOpción289[[#This Row],[CANTIDAD3]]+TablaOpción289[[#This Row],[CANTIDAD2]])/3</f>
        <v>36.666666666666664</v>
      </c>
      <c r="N30" s="219">
        <f>(TablaOpción289[[#This Row],[TOTAL]]+TablaOpción289[[#This Row],[TOTAL4]]+TablaOpción289[[#This Row],[TOTAL2]])/3</f>
        <v>4667447.9333333336</v>
      </c>
    </row>
    <row r="31" spans="2:22" ht="30">
      <c r="B31" s="127" t="s">
        <v>12</v>
      </c>
      <c r="C31" s="199">
        <v>523000</v>
      </c>
      <c r="D31" s="111">
        <v>35</v>
      </c>
      <c r="E31" s="208">
        <f>TablaOpción289[[#This Row],[PRECIO UNITARIO]]*TablaOpción289[[#This Row],[CANTIDAD]]</f>
        <v>18305000</v>
      </c>
      <c r="F31" s="214">
        <v>446200</v>
      </c>
      <c r="G31" s="126">
        <v>38</v>
      </c>
      <c r="H31" s="217">
        <f>TablaOpción289[[#This Row],[PRECIO UNITARIO2]]*TablaOpción289[[#This Row],[CANTIDAD3]]</f>
        <v>16955600</v>
      </c>
      <c r="I31" s="214">
        <v>419500</v>
      </c>
      <c r="J31" s="126">
        <v>37</v>
      </c>
      <c r="K31" s="217">
        <f>TablaOpción289[[#This Row],[PRECIO UNITARIO3]]*TablaOpción289[[#This Row],[CANTIDAD2]]</f>
        <v>15521500</v>
      </c>
      <c r="L31" s="213">
        <f>(TablaOpción289[[#This Row],[PRECIO UNITARIO]]+TablaOpción289[[#This Row],[PRECIO UNITARIO2]]+TablaOpción289[[#This Row],[PRECIO UNITARIO3]])/3</f>
        <v>462900</v>
      </c>
      <c r="M31" s="164">
        <f>(TablaOpción289[[#This Row],[CANTIDAD]]+TablaOpción289[[#This Row],[CANTIDAD3]]+TablaOpción289[[#This Row],[CANTIDAD2]])/3</f>
        <v>36.666666666666664</v>
      </c>
      <c r="N31" s="219">
        <f>(TablaOpción289[[#This Row],[TOTAL]]+TablaOpción289[[#This Row],[TOTAL4]]+TablaOpción289[[#This Row],[TOTAL2]])/3</f>
        <v>16927366.666666668</v>
      </c>
    </row>
    <row r="32" spans="2:22" ht="31" thickBot="1">
      <c r="B32" s="128" t="s">
        <v>19</v>
      </c>
      <c r="C32" s="200">
        <v>885000</v>
      </c>
      <c r="D32" s="113">
        <v>35</v>
      </c>
      <c r="E32" s="209">
        <f>TablaOpción289[[#This Row],[PRECIO UNITARIO]]*TablaOpción289[[#This Row],[CANTIDAD]]</f>
        <v>30975000</v>
      </c>
      <c r="F32" s="215">
        <v>928000</v>
      </c>
      <c r="G32" s="130">
        <v>38</v>
      </c>
      <c r="H32" s="218">
        <f>TablaOpción289[[#This Row],[PRECIO UNITARIO2]]*TablaOpción289[[#This Row],[CANTIDAD3]]</f>
        <v>35264000</v>
      </c>
      <c r="I32" s="215">
        <v>1035000</v>
      </c>
      <c r="J32" s="130">
        <v>37</v>
      </c>
      <c r="K32" s="218">
        <f>TablaOpción289[[#This Row],[PRECIO UNITARIO3]]*TablaOpción289[[#This Row],[CANTIDAD2]]</f>
        <v>38295000</v>
      </c>
      <c r="L32" s="213">
        <f>(TablaOpción289[[#This Row],[PRECIO UNITARIO]]+TablaOpción289[[#This Row],[PRECIO UNITARIO2]]+TablaOpción289[[#This Row],[PRECIO UNITARIO3]])/3</f>
        <v>949333.33333333337</v>
      </c>
      <c r="M32" s="164">
        <f>(TablaOpción289[[#This Row],[CANTIDAD]]+TablaOpción289[[#This Row],[CANTIDAD3]]+TablaOpción289[[#This Row],[CANTIDAD2]])/3</f>
        <v>36.666666666666664</v>
      </c>
      <c r="N32" s="219">
        <f>(TablaOpción289[[#This Row],[TOTAL]]+TablaOpción289[[#This Row],[TOTAL4]]+TablaOpción289[[#This Row],[TOTAL2]])/3</f>
        <v>34844666.666666664</v>
      </c>
    </row>
    <row r="33" spans="2:14" ht="16" thickBot="1">
      <c r="B33" s="131" t="s">
        <v>13</v>
      </c>
      <c r="C33" s="132">
        <f>SUM(C24:C32)</f>
        <v>3650000</v>
      </c>
      <c r="D33" s="132"/>
      <c r="E33" s="210">
        <f>SUM(E24:E32)</f>
        <v>127750000</v>
      </c>
      <c r="F33" s="205">
        <f t="shared" ref="F33:K33" si="2">SUM(F24:F32)</f>
        <v>3395599.6</v>
      </c>
      <c r="G33" s="132"/>
      <c r="H33" s="132">
        <f t="shared" si="2"/>
        <v>129032784.8</v>
      </c>
      <c r="I33" s="132">
        <f t="shared" si="2"/>
        <v>3436570</v>
      </c>
      <c r="J33" s="132"/>
      <c r="K33" s="205">
        <f t="shared" si="2"/>
        <v>127153090</v>
      </c>
      <c r="L33" s="132">
        <f>SUM(L24:L32)</f>
        <v>3494056.5333333337</v>
      </c>
      <c r="M33" s="132"/>
      <c r="N33" s="169">
        <f>SUM(N24:N32)</f>
        <v>127978624.93333334</v>
      </c>
    </row>
    <row r="34" spans="2:14" ht="90">
      <c r="B34" s="133" t="s">
        <v>41</v>
      </c>
      <c r="C34" s="187">
        <v>325580</v>
      </c>
      <c r="D34" s="108">
        <v>35</v>
      </c>
      <c r="E34" s="134">
        <f>TablaOpción289[[#This Row],[PRECIO UNITARIO]]*TablaOpción289[[#This Row],[CANTIDAD]]</f>
        <v>11395300</v>
      </c>
      <c r="F34" s="213">
        <v>302887.5</v>
      </c>
      <c r="G34" s="126">
        <v>38</v>
      </c>
      <c r="H34" s="216">
        <f>TablaOpción289[[#This Row],[PRECIO UNITARIO2]]*TablaOpción289[[#This Row],[CANTIDAD3]]</f>
        <v>11509725</v>
      </c>
      <c r="I34" s="213">
        <v>306542</v>
      </c>
      <c r="J34" s="126">
        <v>37</v>
      </c>
      <c r="K34" s="216">
        <f>TablaOpción289[[#This Row],[PRECIO UNITARIO3]]*TablaOpción289[[#This Row],[CANTIDAD2]]</f>
        <v>11342054</v>
      </c>
      <c r="L34" s="213">
        <f>(TablaOpción289[[#This Row],[PRECIO UNITARIO]]+TablaOpción289[[#This Row],[PRECIO UNITARIO2]]+TablaOpción289[[#This Row],[PRECIO UNITARIO3]])/3</f>
        <v>311669.83333333331</v>
      </c>
      <c r="M34" s="126">
        <v>36</v>
      </c>
      <c r="N34" s="219">
        <f>(TablaOpción289[[#This Row],[TOTAL]]+TablaOpción289[[#This Row],[TOTAL4]]+TablaOpción289[[#This Row],[TOTAL2]])/3</f>
        <v>11415693</v>
      </c>
    </row>
    <row r="35" spans="2:14" ht="16" thickBot="1">
      <c r="B35" s="135" t="s">
        <v>15</v>
      </c>
      <c r="C35" s="201">
        <v>755360.2</v>
      </c>
      <c r="D35" s="113">
        <v>35</v>
      </c>
      <c r="E35" s="211">
        <f>TablaOpción289[[#This Row],[PRECIO UNITARIO]]*TablaOpción289[[#This Row],[CANTIDAD]]</f>
        <v>26437607</v>
      </c>
      <c r="F35" s="215">
        <v>702713</v>
      </c>
      <c r="G35" s="126">
        <v>38</v>
      </c>
      <c r="H35" s="218">
        <f>TablaOpción289[[#This Row],[PRECIO UNITARIO2]]*TablaOpción289[[#This Row],[CANTIDAD3]]</f>
        <v>26703094</v>
      </c>
      <c r="I35" s="215">
        <v>711191.3</v>
      </c>
      <c r="J35" s="144">
        <v>37</v>
      </c>
      <c r="K35" s="218">
        <f>TablaOpción289[[#This Row],[PRECIO UNITARIO3]]*TablaOpción289[[#This Row],[CANTIDAD2]]</f>
        <v>26314078.100000001</v>
      </c>
      <c r="L35" s="213">
        <f>(TablaOpción289[[#This Row],[PRECIO UNITARIO]]+TablaOpción289[[#This Row],[PRECIO UNITARIO2]]+TablaOpción289[[#This Row],[PRECIO UNITARIO3]])/3</f>
        <v>723088.16666666663</v>
      </c>
      <c r="M35" s="144">
        <v>36</v>
      </c>
      <c r="N35" s="219">
        <f>(TablaOpción289[[#This Row],[TOTAL]]+TablaOpción289[[#This Row],[TOTAL4]]+TablaOpción289[[#This Row],[TOTAL2]])/3</f>
        <v>26484926.366666663</v>
      </c>
    </row>
    <row r="36" spans="2:14" ht="15" customHeight="1" thickBot="1">
      <c r="B36" s="115" t="s">
        <v>16</v>
      </c>
      <c r="C36" s="136">
        <f>C33+C34+C35</f>
        <v>4730940.2</v>
      </c>
      <c r="D36" s="136"/>
      <c r="E36" s="212">
        <f>E33+E34+E35</f>
        <v>165582907</v>
      </c>
      <c r="F36" s="206">
        <f t="shared" ref="F36:K36" si="3">F33+F34+F35</f>
        <v>4401200.0999999996</v>
      </c>
      <c r="G36" s="136"/>
      <c r="H36" s="136">
        <f t="shared" si="3"/>
        <v>167245603.80000001</v>
      </c>
      <c r="I36" s="136">
        <f t="shared" si="3"/>
        <v>4454303.3</v>
      </c>
      <c r="J36" s="136"/>
      <c r="K36" s="194">
        <f t="shared" si="3"/>
        <v>164809222.09999999</v>
      </c>
      <c r="L36" s="136">
        <f>L33+L34+L35</f>
        <v>4528814.5333333341</v>
      </c>
      <c r="M36" s="136"/>
      <c r="N36" s="152">
        <f>N33+N34+N35</f>
        <v>165879244.30000001</v>
      </c>
    </row>
    <row r="38" spans="2:14" ht="15" thickBot="1"/>
    <row r="39" spans="2:14" ht="31" thickBot="1">
      <c r="B39" s="100" t="s">
        <v>1</v>
      </c>
      <c r="C39" s="101" t="s">
        <v>2</v>
      </c>
      <c r="D39" s="101" t="s">
        <v>3</v>
      </c>
      <c r="E39" s="103" t="s">
        <v>4</v>
      </c>
      <c r="F39" s="100" t="s">
        <v>56</v>
      </c>
      <c r="G39" s="101" t="s">
        <v>57</v>
      </c>
      <c r="H39" s="102" t="s">
        <v>58</v>
      </c>
      <c r="I39" s="100" t="s">
        <v>64</v>
      </c>
      <c r="J39" s="101" t="s">
        <v>59</v>
      </c>
      <c r="K39" s="102" t="s">
        <v>60</v>
      </c>
      <c r="L39" s="100" t="s">
        <v>66</v>
      </c>
      <c r="M39" s="101" t="s">
        <v>57</v>
      </c>
      <c r="N39" s="102" t="s">
        <v>67</v>
      </c>
    </row>
    <row r="40" spans="2:14" ht="30">
      <c r="B40" s="137" t="s">
        <v>5</v>
      </c>
      <c r="C40" s="220">
        <v>658000</v>
      </c>
      <c r="D40" s="108">
        <v>4</v>
      </c>
      <c r="E40" s="202">
        <f>TablaOpción17610[[#This Row],[PRECIO UNITARIO]]*TablaOpción17610[[#This Row],[CANTIDAD]]</f>
        <v>2632000</v>
      </c>
      <c r="F40" s="213">
        <v>532499.5</v>
      </c>
      <c r="G40" s="126">
        <v>4</v>
      </c>
      <c r="H40" s="233">
        <f>TablaOpción17610[[#This Row],[PRECIO UNITARIO2]]*TablaOpción17610[[#This Row],[CANTIDAD3]]</f>
        <v>2129998</v>
      </c>
      <c r="I40" s="125">
        <v>524320</v>
      </c>
      <c r="J40" s="126">
        <v>4</v>
      </c>
      <c r="K40" s="238">
        <f>TablaOpción17610[[#This Row],[PRECIO UNITARIO3]]*TablaOpción17610[[#This Row],[CANTIDAD2]]</f>
        <v>2097280</v>
      </c>
      <c r="L40" s="243">
        <f>(TablaOpción17610[[#This Row],[PRECIO UNITARIO]]+TablaOpción17610[[#This Row],[PRECIO UNITARIO2]]+TablaOpción17610[[#This Row],[PRECIO UNITARIO3]])/3</f>
        <v>571606.5</v>
      </c>
      <c r="M40" s="126">
        <v>4</v>
      </c>
      <c r="N40" s="245">
        <f>(TablaOpción17610[[#This Row],[TOTAL]]+TablaOpción17610[[#This Row],[TOTAL4]]+TablaOpción17610[[#This Row],[TOTAL2]])/3</f>
        <v>2286426</v>
      </c>
    </row>
    <row r="41" spans="2:14" ht="15">
      <c r="B41" s="138" t="s">
        <v>6</v>
      </c>
      <c r="C41" s="221">
        <v>217000</v>
      </c>
      <c r="D41" s="111">
        <v>4</v>
      </c>
      <c r="E41" s="203">
        <f>TablaOpción17610[[#This Row],[PRECIO UNITARIO]]*TablaOpción17610[[#This Row],[CANTIDAD]]</f>
        <v>868000</v>
      </c>
      <c r="F41" s="214">
        <v>234600</v>
      </c>
      <c r="G41" s="126">
        <v>4</v>
      </c>
      <c r="H41" s="234">
        <f>TablaOpción17610[[#This Row],[PRECIO UNITARIO2]]*TablaOpción17610[[#This Row],[CANTIDAD3]]</f>
        <v>938400</v>
      </c>
      <c r="I41" s="94">
        <v>217580</v>
      </c>
      <c r="J41" s="126">
        <v>4</v>
      </c>
      <c r="K41" s="239">
        <f>TablaOpción17610[[#This Row],[PRECIO UNITARIO3]]*TablaOpción17610[[#This Row],[CANTIDAD2]]</f>
        <v>870320</v>
      </c>
      <c r="L41" s="243">
        <f>(TablaOpción17610[[#This Row],[PRECIO UNITARIO]]+TablaOpción17610[[#This Row],[PRECIO UNITARIO2]]+TablaOpción17610[[#This Row],[PRECIO UNITARIO3]])/3</f>
        <v>223060</v>
      </c>
      <c r="M41" s="126">
        <v>4</v>
      </c>
      <c r="N41" s="245">
        <f>(TablaOpción17610[[#This Row],[TOTAL]]+TablaOpción17610[[#This Row],[TOTAL4]]+TablaOpción17610[[#This Row],[TOTAL2]])/3</f>
        <v>892240</v>
      </c>
    </row>
    <row r="42" spans="2:14" ht="15">
      <c r="B42" s="138" t="s">
        <v>7</v>
      </c>
      <c r="C42" s="221">
        <v>338000</v>
      </c>
      <c r="D42" s="111">
        <v>4</v>
      </c>
      <c r="E42" s="203">
        <f>TablaOpción17610[[#This Row],[PRECIO UNITARIO]]*TablaOpción17610[[#This Row],[CANTIDAD]]</f>
        <v>1352000</v>
      </c>
      <c r="F42" s="214">
        <v>274200</v>
      </c>
      <c r="G42" s="126">
        <v>4</v>
      </c>
      <c r="H42" s="234">
        <f>TablaOpción17610[[#This Row],[PRECIO UNITARIO2]]*TablaOpción17610[[#This Row],[CANTIDAD3]]</f>
        <v>1096800</v>
      </c>
      <c r="I42" s="94">
        <v>251830</v>
      </c>
      <c r="J42" s="126">
        <v>4</v>
      </c>
      <c r="K42" s="239">
        <f>TablaOpción17610[[#This Row],[PRECIO UNITARIO3]]*TablaOpción17610[[#This Row],[CANTIDAD2]]</f>
        <v>1007320</v>
      </c>
      <c r="L42" s="243">
        <f>(TablaOpción17610[[#This Row],[PRECIO UNITARIO]]+TablaOpción17610[[#This Row],[PRECIO UNITARIO2]]+TablaOpción17610[[#This Row],[PRECIO UNITARIO3]])/3</f>
        <v>288010</v>
      </c>
      <c r="M42" s="126">
        <v>4</v>
      </c>
      <c r="N42" s="245">
        <f>(TablaOpción17610[[#This Row],[TOTAL]]+TablaOpción17610[[#This Row],[TOTAL4]]+TablaOpción17610[[#This Row],[TOTAL2]])/3</f>
        <v>1152040</v>
      </c>
    </row>
    <row r="43" spans="2:14" ht="15">
      <c r="B43" s="138" t="s">
        <v>8</v>
      </c>
      <c r="C43" s="221">
        <v>303000</v>
      </c>
      <c r="D43" s="111">
        <v>4</v>
      </c>
      <c r="E43" s="203">
        <f>TablaOpción17610[[#This Row],[PRECIO UNITARIO]]*TablaOpción17610[[#This Row],[CANTIDAD]]</f>
        <v>1212000</v>
      </c>
      <c r="F43" s="214">
        <v>318800</v>
      </c>
      <c r="G43" s="126">
        <v>4</v>
      </c>
      <c r="H43" s="234">
        <f>TablaOpción17610[[#This Row],[PRECIO UNITARIO2]]*TablaOpción17610[[#This Row],[CANTIDAD3]]</f>
        <v>1275200</v>
      </c>
      <c r="I43" s="94">
        <v>327470</v>
      </c>
      <c r="J43" s="126">
        <v>4</v>
      </c>
      <c r="K43" s="239">
        <f>TablaOpción17610[[#This Row],[PRECIO UNITARIO3]]*TablaOpción17610[[#This Row],[CANTIDAD2]]</f>
        <v>1309880</v>
      </c>
      <c r="L43" s="243">
        <f>(TablaOpción17610[[#This Row],[PRECIO UNITARIO]]+TablaOpción17610[[#This Row],[PRECIO UNITARIO2]]+TablaOpción17610[[#This Row],[PRECIO UNITARIO3]])/3</f>
        <v>316423.33333333331</v>
      </c>
      <c r="M43" s="126">
        <v>4</v>
      </c>
      <c r="N43" s="245">
        <f>(TablaOpción17610[[#This Row],[TOTAL]]+TablaOpción17610[[#This Row],[TOTAL4]]+TablaOpción17610[[#This Row],[TOTAL2]])/3</f>
        <v>1265693.3333333333</v>
      </c>
    </row>
    <row r="44" spans="2:14" ht="15">
      <c r="B44" s="138" t="s">
        <v>9</v>
      </c>
      <c r="C44" s="221">
        <v>365000</v>
      </c>
      <c r="D44" s="111">
        <v>4</v>
      </c>
      <c r="E44" s="203">
        <f>TablaOpción17610[[#This Row],[PRECIO UNITARIO]]*TablaOpción17610[[#This Row],[CANTIDAD]]</f>
        <v>1460000</v>
      </c>
      <c r="F44" s="214">
        <v>335900</v>
      </c>
      <c r="G44" s="126">
        <v>4</v>
      </c>
      <c r="H44" s="234">
        <f>TablaOpción17610[[#This Row],[PRECIO UNITARIO2]]*TablaOpción17610[[#This Row],[CANTIDAD3]]</f>
        <v>1343600</v>
      </c>
      <c r="I44" s="94">
        <v>328030</v>
      </c>
      <c r="J44" s="126">
        <v>4</v>
      </c>
      <c r="K44" s="239">
        <f>TablaOpción17610[[#This Row],[PRECIO UNITARIO3]]*TablaOpción17610[[#This Row],[CANTIDAD2]]</f>
        <v>1312120</v>
      </c>
      <c r="L44" s="243">
        <f>(TablaOpción17610[[#This Row],[PRECIO UNITARIO]]+TablaOpción17610[[#This Row],[PRECIO UNITARIO2]]+TablaOpción17610[[#This Row],[PRECIO UNITARIO3]])/3</f>
        <v>342976.66666666669</v>
      </c>
      <c r="M44" s="126">
        <v>4</v>
      </c>
      <c r="N44" s="245">
        <f>(TablaOpción17610[[#This Row],[TOTAL]]+TablaOpción17610[[#This Row],[TOTAL4]]+TablaOpción17610[[#This Row],[TOTAL2]])/3</f>
        <v>1371906.6666666667</v>
      </c>
    </row>
    <row r="45" spans="2:14" ht="15">
      <c r="B45" s="138" t="s">
        <v>10</v>
      </c>
      <c r="C45" s="221">
        <v>222000</v>
      </c>
      <c r="D45" s="111">
        <v>4</v>
      </c>
      <c r="E45" s="203">
        <f>TablaOpción17610[[#This Row],[PRECIO UNITARIO]]*TablaOpción17610[[#This Row],[CANTIDAD]]</f>
        <v>888000</v>
      </c>
      <c r="F45" s="214">
        <v>205700</v>
      </c>
      <c r="G45" s="126">
        <v>4</v>
      </c>
      <c r="H45" s="234">
        <f>TablaOpción17610[[#This Row],[PRECIO UNITARIO2]]*TablaOpción17610[[#This Row],[CANTIDAD3]]</f>
        <v>822800</v>
      </c>
      <c r="I45" s="94">
        <v>208820</v>
      </c>
      <c r="J45" s="126">
        <v>4</v>
      </c>
      <c r="K45" s="239">
        <f>TablaOpción17610[[#This Row],[PRECIO UNITARIO3]]*TablaOpción17610[[#This Row],[CANTIDAD2]]</f>
        <v>835280</v>
      </c>
      <c r="L45" s="243">
        <f>(TablaOpción17610[[#This Row],[PRECIO UNITARIO]]+TablaOpción17610[[#This Row],[PRECIO UNITARIO2]]+TablaOpción17610[[#This Row],[PRECIO UNITARIO3]])/3</f>
        <v>212173.33333333334</v>
      </c>
      <c r="M45" s="126">
        <v>4</v>
      </c>
      <c r="N45" s="245">
        <f>(TablaOpción17610[[#This Row],[TOTAL]]+TablaOpción17610[[#This Row],[TOTAL4]]+TablaOpción17610[[#This Row],[TOTAL2]])/3</f>
        <v>848693.33333333337</v>
      </c>
    </row>
    <row r="46" spans="2:14" ht="30">
      <c r="B46" s="138" t="s">
        <v>11</v>
      </c>
      <c r="C46" s="221">
        <v>139000</v>
      </c>
      <c r="D46" s="111">
        <v>4</v>
      </c>
      <c r="E46" s="203">
        <f>TablaOpción17610[[#This Row],[PRECIO UNITARIO]]*TablaOpción17610[[#This Row],[CANTIDAD]]</f>
        <v>556000</v>
      </c>
      <c r="F46" s="214">
        <v>119700.9</v>
      </c>
      <c r="G46" s="126">
        <v>4</v>
      </c>
      <c r="H46" s="234">
        <f>TablaOpción17610[[#This Row],[PRECIO UNITARIO2]]*TablaOpción17610[[#This Row],[CANTIDAD3]]</f>
        <v>478803.6</v>
      </c>
      <c r="I46" s="94">
        <v>124020</v>
      </c>
      <c r="J46" s="126">
        <v>4</v>
      </c>
      <c r="K46" s="239">
        <f>TablaOpción17610[[#This Row],[PRECIO UNITARIO3]]*TablaOpción17610[[#This Row],[CANTIDAD2]]</f>
        <v>496080</v>
      </c>
      <c r="L46" s="243">
        <f>(TablaOpción17610[[#This Row],[PRECIO UNITARIO]]+TablaOpción17610[[#This Row],[PRECIO UNITARIO2]]+TablaOpción17610[[#This Row],[PRECIO UNITARIO3]])/3</f>
        <v>127573.63333333335</v>
      </c>
      <c r="M46" s="126">
        <v>4</v>
      </c>
      <c r="N46" s="245">
        <f>(TablaOpción17610[[#This Row],[TOTAL]]+TablaOpción17610[[#This Row],[TOTAL4]]+TablaOpción17610[[#This Row],[TOTAL2]])/3</f>
        <v>510294.53333333338</v>
      </c>
    </row>
    <row r="47" spans="2:14" ht="31" thickBot="1">
      <c r="B47" s="145" t="s">
        <v>12</v>
      </c>
      <c r="C47" s="222">
        <v>203000</v>
      </c>
      <c r="D47" s="113">
        <v>4</v>
      </c>
      <c r="E47" s="204">
        <f>TablaOpción17610[[#This Row],[PRECIO UNITARIO]]*TablaOpción17610[[#This Row],[CANTIDAD]]</f>
        <v>812000</v>
      </c>
      <c r="F47" s="215">
        <v>195000</v>
      </c>
      <c r="G47" s="130">
        <v>4</v>
      </c>
      <c r="H47" s="235">
        <f>TablaOpción17610[[#This Row],[PRECIO UNITARIO2]]*TablaOpción17610[[#This Row],[CANTIDAD3]]</f>
        <v>780000</v>
      </c>
      <c r="I47" s="129">
        <v>190990</v>
      </c>
      <c r="J47" s="130">
        <v>4</v>
      </c>
      <c r="K47" s="240">
        <f>TablaOpción17610[[#This Row],[PRECIO UNITARIO3]]*TablaOpción17610[[#This Row],[CANTIDAD2]]</f>
        <v>763960</v>
      </c>
      <c r="L47" s="243">
        <f>(TablaOpción17610[[#This Row],[PRECIO UNITARIO]]+TablaOpción17610[[#This Row],[PRECIO UNITARIO2]]+TablaOpción17610[[#This Row],[PRECIO UNITARIO3]])/3</f>
        <v>196330</v>
      </c>
      <c r="M47" s="126">
        <v>4</v>
      </c>
      <c r="N47" s="245">
        <f>(TablaOpción17610[[#This Row],[TOTAL]]+TablaOpción17610[[#This Row],[TOTAL4]]+TablaOpción17610[[#This Row],[TOTAL2]])/3</f>
        <v>785320</v>
      </c>
    </row>
    <row r="48" spans="2:14" ht="16" thickBot="1">
      <c r="B48" s="116" t="s">
        <v>13</v>
      </c>
      <c r="C48" s="132">
        <f>SUM(TablaOpción17610[PRECIO UNITARIO])</f>
        <v>2445000</v>
      </c>
      <c r="D48" s="118"/>
      <c r="E48" s="205">
        <f>SUM(TablaOpción17610[TOTAL])</f>
        <v>9780000</v>
      </c>
      <c r="F48" s="205">
        <f>SUM(TablaOpción17610[PRECIO UNITARIO2])</f>
        <v>2216400.4</v>
      </c>
      <c r="G48" s="118"/>
      <c r="H48" s="205">
        <f>SUM(TablaOpción17610[TOTAL4])</f>
        <v>8865601.5999999996</v>
      </c>
      <c r="I48" s="226">
        <f>SUM(TablaOpción17610[PRECIO UNITARIO3])</f>
        <v>2173060</v>
      </c>
      <c r="J48" s="118"/>
      <c r="K48" s="241">
        <f>SUM(TablaOpción17610[TOTAL2])</f>
        <v>8692240</v>
      </c>
      <c r="L48" s="132">
        <f>SUM(L40:L47)</f>
        <v>2278153.4666666668</v>
      </c>
      <c r="M48" s="118"/>
      <c r="N48" s="191">
        <f>SUM(N40:N47)</f>
        <v>9112613.8666666672</v>
      </c>
    </row>
    <row r="49" spans="2:14" ht="90">
      <c r="B49" s="146" t="s">
        <v>41</v>
      </c>
      <c r="C49" s="223">
        <v>218094</v>
      </c>
      <c r="D49" s="120">
        <v>4</v>
      </c>
      <c r="E49" s="227">
        <f>C49*D49</f>
        <v>872376</v>
      </c>
      <c r="F49" s="230">
        <v>197702</v>
      </c>
      <c r="G49" s="126">
        <v>4</v>
      </c>
      <c r="H49" s="233">
        <f>F49*G49</f>
        <v>790808</v>
      </c>
      <c r="I49" s="147">
        <v>193837</v>
      </c>
      <c r="J49" s="126">
        <v>4</v>
      </c>
      <c r="K49" s="238">
        <f>J49*I49</f>
        <v>775348</v>
      </c>
      <c r="L49" s="230">
        <f>SUM(C49+F49+I49)/3</f>
        <v>203211</v>
      </c>
      <c r="M49" s="126">
        <v>4</v>
      </c>
      <c r="N49" s="233">
        <f>(E49+H49+K49)/3</f>
        <v>812844</v>
      </c>
    </row>
    <row r="50" spans="2:14" ht="16" thickBot="1">
      <c r="B50" s="139" t="s">
        <v>15</v>
      </c>
      <c r="C50" s="224">
        <v>505987.86</v>
      </c>
      <c r="D50" s="140">
        <v>4</v>
      </c>
      <c r="E50" s="228">
        <f>C50*D50</f>
        <v>2023951.44</v>
      </c>
      <c r="F50" s="231">
        <v>458680</v>
      </c>
      <c r="G50" s="142">
        <v>4</v>
      </c>
      <c r="H50" s="236">
        <f>F50*G50</f>
        <v>1834720</v>
      </c>
      <c r="I50" s="141">
        <v>449710</v>
      </c>
      <c r="J50" s="143">
        <v>4</v>
      </c>
      <c r="K50" s="239">
        <f>J50*I50</f>
        <v>1798840</v>
      </c>
      <c r="L50" s="230">
        <f>SUM(C50+F50+I50)/3</f>
        <v>471459.28666666662</v>
      </c>
      <c r="M50" s="126">
        <v>4</v>
      </c>
      <c r="N50" s="233">
        <f>(E50+H50+K50)/3</f>
        <v>1885837.1466666665</v>
      </c>
    </row>
    <row r="51" spans="2:14" ht="17" customHeight="1" thickBot="1">
      <c r="B51" s="115" t="s">
        <v>16</v>
      </c>
      <c r="C51" s="136">
        <f t="shared" ref="C51" si="4">C48+C49+C50</f>
        <v>3169081.86</v>
      </c>
      <c r="D51" s="136"/>
      <c r="E51" s="206">
        <f>E48+E49+E50</f>
        <v>12676327.439999999</v>
      </c>
      <c r="F51" s="206">
        <f t="shared" ref="F51:H51" si="5">F48+F49+F50</f>
        <v>2872782.4</v>
      </c>
      <c r="G51" s="136"/>
      <c r="H51" s="206">
        <f t="shared" si="5"/>
        <v>11491129.6</v>
      </c>
      <c r="I51" s="206">
        <f>I48+I49+I50</f>
        <v>2816607</v>
      </c>
      <c r="J51" s="136"/>
      <c r="K51" s="206">
        <f>K48+K49+K50</f>
        <v>11266428</v>
      </c>
      <c r="L51" s="136">
        <f>L48+L49+L50</f>
        <v>2952823.7533333334</v>
      </c>
      <c r="M51" s="136"/>
      <c r="N51" s="206">
        <f>N48+N49+N50</f>
        <v>11811295.013333334</v>
      </c>
    </row>
    <row r="52" spans="2:14" ht="15" thickBot="1">
      <c r="C52" s="225"/>
      <c r="E52" s="229"/>
      <c r="F52" s="229"/>
      <c r="H52" s="229"/>
      <c r="K52" s="242"/>
      <c r="L52" s="225"/>
    </row>
    <row r="53" spans="2:14" ht="15" thickBot="1">
      <c r="B53" s="159" t="s">
        <v>55</v>
      </c>
      <c r="C53" s="148"/>
      <c r="D53" s="148"/>
      <c r="E53" s="205">
        <f>E19+E36+E51</f>
        <v>425447619.51999998</v>
      </c>
      <c r="F53" s="232"/>
      <c r="G53" s="148"/>
      <c r="H53" s="237">
        <f>H19+H36+H51</f>
        <v>425795985.40000004</v>
      </c>
      <c r="I53" s="148"/>
      <c r="J53" s="148"/>
      <c r="K53" s="241">
        <f>K19+K36+K51</f>
        <v>422276201.89999998</v>
      </c>
      <c r="L53" s="244"/>
      <c r="M53" s="148"/>
      <c r="N53" s="165">
        <f>N19+N36+N51</f>
        <v>424506602.27333331</v>
      </c>
    </row>
    <row r="54" spans="2:14">
      <c r="B54" s="287"/>
      <c r="C54" s="287"/>
      <c r="D54" s="287"/>
    </row>
    <row r="55" spans="2:14">
      <c r="N55" s="92">
        <f>(E53+H53+K53)/3</f>
        <v>424506602.27333337</v>
      </c>
    </row>
    <row r="56" spans="2:14" ht="15" thickBot="1"/>
    <row r="57" spans="2:14" ht="56" customHeight="1" thickBot="1">
      <c r="B57" s="252" t="s">
        <v>68</v>
      </c>
      <c r="C57" s="253" t="s">
        <v>69</v>
      </c>
      <c r="D57" s="253" t="s">
        <v>51</v>
      </c>
      <c r="E57" s="253" t="s">
        <v>52</v>
      </c>
      <c r="H57" s="95">
        <v>179017841</v>
      </c>
    </row>
    <row r="58" spans="2:14" ht="31" customHeight="1" thickBot="1">
      <c r="B58" s="254" t="s">
        <v>70</v>
      </c>
      <c r="C58" s="246">
        <v>247593889</v>
      </c>
      <c r="D58" s="246">
        <f>L19</f>
        <v>2957251.7533333329</v>
      </c>
      <c r="E58" s="247">
        <v>83</v>
      </c>
      <c r="F58" s="255">
        <f>C58/D58</f>
        <v>83.72431894610223</v>
      </c>
      <c r="G58" s="256">
        <f>D58*E58</f>
        <v>245451895.52666664</v>
      </c>
      <c r="H58" s="92">
        <f>H57-N51</f>
        <v>167206545.98666668</v>
      </c>
    </row>
    <row r="59" spans="2:14" ht="35" customHeight="1" thickBot="1">
      <c r="B59" s="254" t="s">
        <v>71</v>
      </c>
      <c r="C59" s="246">
        <v>167206546</v>
      </c>
      <c r="D59" s="246">
        <f>L36</f>
        <v>4528814.5333333341</v>
      </c>
      <c r="E59" s="247">
        <v>36</v>
      </c>
      <c r="F59" s="255">
        <f>C59/D59</f>
        <v>36.920599147815246</v>
      </c>
      <c r="G59" s="256">
        <f t="shared" ref="G59:G60" si="6">D59*E59</f>
        <v>163037323.20000002</v>
      </c>
    </row>
    <row r="60" spans="2:14" ht="35" customHeight="1" thickBot="1">
      <c r="B60" s="254" t="s">
        <v>72</v>
      </c>
      <c r="C60" s="246">
        <f>N51</f>
        <v>11811295.013333334</v>
      </c>
      <c r="D60" s="246">
        <f>L51</f>
        <v>2952823.7533333334</v>
      </c>
      <c r="E60" s="247">
        <v>4</v>
      </c>
      <c r="F60" s="255">
        <f>C60/D60</f>
        <v>4</v>
      </c>
      <c r="G60" s="256">
        <f t="shared" si="6"/>
        <v>11811295.013333334</v>
      </c>
    </row>
    <row r="61" spans="2:14" ht="16" thickBot="1">
      <c r="B61" s="248" t="s">
        <v>4</v>
      </c>
      <c r="C61" s="249">
        <v>426611730</v>
      </c>
      <c r="D61" s="250"/>
      <c r="E61" s="251">
        <v>123</v>
      </c>
    </row>
  </sheetData>
  <mergeCells count="8">
    <mergeCell ref="I6:K6"/>
    <mergeCell ref="L6:N6"/>
    <mergeCell ref="B3:N3"/>
    <mergeCell ref="B21:N21"/>
    <mergeCell ref="B54:D54"/>
    <mergeCell ref="C6:E6"/>
    <mergeCell ref="F6:H6"/>
    <mergeCell ref="B22:E22"/>
  </mergeCells>
  <phoneticPr fontId="12" type="noConversion"/>
  <pageMargins left="0.7" right="0.7" top="0.75" bottom="0.75" header="0.3" footer="0.3"/>
  <ignoredErrors>
    <ignoredError sqref="E33 H33 K33" calculatedColumn="1"/>
    <ignoredError sqref="L33 N33" formula="1"/>
  </ignoredErrors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Opción 1</vt:lpstr>
      <vt:lpstr>Opción 2</vt:lpstr>
      <vt:lpstr>Resumen</vt:lpstr>
      <vt:lpstr>Condiciones</vt:lpstr>
      <vt:lpstr>Formato Cotizacion</vt:lpstr>
      <vt:lpstr>Consolidado cotizaciones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DIRECCION OPERATIVA SOCIECONOMICA</cp:lastModifiedBy>
  <dcterms:created xsi:type="dcterms:W3CDTF">2026-06-02T00:07:49Z</dcterms:created>
  <dcterms:modified xsi:type="dcterms:W3CDTF">2026-09-22T21:27:09Z</dcterms:modified>
</cp:coreProperties>
</file>