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OneDrive\Escritorio\OTANCHE 2026\CONTRATACION 2026\PLANEACION\LP\LP - 003 - 2026 SEGUNDA ETAPA SAN CRISTOBAL\"/>
    </mc:Choice>
  </mc:AlternateContent>
  <xr:revisionPtr revIDLastSave="0" documentId="13_ncr:1_{AC3F1F1B-860D-48B0-AB2F-4D2C50ECE8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FICI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\a">#REF!</definedName>
    <definedName name="\b">'[1]CUAD-DIURNA'!#REF!</definedName>
    <definedName name="\c">'[2]C.REJAS'!#REF!</definedName>
    <definedName name="\L">#REF!</definedName>
    <definedName name="\m">#REF!</definedName>
    <definedName name="\P">#REF!</definedName>
    <definedName name="\q">#REF!</definedName>
    <definedName name="\s">#REF!</definedName>
    <definedName name="\w">#N/A</definedName>
    <definedName name="\X">[0]!err</definedName>
    <definedName name="\Z">[0]!err</definedName>
    <definedName name="_______________AFC1">[3]INV!$A$25:$D$28</definedName>
    <definedName name="_______________AFC3">[3]INV!$F$25:$I$28</definedName>
    <definedName name="_______________AFC5">[3]INV!$K$25:$N$28</definedName>
    <definedName name="_______________BGC1">[3]INV!$A$5:$D$8</definedName>
    <definedName name="_______________BGC3">[3]INV!$F$5:$I$8</definedName>
    <definedName name="_______________BGC5">[3]INV!$K$5:$N$8</definedName>
    <definedName name="_______________CAC1">[3]INV!$A$19:$D$22</definedName>
    <definedName name="_______________CAC3">[3]INV!$F$19:$I$22</definedName>
    <definedName name="_______________CAC5">[3]INV!$K$19:$N$22</definedName>
    <definedName name="_______________oa55">#REF!</definedName>
    <definedName name="_______________SBC1">[3]INV!$A$12:$D$15</definedName>
    <definedName name="_______________SBC3">[3]INV!$F$12:$I$15</definedName>
    <definedName name="_______________SBC5">[3]INV!$K$12:$N$15</definedName>
    <definedName name="______________AFC1">[3]INV!$A$25:$D$28</definedName>
    <definedName name="______________AFC3">[3]INV!$F$25:$I$28</definedName>
    <definedName name="______________AFC5">[3]INV!$K$25:$N$28</definedName>
    <definedName name="______________BGC1">[3]INV!$A$5:$D$8</definedName>
    <definedName name="______________BGC3">[3]INV!$F$5:$I$8</definedName>
    <definedName name="______________BGC5">[3]INV!$K$5:$N$8</definedName>
    <definedName name="______________CAC1">[3]INV!$A$19:$D$22</definedName>
    <definedName name="______________CAC3">[3]INV!$F$19:$I$22</definedName>
    <definedName name="______________CAC5">[3]INV!$K$19:$N$22</definedName>
    <definedName name="______________oa55">#REF!</definedName>
    <definedName name="______________SBC1">[3]INV!$A$12:$D$15</definedName>
    <definedName name="______________SBC3">[3]INV!$F$12:$I$15</definedName>
    <definedName name="______________SBC5">[3]INV!$K$12:$N$15</definedName>
    <definedName name="_____________AFC1">[3]INV!$A$25:$D$28</definedName>
    <definedName name="_____________AFC3">[3]INV!$F$25:$I$28</definedName>
    <definedName name="_____________AFC5">[3]INV!$K$25:$N$28</definedName>
    <definedName name="_____________BGC1">[3]INV!$A$5:$D$8</definedName>
    <definedName name="_____________BGC3">[3]INV!$F$5:$I$8</definedName>
    <definedName name="_____________BGC5">[3]INV!$K$5:$N$8</definedName>
    <definedName name="_____________CAC1">[3]INV!$A$19:$D$22</definedName>
    <definedName name="_____________CAC3">[3]INV!$F$19:$I$22</definedName>
    <definedName name="_____________CAC5">[3]INV!$K$19:$N$22</definedName>
    <definedName name="_____________oa55">#REF!</definedName>
    <definedName name="_____________SBC1">[3]INV!$A$12:$D$15</definedName>
    <definedName name="_____________SBC3">[3]INV!$F$12:$I$15</definedName>
    <definedName name="_____________SBC5">[3]INV!$K$12:$N$15</definedName>
    <definedName name="____________AFC1">[3]INV!$A$25:$D$28</definedName>
    <definedName name="____________AFC3">[3]INV!$F$25:$I$28</definedName>
    <definedName name="____________AFC5">[3]INV!$K$25:$N$28</definedName>
    <definedName name="____________BGC1">[3]INV!$A$5:$D$8</definedName>
    <definedName name="____________BGC3">[3]INV!$F$5:$I$8</definedName>
    <definedName name="____________BGC5">[3]INV!$K$5:$N$8</definedName>
    <definedName name="____________CAC1">[3]INV!$A$19:$D$22</definedName>
    <definedName name="____________CAC3">[3]INV!$F$19:$I$22</definedName>
    <definedName name="____________CAC5">[3]INV!$K$19:$N$22</definedName>
    <definedName name="____________oa55">#REF!</definedName>
    <definedName name="____________SBC1">[3]INV!$A$12:$D$15</definedName>
    <definedName name="____________SBC3">[3]INV!$F$12:$I$15</definedName>
    <definedName name="____________SBC5">[3]INV!$K$12:$N$15</definedName>
    <definedName name="___________AFC1">[3]INV!$A$25:$D$28</definedName>
    <definedName name="___________AFC3">[3]INV!$F$25:$I$28</definedName>
    <definedName name="___________AFC5">[3]INV!$K$25:$N$28</definedName>
    <definedName name="___________BGC1">[3]INV!$A$5:$D$8</definedName>
    <definedName name="___________BGC3">[3]INV!$F$5:$I$8</definedName>
    <definedName name="___________BGC5">[3]INV!$K$5:$N$8</definedName>
    <definedName name="___________CAC1">[3]INV!$A$19:$D$22</definedName>
    <definedName name="___________CAC3">[3]INV!$F$19:$I$22</definedName>
    <definedName name="___________CAC5">[3]INV!$K$19:$N$22</definedName>
    <definedName name="___________oa55">#REF!</definedName>
    <definedName name="___________SBC1">[3]INV!$A$12:$D$15</definedName>
    <definedName name="___________SBC3">[3]INV!$F$12:$I$15</definedName>
    <definedName name="___________SBC5">[3]INV!$K$12:$N$15</definedName>
    <definedName name="__________AFC1">[3]INV!$A$25:$D$28</definedName>
    <definedName name="__________AFC3">[3]INV!$F$25:$I$28</definedName>
    <definedName name="__________AFC5">[3]INV!$K$25:$N$28</definedName>
    <definedName name="__________BGC1">[3]INV!$A$5:$D$8</definedName>
    <definedName name="__________BGC3">[3]INV!$F$5:$I$8</definedName>
    <definedName name="__________BGC5">[3]INV!$K$5:$N$8</definedName>
    <definedName name="__________CAC1">[3]INV!$A$19:$D$22</definedName>
    <definedName name="__________CAC3">[3]INV!$F$19:$I$22</definedName>
    <definedName name="__________CAC5">[3]INV!$K$19:$N$22</definedName>
    <definedName name="__________oa55">#REF!</definedName>
    <definedName name="__________PJ50">#REF!</definedName>
    <definedName name="__________SBC1">[3]INV!$A$12:$D$15</definedName>
    <definedName name="__________SBC3">[3]INV!$F$12:$I$15</definedName>
    <definedName name="__________SBC5">[3]INV!$K$12:$N$15</definedName>
    <definedName name="_________AFC1">[3]INV!$A$25:$D$28</definedName>
    <definedName name="_________AFC3">[3]INV!$F$25:$I$28</definedName>
    <definedName name="_________AFC5">[3]INV!$K$25:$N$28</definedName>
    <definedName name="_________BGC1">[3]INV!$A$5:$D$8</definedName>
    <definedName name="_________BGC3">[3]INV!$F$5:$I$8</definedName>
    <definedName name="_________BGC5">[3]INV!$K$5:$N$8</definedName>
    <definedName name="_________CAC1">[3]INV!$A$19:$D$22</definedName>
    <definedName name="_________CAC3">[3]INV!$F$19:$I$22</definedName>
    <definedName name="_________CAC5">[3]INV!$K$19:$N$22</definedName>
    <definedName name="_________key2" hidden="1">[4]INST!#REF!</definedName>
    <definedName name="_________oa55">#REF!</definedName>
    <definedName name="_________PJ50">#REF!</definedName>
    <definedName name="_________SBC1">[3]INV!$A$12:$D$15</definedName>
    <definedName name="_________SBC3">[3]INV!$F$12:$I$15</definedName>
    <definedName name="_________SBC5">[3]INV!$K$12:$N$15</definedName>
    <definedName name="________AFC1">[3]INV!$A$25:$D$28</definedName>
    <definedName name="________AFC3">[3]INV!$F$25:$I$28</definedName>
    <definedName name="________AFC5">[3]INV!$K$25:$N$28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key2" hidden="1">[5]INST!#REF!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SBC1">[3]INV!$A$12:$D$15</definedName>
    <definedName name="________SBC3">[3]INV!$F$12:$I$15</definedName>
    <definedName name="________SBC5">[3]INV!$K$12:$N$15</definedName>
    <definedName name="_______AFC1">[3]INV!$A$25:$D$28</definedName>
    <definedName name="_______AFC3">[3]INV!$F$25:$I$28</definedName>
    <definedName name="_______AFC5">[3]INV!$K$25:$N$28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MA2">#REF!</definedName>
    <definedName name="_______oa55">#REF!</definedName>
    <definedName name="_______PJ50">#REF!</definedName>
    <definedName name="_______SBC1">[3]INV!$A$12:$D$15</definedName>
    <definedName name="_______SBC3">[3]INV!$F$12:$I$15</definedName>
    <definedName name="_______SBC5">[3]INV!$K$12:$N$15</definedName>
    <definedName name="______AFC1">[3]INV!$A$25:$D$28</definedName>
    <definedName name="______AFC3">[3]INV!$F$25:$I$28</definedName>
    <definedName name="______AFC5">[3]INV!$K$25:$N$28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MA2">#REF!</definedName>
    <definedName name="______oa55">#REF!</definedName>
    <definedName name="______PJ50">#REF!</definedName>
    <definedName name="______SBC1">[3]INV!$A$12:$D$15</definedName>
    <definedName name="______SBC3">[3]INV!$F$12:$I$15</definedName>
    <definedName name="______SBC5">[3]INV!$K$12:$N$15</definedName>
    <definedName name="_____AFC1">[3]INV!$A$25:$D$28</definedName>
    <definedName name="_____AFC3">[3]INV!$F$25:$I$28</definedName>
    <definedName name="_____AFC5">[3]INV!$K$25:$N$28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MA2">#REF!</definedName>
    <definedName name="_____oa55">#REF!</definedName>
    <definedName name="_____PJ50">#REF!</definedName>
    <definedName name="_____pj51">#REF!</definedName>
    <definedName name="_____SBC1">[3]INV!$A$12:$D$15</definedName>
    <definedName name="_____SBC3">[3]INV!$F$12:$I$15</definedName>
    <definedName name="_____SBC5">[3]INV!$K$12:$N$15</definedName>
    <definedName name="____AFC1">[3]INV!$A$25:$D$28</definedName>
    <definedName name="____AFC3">[3]INV!$F$25:$I$28</definedName>
    <definedName name="____AFC5">[3]INV!$K$25:$N$28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MA2">#REF!</definedName>
    <definedName name="____oa55">#REF!</definedName>
    <definedName name="____PJ50">#REF!</definedName>
    <definedName name="____pj51">#REF!</definedName>
    <definedName name="____SBC1">[3]INV!$A$12:$D$15</definedName>
    <definedName name="____SBC3">[3]INV!$F$12:$I$15</definedName>
    <definedName name="____SBC5">[3]INV!$K$12:$N$15</definedName>
    <definedName name="____xz2">#REF!</definedName>
    <definedName name="___A1">#N/A</definedName>
    <definedName name="___A17000">#REF!</definedName>
    <definedName name="___A20000">#REF!</definedName>
    <definedName name="___A30000">#REF!</definedName>
    <definedName name="___AFC1">[3]INV!$A$25:$D$28</definedName>
    <definedName name="___AFC3">[3]INV!$F$25:$I$28</definedName>
    <definedName name="___AFC5">[3]INV!$K$25:$N$28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G1">#N/A</definedName>
    <definedName name="___IPC2002">#REF!</definedName>
    <definedName name="___key2" hidden="1">[5]INST!#REF!</definedName>
    <definedName name="___key3" hidden="1">#REF!</definedName>
    <definedName name="___key31" hidden="1">#REF!</definedName>
    <definedName name="___MA2">#REF!</definedName>
    <definedName name="___oa55">#REF!</definedName>
    <definedName name="___PJ50">#REF!</definedName>
    <definedName name="___pj51">#REF!</definedName>
    <definedName name="___SBC1">[3]INV!$A$12:$D$15</definedName>
    <definedName name="___SBC3">[3]INV!$F$12:$I$15</definedName>
    <definedName name="___SBC5">[3]INV!$K$12:$N$15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>Scheduled_Payment+Extra_Payment</definedName>
    <definedName name="___v8">#N/A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>Scheduled_Payment+Extra_Payment</definedName>
    <definedName name="___X7">#N/A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>Scheduled_Payment+Extra_Payment</definedName>
    <definedName name="___z7">#N/A</definedName>
    <definedName name="__123Graph_A" localSheetId="0" hidden="1">#REF!</definedName>
    <definedName name="__123Graph_A" hidden="1">[6]AIU!$D$338:$D$357</definedName>
    <definedName name="__123Graph_Acaja" hidden="1">[6]EVA!$D$39:$AD$39</definedName>
    <definedName name="__123Graph_ACart_AnticAdic" hidden="1">[6]EVA!$F$95:$I$95</definedName>
    <definedName name="__123Graph_AFACTURAC" hidden="1">[6]Program!$B$120:$Y$120</definedName>
    <definedName name="__123Graph_AGraph2" hidden="1">[6]AIU!$D$338:$D$357</definedName>
    <definedName name="__123Graph_B" hidden="1">#REF!</definedName>
    <definedName name="__123Graph_Bcaja" hidden="1">[6]EVA!$D$56:$AD$56</definedName>
    <definedName name="__123Graph_BCart_AnticAdic" hidden="1">[6]EVA!$F$96:$I$96</definedName>
    <definedName name="__123Graph_Ccaja" hidden="1">[6]EVA!$D$58:$AD$58</definedName>
    <definedName name="__123Graph_CCart_AnticAdic" hidden="1">[6]EVA!$F$97:$I$97</definedName>
    <definedName name="__123Graph_Dcaja" hidden="1">[6]EVA!$D$61:$AD$61</definedName>
    <definedName name="__123Graph_DCart_AnticAdic" hidden="1">[6]EVA!$F$99:$I$99</definedName>
    <definedName name="__123Graph_ECart_AnticAdic" hidden="1">[6]EVA!$F$99:$I$99</definedName>
    <definedName name="__123Graph_LBL_ACart_AnticAdic" hidden="1">[6]EVA!$J$95:$K$95</definedName>
    <definedName name="__123Graph_LBL_Ccaja" hidden="1">[6]EVA!$D$58:$AD$58</definedName>
    <definedName name="__123Graph_LBL_DCart_AnticAdic" hidden="1">[6]EVA!$F$98:$I$98</definedName>
    <definedName name="__123Graph_X" hidden="1">[6]AIU!$C$338:$C$357</definedName>
    <definedName name="__123Graph_Xcaja" hidden="1">[6]EVA!$D$6:$AD$6</definedName>
    <definedName name="__1Sin_nombre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[3]INV!$A$25:$D$28</definedName>
    <definedName name="__AFC3">[3]INV!$F$25:$I$28</definedName>
    <definedName name="__AFC5">[3]INV!$K$25:$N$28</definedName>
    <definedName name="__APU221">#REF!</definedName>
    <definedName name="__APU465">[7]!absc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[8]INST!#REF!</definedName>
    <definedName name="__key21" hidden="1">[5]INST!#REF!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[9]PESOS!#REF!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[3]INV!$A$12:$D$15</definedName>
    <definedName name="__SBC3">[3]INV!$F$12:$I$15</definedName>
    <definedName name="__SBC5">[3]INV!$K$12:$N$15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[10]EST2!#REF!</definedName>
    <definedName name="_02_DER_K15_700_–_K16_100">[10]EST2!#REF!</definedName>
    <definedName name="_03_K15_140_–_K20_540">[10]EST2!#REF!</definedName>
    <definedName name="_04">[10]EST2!#REF!</definedName>
    <definedName name="_05_DER_K35_250_–_K35_605.41">[10]EST2!#REF!</definedName>
    <definedName name="_05_IZQ_K25_695_–_K35_327.62">[10]EST2!#REF!</definedName>
    <definedName name="_05_IZQ_K35_420_–_K36_462.29">[10]EST2!#REF!</definedName>
    <definedName name="_06_K41_785.67_–_K48_083.55">[10]EST2!#REF!</definedName>
    <definedName name="_07_DER_K48_000_–_K49_563.19">[10]EST2!#REF!</definedName>
    <definedName name="_07_IZQ_K49_320_–_K52_112.74">[10]EST2!#REF!</definedName>
    <definedName name="_08_DER_K57_040_–_K61_476.50">[10]EST2!#REF!</definedName>
    <definedName name="_08_IZQ_K52_300_–_K57_577.97">[10]EST2!#REF!</definedName>
    <definedName name="_08_K24_723__A_K55_717.28">[10]EST2!#REF!</definedName>
    <definedName name="_09_K61_520_A_K61_144">[10]EST2!#REF!</definedName>
    <definedName name="_1">#N/A</definedName>
    <definedName name="_1__123Graph_ACart_Utilidad" hidden="1">[6]EVA!$F$104:$I$104</definedName>
    <definedName name="_10_PR64_500_–_PR_69_541.49">[10]EST2!#REF!</definedName>
    <definedName name="_1Sin_nombre">#REF!</definedName>
    <definedName name="_2">#N/A</definedName>
    <definedName name="_2__123Graph_BCart_Utilidad" hidden="1">[6]EVA!$F$105:$I$105</definedName>
    <definedName name="_3__123Graph_CCart_Utilidad" hidden="1">[6]EVA!$F$106:$I$106</definedName>
    <definedName name="_4__123Graph_LBL_ACart_Utilidad" hidden="1">[6]EVA!$F$109:$I$109</definedName>
    <definedName name="_5__123Graph_LBL_BCart_Utilidad" hidden="1">[6]EVA!$F$110:$I$110</definedName>
    <definedName name="_6__123Graph_LBL_CCart_Utilidad" hidden="1">[6]EVA!$F$111:$I$111</definedName>
    <definedName name="_7__123Graph_XCart_Utilidad" hidden="1">[6]EVA!$F$103:$I$103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[3]INV!$A$25:$D$28</definedName>
    <definedName name="_AFC3">[3]INV!$F$25:$I$28</definedName>
    <definedName name="_AFC5">[3]INV!$K$25:$N$28</definedName>
    <definedName name="_APU221">#REF!</definedName>
    <definedName name="_APU465">[7]!absc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ill" localSheetId="0" hidden="1">#REF!</definedName>
    <definedName name="_Fill" hidden="1">#REF!</definedName>
    <definedName name="_xlnm._FilterDatabase" hidden="1">'[11]46W9'!#REF!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PC2002">#REF!</definedName>
    <definedName name="_jor2">'[12]Cuadr.'!$H$16</definedName>
    <definedName name="_jor3">'[12]Cuadr.'!$H$26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" hidden="1">#REF!</definedName>
    <definedName name="_Key1" localSheetId="0" hidden="1">#REF!</definedName>
    <definedName name="_Key1" hidden="1">#REF!</definedName>
    <definedName name="_Key11" hidden="1">[13]INST!#REF!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un2">[9]PESOS!#REF!</definedName>
    <definedName name="_Mux2">[14]CALCULO!$E$19</definedName>
    <definedName name="_Mux3">[14]CALCULO!$H$19</definedName>
    <definedName name="_Muy1">[14]CALCULO!$B$20</definedName>
    <definedName name="_Muy2">[14]CALCULO!$E$20</definedName>
    <definedName name="_Muy3">[14]CALCULO!$H$20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0" hidden="1">'[15]7422CW00'!#REF!</definedName>
    <definedName name="_Parse_Out" hidden="1">#REF!</definedName>
    <definedName name="_Ph170">[16]punit!$G$8</definedName>
    <definedName name="_Ph30">[16]punit!$G$7</definedName>
    <definedName name="_PJ50">#REF!</definedName>
    <definedName name="_pj51">#REF!</definedName>
    <definedName name="_pob2">[17]dt!$B$12</definedName>
    <definedName name="_pob3">[17]dt!$B$13</definedName>
    <definedName name="_PRE1">#REF!</definedName>
    <definedName name="_PTt1">#REF!</definedName>
    <definedName name="_PTt2">[17]t2!$K$304</definedName>
    <definedName name="_Pu2">[14]CALCULO!$E$18</definedName>
    <definedName name="_Pu3">[14]CALCULO!$H$18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f4">#REF!</definedName>
    <definedName name="_Res99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[3]INV!$A$12:$D$15</definedName>
    <definedName name="_SBC3">[3]INV!$F$12:$I$15</definedName>
    <definedName name="_SBC5">[3]INV!$K$12:$N$15</definedName>
    <definedName name="_Sort" localSheetId="0" hidden="1">#REF!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[5]INST!#REF!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N1">#N/A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u2">[14]CALCULO!$E$23</definedName>
    <definedName name="_Vu3">[14]CALCULO!$H$23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'[18]DUB-823'!#REF!</definedName>
    <definedName name="A_impresión_IM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[0]!err</definedName>
    <definedName name="AAAAA">#REF!</definedName>
    <definedName name="aaaaaa">[19]otros!$C$5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[3]AASHTO!$A$14:$F$17</definedName>
    <definedName name="aair">[20]agua!#REF!</definedName>
    <definedName name="aanox">[20]agua!#REF!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CD" hidden="1">#REF!</definedName>
    <definedName name="ABCDE" hidden="1">#REF!</definedName>
    <definedName name="ABG">[3]AASHTO!$A$2:$F$5</definedName>
    <definedName name="absc">[21]!absc</definedName>
    <definedName name="absc_">[22]!absc</definedName>
    <definedName name="absc_1">[22]!absc</definedName>
    <definedName name="absc1">[23]!absc</definedName>
    <definedName name="AC">#N/A</definedName>
    <definedName name="Acanreja">[16]prelim!$D$51</definedName>
    <definedName name="AccessDatabase" hidden="1">"C:\C-314\VOLUMENES\volfin4.mdb"</definedName>
    <definedName name="acp">[16]dimens!$E$42</definedName>
    <definedName name="acs">[20]agua!#REF!</definedName>
    <definedName name="ACT">'[1]CUAD-DIURNA'!#REF!</definedName>
    <definedName name="ad">#REF!</definedName>
    <definedName name="Adesaren">[16]prelim!#REF!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ig">[20]lodo!#REF!</definedName>
    <definedName name="ADM">[19]otros!$C$2</definedName>
    <definedName name="administrador">[24]Informacion!$B$15</definedName>
    <definedName name="ADMINISTRADOR_VIAL__ARMANDO_SANCHEZ_SANCHEZ">[25]INDICMICROEMP!$A$20</definedName>
    <definedName name="ADMON">'[26]Formulario N° 4'!$F$129</definedName>
    <definedName name="adoc1">[23]!absc</definedName>
    <definedName name="ADOC125">[23]!absc</definedName>
    <definedName name="adoq">[27]!absc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a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sp">[20]lodo!#REF!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r" hidden="1">#REF!</definedName>
    <definedName name="afirmado">Scheduled_Payment+Extra_Payment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">#REF!</definedName>
    <definedName name="AII">#REF!</definedName>
    <definedName name="AIU">#REF!</definedName>
    <definedName name="AjustDelAIU">#REF!</definedName>
    <definedName name="alc">[28]!absc</definedName>
    <definedName name="ANCLAJE">'[29]MC SF GAVIONES'!#REF!</definedName>
    <definedName name="ANE">'[30]ANEXO 7'!#REF!</definedName>
    <definedName name="anscount" hidden="1">1</definedName>
    <definedName name="Antic">[33]BASES!$B$33</definedName>
    <definedName name="ANTICIPO">[34]BASES!$B$33</definedName>
    <definedName name="AÑO">[19]PRESUPUESTO!$D$13</definedName>
    <definedName name="año1">[31]dt!$A$10</definedName>
    <definedName name="año2">[31]dt!$A$11</definedName>
    <definedName name="año3">[31]dt!$A$12</definedName>
    <definedName name="AÑOWUIE">'[32]Res-Accide-10'!$R$2:$R$7</definedName>
    <definedName name="APU">[35]!absc</definedName>
    <definedName name="APU_directos">#REF!</definedName>
    <definedName name="APU221.1">#REF!</definedName>
    <definedName name="APU221.2">#REF!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Extract">[36]población!#REF!</definedName>
    <definedName name="_xlnm.Print_Area" localSheetId="0">'PRESUPUESTO OFICIAL'!$A$1:$O$198</definedName>
    <definedName name="_xlnm.Print_Area">#REF!</definedName>
    <definedName name="Areja">[16]prelim!$H$51</definedName>
    <definedName name="ARENA">[26]MATERIALES!$D$2</definedName>
    <definedName name="armuve">[0]!err</definedName>
    <definedName name="as">[0]!err</definedName>
    <definedName name="asasdasd">#N/A</definedName>
    <definedName name="ASB">[3]AASHTO!$A$8:$F$11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'[37]5.2'!$D$21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>#REF!</definedName>
    <definedName name="Asup">#REF!</definedName>
    <definedName name="Aútil">[20]prelim!#REF!</definedName>
    <definedName name="auto1">#REF!</definedName>
    <definedName name="auto123">#REF!</definedName>
    <definedName name="auto2">#REF!</definedName>
    <definedName name="AUTO22">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se">#REF!</definedName>
    <definedName name="base_VaR">#REF!</definedName>
    <definedName name="BASEDATOS">#REF!</definedName>
    <definedName name="_xlnm.Database">#REF!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'[38]ESTADO RED'!$E$8</definedName>
    <definedName name="BLog">#REF!</definedName>
    <definedName name="BLPH1" hidden="1">#REF!</definedName>
    <definedName name="bn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Titles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B">#REF!</definedName>
    <definedName name="Cagua">[39]QyC!$E$48</definedName>
    <definedName name="CANT">#REF!</definedName>
    <definedName name="capaccl">[17]dsf!$J$53</definedName>
    <definedName name="CAPÍTULO">[40]Hoja1!$A$12:$B$21</definedName>
    <definedName name="CAPITULO_I">#REF!</definedName>
    <definedName name="CAPÍTULO_I">#REF!</definedName>
    <definedName name="CAPÍTULO_II">#REF!</definedName>
    <definedName name="CAPITULOI">#REF!</definedName>
    <definedName name="CAPÍTULOS">#REF!</definedName>
    <definedName name="CARGADOR">[26]EQUIPO!$D$10</definedName>
    <definedName name="Category">#REF!</definedName>
    <definedName name="CategoryArea">'[41]Civil work'!$16:$19,'[41]Civil work'!$29:$39,'[41]Civil work'!$49:$60,'[41]Civil work'!$70:$71,'[41]Civil work'!$81:$87</definedName>
    <definedName name="causa">#REF!</definedName>
    <definedName name="CBWorkbookPriority" hidden="1">-1602700874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'[42]A. P. U.'!#REF!</definedName>
    <definedName name="Ccl">[16]insumos!$C$187</definedName>
    <definedName name="CCosto">#REF!</definedName>
    <definedName name="ccto210">#REF!</definedName>
    <definedName name="cd">[43]Hoja1!$C$81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[33]CDItem!$G$8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[44]Insum!$A$3:$H$63</definedName>
    <definedName name="Cesar">#REF!</definedName>
    <definedName name="CFeCl3">[16]insumos!$C$182</definedName>
    <definedName name="cimI">#REF!</definedName>
    <definedName name="cimII">#REF!</definedName>
    <definedName name="CIP">#REF!</definedName>
    <definedName name="circ1">#REF!</definedName>
    <definedName name="CIRCUITOS">[45]Circuitos!$C$2:$C$891</definedName>
    <definedName name="cjsa" hidden="1">#REF!</definedName>
    <definedName name="Ckwh">[16]insumos!$C$181</definedName>
    <definedName name="clase">#REF!</definedName>
    <definedName name="Clodo">[39]QyC!$E$43</definedName>
    <definedName name="CN">[20]agua!#REF!</definedName>
    <definedName name="co">[46]Anae.!#REF!</definedName>
    <definedName name="cod">#REF!</definedName>
    <definedName name="coefperdsing">[20]prelim!#REF!</definedName>
    <definedName name="colifa">'[47]Datos Iniciales'!$C$5</definedName>
    <definedName name="Comis">[48]Comis!$A$5:$V$1917</definedName>
    <definedName name="COMPRESOR">[26]EQUIPO!$D$5</definedName>
    <definedName name="COMPROBANTE_DE_PAGO">#REF!</definedName>
    <definedName name="concreto">#REF!</definedName>
    <definedName name="concreto_21">#REF!</definedName>
    <definedName name="Consultor">'[49]Datos básicos'!$B$2</definedName>
    <definedName name="Contratante">'[49]Datos básicos'!$B$1</definedName>
    <definedName name="Contrato">'[49]Datos básicos'!$B$3</definedName>
    <definedName name="CopAe">#REF!</definedName>
    <definedName name="CopAn">#REF!</definedName>
    <definedName name="CopCond">#REF!</definedName>
    <definedName name="COPIA">[0]!err</definedName>
    <definedName name="copiao4">[0]!err</definedName>
    <definedName name="corri">[0]!err</definedName>
    <definedName name="costo2" hidden="1">#REF!</definedName>
    <definedName name="COSTODIRECTO">#REF!</definedName>
    <definedName name="COSTOS">[50]TARIFAS!$A$1:$F$52</definedName>
    <definedName name="CP">[20]agua!#REF!</definedName>
    <definedName name="CPetroleo">#REF!</definedName>
    <definedName name="Cpol">[16]insumos!$C$188</definedName>
    <definedName name="_xlnm.Criteria">#REF!</definedName>
    <definedName name="Criticos">#REF!</definedName>
    <definedName name="csegur">[16]prelim!$D$60</definedName>
    <definedName name="CTA">#REF!</definedName>
    <definedName name="ctipo2">'[51]Cuadr.'!$B$19</definedName>
    <definedName name="ctipo3">'[52]Cuadr.'!$B$26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[53]Sanitario!$AC$9:$AD$9</definedName>
    <definedName name="daair">[20]agua!#REF!</definedName>
    <definedName name="dair">[20]agua!#REF!</definedName>
    <definedName name="danox">[20]agua!#REF!</definedName>
    <definedName name="dario">'[18]GPI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LSocial">[48]Tablas!$H$2:$L$26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oa">'[47]Datos Iniciales'!$C$4</definedName>
    <definedName name="DBOunit">#REF!</definedName>
    <definedName name="dcaair">[20]agua!#REF!</definedName>
    <definedName name="Dcacm">#REF!</definedName>
    <definedName name="dcair">[20]agua!#REF!</definedName>
    <definedName name="Dcp">[16]dimens!$E$41</definedName>
    <definedName name="Dcs">[20]agua!#REF!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>#N/A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ig">[20]lodo!#REF!</definedName>
    <definedName name="Ddigcs">[20]lodo!#REF!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taP">[54]chequeo!$L$446</definedName>
    <definedName name="demanto">#REF!</definedName>
    <definedName name="demanto_51">#REF!</definedName>
    <definedName name="demolicion">#REF!</definedName>
    <definedName name="Department">#REF!</definedName>
    <definedName name="DER">[55]DIST!$C$7:$D$2942</definedName>
    <definedName name="Desp">[20]lodo!#REF!</definedName>
    <definedName name="DEX">#REF!</definedName>
    <definedName name="Dext">#REF!</definedName>
    <definedName name="Dexterior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[19]PRESUPUESTO!$B$13</definedName>
    <definedName name="Diam">#REF!</definedName>
    <definedName name="diego">#REF!</definedName>
    <definedName name="diego1">#REF!</definedName>
    <definedName name="DII">#REF!</definedName>
    <definedName name="DISEÑOMARSHALL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od">[16]insumos!$C$192</definedName>
    <definedName name="Doc__2637_03_xxxxxx" comment="Escriba aqui el número del documento, dependiendo del capítulo que haga referencia las memorias de cantidades">#REF!</definedName>
    <definedName name="DOLAR">#REF!</definedName>
    <definedName name="dólar">[16]datos!$J$99</definedName>
    <definedName name="Dólares">#REF!</definedName>
    <definedName name="Dp">[53]Sanitario!$AC$8:$AD$8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nox">[20]agua!#REF!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s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v">[53]Sanitario!$AC$7:$AD$7</definedName>
    <definedName name="DW">[56]DataW!$A$3:$Q$215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I">#REF!</definedName>
    <definedName name="ebII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fCl">[17]dsf!$H$19</definedName>
    <definedName name="EE">[0]!err</definedName>
    <definedName name="EECF">#REF!</definedName>
    <definedName name="EECP">#REF!</definedName>
    <definedName name="EECV">#REF!</definedName>
    <definedName name="EEDM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[46]Anae.!#REF!</definedName>
    <definedName name="efdif">[20]agua!#REF!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[19]PRESUPUESTO!$E$7</definedName>
    <definedName name="elev">[20]agua!#REF!</definedName>
    <definedName name="elev1">[20]agua!#REF!</definedName>
    <definedName name="emanto">#REF!</definedName>
    <definedName name="emanto_51">#REF!</definedName>
    <definedName name="eme">[0]!err</definedName>
    <definedName name="emextI">#REF!</definedName>
    <definedName name="emextII">#REF!</definedName>
    <definedName name="End_Bal">#REF!</definedName>
    <definedName name="Ene00">#REF!</definedName>
    <definedName name="ENSAYOSLAB">'[57]Formato Presupuesto Consultoria'!$Z$1139:$AC$1267</definedName>
    <definedName name="ENTRADASP">#REF!</definedName>
    <definedName name="EQUI">[58]EQUIPO!$B$2:$B$36</definedName>
    <definedName name="equipo">[59]Equipo!$A$7:$A$65536</definedName>
    <definedName name="EQUIPO_1">[58]EQUIPO!$B$2:$D$36</definedName>
    <definedName name="EQUIPOS">'[57]Formato Presupuesto Consultoria'!$Z$1116:$AB$1131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ds" hidden="1">#REF!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[60]TARIF2002!#REF!</definedName>
    <definedName name="ERROR5">[60]TARIF2002!#REF!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d">#REF!</definedName>
    <definedName name="ESP">#REF!</definedName>
    <definedName name="ESPECIFICACION">#REF!</definedName>
    <definedName name="Especificación">#REF!</definedName>
    <definedName name="Estimado">#REF!</definedName>
    <definedName name="ESTRUCTURA" hidden="1">{#N/A,#N/A,TRUE,"INGENIERIA";#N/A,#N/A,TRUE,"COMPRAS";#N/A,#N/A,TRUE,"DIRECCION";#N/A,#N/A,TRUE,"RESUMEN"}</definedName>
    <definedName name="ETA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r">[61]dis!$C$166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[18]SKJ452!#REF!</definedName>
    <definedName name="Excel_BuiltIn_Print_Titles_10_51">#REF!</definedName>
    <definedName name="Excel_BuiltIn_Print_Titles_11">[18]ITA878!#REF!</definedName>
    <definedName name="Excel_BuiltIn_Print_Titles_11_51">#REF!</definedName>
    <definedName name="Excel_BuiltIn_Print_Titles_12">'[18]AEA-944'!#REF!</definedName>
    <definedName name="Excel_BuiltIn_Print_Titles_12_51">#REF!</definedName>
    <definedName name="Excel_BuiltIn_Print_Titles_13">'[18]DUB-823'!#REF!</definedName>
    <definedName name="Excel_BuiltIn_Print_Titles_13_51">#REF!</definedName>
    <definedName name="Excel_BuiltIn_Print_Titles_14">'[18]GPI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[18]XXJ617!#REF!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[18]SNG_855!#REF!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'[18]VEA 374'!#REF!</definedName>
    <definedName name="Excel_BuiltIn_Print_Titles_5_51">#REF!</definedName>
    <definedName name="Excel_BuiltIn_Print_Titles_5_XX">'[18]VEA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[18]HFB024!#REF!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[18]PAJ825!#REF!</definedName>
    <definedName name="Excel_BuiltIn_Print_Titles_9_51">#REF!</definedName>
    <definedName name="EXCROC">'[62]Análisis de precios'!$H$52</definedName>
    <definedName name="Extra_Pay">#REF!</definedName>
    <definedName name="FAC" hidden="1">#REF!</definedName>
    <definedName name="FAC_PRU">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[49]Datos!$B$5</definedName>
    <definedName name="fer">'[32]Res-Accide-10'!#REF!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INANCIACION">[0]!err</definedName>
    <definedName name="fm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>[0]!err</definedName>
    <definedName name="Fub">[63]Cálculo!$B$36</definedName>
    <definedName name="Full_Print">#REF!</definedName>
    <definedName name="Fup">[63]Cálculo!$B$38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p">[63]Cálculo!$B$37</definedName>
    <definedName name="g">#REF!</definedName>
    <definedName name="Gaby">#REF!</definedName>
    <definedName name="GAJ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dfgdfgdf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I">MATCH(0.01,End_Bal,-1)+1</definedName>
    <definedName name="GJ">#N/A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Scheduled_Payment+Extra_Payment</definedName>
    <definedName name="GM">#N/A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ILLA">[26]MATERIALES!$D$3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grtgf">[28]!absc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[64]BASE!$C$4:$H$255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RE">#REF!</definedName>
    <definedName name="h">[46]Anae.!#REF!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[20]agua!#REF!</definedName>
    <definedName name="hab___viv">[53]Sanitario!$AC$6:$AD$6</definedName>
    <definedName name="hair">[20]agua!#REF!</definedName>
    <definedName name="hanox">[20]agua!#REF!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p">[16]dimens!$E$43</definedName>
    <definedName name="hcs">[20]agua!#REF!</definedName>
    <definedName name="hd">[16]prelim!$R$64</definedName>
    <definedName name="hdesaren">[16]prelim!$D$77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dif">[20]agua!#REF!</definedName>
    <definedName name="hdig">[20]lodo!#REF!</definedName>
    <definedName name="Header_Row">ROW(#REF!)</definedName>
    <definedName name="hesp">[20]lodo!#REF!</definedName>
    <definedName name="hexI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">#REF!</definedName>
    <definedName name="hII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I">#REF!</definedName>
    <definedName name="HmII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'[65]Itemes Renovación'!#REF!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[20]agua!#REF!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otdesaren">[16]prelim!$H$74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vexI">#REF!</definedName>
    <definedName name="hvII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[0]!err</definedName>
    <definedName name="IF">'[42]A. P. U.'!#REF!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[19]otros!$C$3</definedName>
    <definedName name="Impos">#REF!</definedName>
    <definedName name="IMPREVISTOS">'[26]Formulario N° 4'!$F$130</definedName>
    <definedName name="Impto">[48]Tablas!$A$10:$D$26</definedName>
    <definedName name="INDI">[66]Indice!$1:$1048576</definedName>
    <definedName name="INDICE">#REF!</definedName>
    <definedName name="ÍNDICE">[40]Hoja1!$A$35:$D$129</definedName>
    <definedName name="inf">#REF!</definedName>
    <definedName name="INFG">#REF!</definedName>
    <definedName name="INGENIERIA1" hidden="1">#REF!</definedName>
    <definedName name="INGENIERIA11" hidden="1">#REF!</definedName>
    <definedName name="Inicio">[33]BASES!$E$26</definedName>
    <definedName name="Insumos_auxiliares">[67]Insumos!#REF!</definedName>
    <definedName name="Insumos_basicos">#REF!</definedName>
    <definedName name="Int">#REF!</definedName>
    <definedName name="Interest_Rate">#REF!</definedName>
    <definedName name="INV">#REF!</definedName>
    <definedName name="INV_11">'[68]PR 1'!$A$2:$N$655</definedName>
    <definedName name="Io">#REF!</definedName>
    <definedName name="io0ioprhyi0i90ryi90">#REF!</definedName>
    <definedName name="IOUHH">[0]!err</definedName>
    <definedName name="irng" hidden="1">#REF!</definedName>
    <definedName name="ITEM">[64]BASE!$C$4:$H$255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[55]DIST!$G$7:$H$2413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">Scheduled_Payment+Extra_Payment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parsh">[16]prelim!$F$155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wbbaentrada">[17]pt!$K$14</definedName>
    <definedName name="kwbbarasmáx">[17]t2!$G$132</definedName>
    <definedName name="kwfiltrobanda">[17]dh!$C$42</definedName>
    <definedName name="kwpolímdh">[17]dh!$G$48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ir">[20]agua!#REF!</definedName>
    <definedName name="lame" hidden="1">#REF!</definedName>
    <definedName name="lanox">[20]agua!#REF!</definedName>
    <definedName name="Last_Row">#N/A</definedName>
    <definedName name="lcp">[16]dimens!$E$44</definedName>
    <definedName name="lcs">[20]agua!#REF!</definedName>
    <definedName name="Ldesaren">[20]prelim!#REF!</definedName>
    <definedName name="ldig">[20]lodo!#REF!</definedName>
    <definedName name="Lea">#REF!</definedName>
    <definedName name="Leo">'[65]Itemes Renovación'!#REF!</definedName>
    <definedName name="lesp">[20]lodo!#REF!</definedName>
    <definedName name="LI">#REF!</definedName>
    <definedName name="Libro">[69]LVentas!$A$5:$K$55</definedName>
    <definedName name="LICITACION">#REF!</definedName>
    <definedName name="LII">#REF!</definedName>
    <definedName name="LINEA">[70]CONT_ADI!#REF!</definedName>
    <definedName name="listequi">#REF!</definedName>
    <definedName name="listmat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mI">#REF!</definedName>
    <definedName name="LmiI">#REF!</definedName>
    <definedName name="Lmint">#REF!</definedName>
    <definedName name="LmintI">#REF!</definedName>
    <definedName name="lmuroair">[20]agua!#REF!</definedName>
    <definedName name="lmuroanox">[20]agua!#REF!</definedName>
    <definedName name="lmurocp">[20]agua!#REF!</definedName>
    <definedName name="lmurocs">[20]agua!#REF!</definedName>
    <definedName name="lmurodig">[20]lodo!#REF!</definedName>
    <definedName name="lmuroesp">[20]lodo!#REF!</definedName>
    <definedName name="Loan_Amount">#REF!</definedName>
    <definedName name="Loan_Start">#REF!</definedName>
    <definedName name="Loan_Years">#REF!</definedName>
    <definedName name="LOCA">[23]!absc</definedName>
    <definedName name="LOCA1">[35]!absc</definedName>
    <definedName name="LOCALIZACION_Y_REPLANTEO">#REF!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IF(COUNT([71]GENERAL!$A$8)=0,0,ABS([71]GENERAL!$A$8))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s">#REF!</definedName>
    <definedName name="lsttros">#REF!</definedName>
    <definedName name="Lsup">#REF!</definedName>
    <definedName name="lun">'[32]Res-Accide-10'!#REF!</definedName>
    <definedName name="m3mindifus">[20]agua!#REF!</definedName>
    <definedName name="MA">'[32]Res-Accide-10'!#REF!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'[72]Estado Resumen'!#REF!&lt;2.5</definedName>
    <definedName name="MALO">'[73]ESTADO VÍA-CRIT.TECNICO'!#REF!&lt;2.5</definedName>
    <definedName name="ManoObra">[74]Insum!$A$104:$E$116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[44]Insum!$A$68:$H$98</definedName>
    <definedName name="Maquinaria">[74]Insum!$A$76:$E$99</definedName>
    <definedName name="mar">'[32]Res-Accide-10'!#REF!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">[75]MATERIALES!$1:$1048576</definedName>
    <definedName name="MATER">[58]MATERIAL!$B$3:$B$580</definedName>
    <definedName name="MATERIALES">[58]MATERIAL!$B$2:$D$580</definedName>
    <definedName name="MATRIZRICS">'[76]RICS NUEVA HOJA DIARIA'!$A$1:$AB$42</definedName>
    <definedName name="MAX">[77]INDICE!$1:$1048576</definedName>
    <definedName name="maxd">[17]dt!$A$54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[19]PRESUPUESTO!$C$13</definedName>
    <definedName name="MESES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n">[31]dt!$A$33</definedName>
    <definedName name="MIO">[78]INDICE!$1:$1048576</definedName>
    <definedName name="mjh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kljlk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MONTAJE">#REF!</definedName>
    <definedName name="mSS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MBRE">#REF!</definedName>
    <definedName name="Nomina">[48]Nomina!$A$3:$AB$64</definedName>
    <definedName name="nparsh">[16]prelim!$F$156</definedName>
    <definedName name="NUEVO">#REF!</definedName>
    <definedName name="Num_Pmt_Per_Year">#REF!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">'[79]APU Expo Terrestre'!$J$10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[19]PRESUPUESTO!$C$10</definedName>
    <definedName name="Objeto">'[49]Datos básicos'!$B$4</definedName>
    <definedName name="Obra">#REF!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F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RIO">'[57]Formato Presupuesto Consultoria'!$Z$1058:$AA$1111</definedName>
    <definedName name="ORIGINAL" hidden="1">{#N/A,#N/A,FALSE,"orthoflow";#N/A,#N/A,FALSE,"Miscelaneos";#N/A,#N/A,FALSE,"Instrumentacio";#N/A,#N/A,FALSE,"Electrico";#N/A,#N/A,FALSE,"Valv. Seguridad"}</definedName>
    <definedName name="OROZCO" hidden="1">[4]INST!#REF!</definedName>
    <definedName name="OTR">[80]Otros!#REF!</definedName>
    <definedName name="OTRO">[75]OTROS!$1:$1048576</definedName>
    <definedName name="otros">[59]otros!$A$6:$A$1235</definedName>
    <definedName name="P">#REF!</definedName>
    <definedName name="P_1">#N/A</definedName>
    <definedName name="P_2">'[1]CUAD-DIURNA'!#REF!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">#REF!</definedName>
    <definedName name="Pay_Date">#REF!</definedName>
    <definedName name="Pay_Num">#REF!</definedName>
    <definedName name="Payment_Date">DATE(YEAR(Loan_Start),MONTH(Loan_Start)+Payment_Number,DAY(Loan_Start))</definedName>
    <definedName name="Pbarom">[54]chequeo!$L$449</definedName>
    <definedName name="PE">#REF!</definedName>
    <definedName name="PEgre">#REF!</definedName>
    <definedName name="PEPE">[0]!err</definedName>
    <definedName name="PERRD">#REF!</definedName>
    <definedName name="Pesos">#REF!</definedName>
    <definedName name="Pexc">[16]punit!$G$10</definedName>
    <definedName name="Pexclag">[16]punit!$G$11</definedName>
    <definedName name="Pexclagc">[81]oc!$F$69</definedName>
    <definedName name="Pexlag">#REF!</definedName>
    <definedName name="Pfe">[16]punit!$G$15</definedName>
    <definedName name="PI">#REF!</definedName>
    <definedName name="PIngr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[33]BASES!$E$27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old">[16]punit!$G$9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[34]BASES!$E$26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[82]PRECIOS!$A$5:$M$191</definedName>
    <definedName name="PreciosMP">'[83]PRECIOS ACTUALIZADOS FERRASA'!$A$2:$D$1316</definedName>
    <definedName name="Prell">[16]punit!$G$12</definedName>
    <definedName name="PREST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">#REF!</definedName>
    <definedName name="PROFESIONAL">'[57]Formato Presupuesto Consultoria'!$Z$1002:$AA$1039</definedName>
    <definedName name="PrOfic">[33]BASES!$B$31</definedName>
    <definedName name="PROG" hidden="1">#REF!</definedName>
    <definedName name="programainv">[0]!err</definedName>
    <definedName name="Proponente">#REF!</definedName>
    <definedName name="PRUEBA">[84]!absc</definedName>
    <definedName name="prueba1">[84]!absc</definedName>
    <definedName name="PRUEBA2">#REF!</definedName>
    <definedName name="PRUEBAS">#REF!</definedName>
    <definedName name="PTair">#REF!</definedName>
    <definedName name="PTanox">#REF!</definedName>
    <definedName name="PTAR" hidden="1">{#N/A,#N/A,FALSE,"Estatico";#N/A,#N/A,FALSE,"Tuberia";#N/A,#N/A,FALSE,"Instrumentación";#N/A,#N/A,FALSE,"Mecanica";#N/A,#N/A,FALSE,"Electrico";#N/A,#N/A,FALSE,"Ofic.Civiles"}</definedName>
    <definedName name="PTcp">#REF!</definedName>
    <definedName name="PTcs">#REF!</definedName>
    <definedName name="PTdae">[17]dae!$K$149</definedName>
    <definedName name="PTdig">#REF!</definedName>
    <definedName name="PTdsf">[17]dsf!$G$124</definedName>
    <definedName name="Pterrap">[16]punit!$G$13</definedName>
    <definedName name="Ptesp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pt">#REF!</definedName>
    <definedName name="Ptte">[16]punit!$G$14</definedName>
    <definedName name="Pttec">[81]oc!$F$72</definedName>
    <definedName name="PTtp">#REF!</definedName>
    <definedName name="PTwas">[17]was!$K$181</definedName>
    <definedName name="PUENTE">[40]Hoja1!$A$2:$A$10</definedName>
    <definedName name="PUENTES">[40]Hoja1!$A$1:$C$10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iresopl">[16]agua!$K$203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ifusor">[16]dimens!$D$87</definedName>
    <definedName name="QE">[60]TARIF2002!#REF!</definedName>
    <definedName name="QE_TE">[60]TARIF2002!#REF!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[60]TARIF2002!#REF!</definedName>
    <definedName name="QI_TI">[60]TARIF2002!#REF!</definedName>
    <definedName name="QN">[60]TARIF2002!#REF!</definedName>
    <definedName name="QN_QI">[60]TARIF2002!#REF!</definedName>
    <definedName name="QNS">[85]TARIF2002!#REF!</definedName>
    <definedName name="QQQ">DATE(YEAR(Loan_Start),MONTH(Loan_Start)+Payment_Number,DAY(Loan_Start))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[10]Hoja2!#REF!</definedName>
    <definedName name="RE">#N/A</definedName>
    <definedName name="recircul">[17]t2!$J$98</definedName>
    <definedName name="RED">[10]EST2!$AQ$2</definedName>
    <definedName name="REG">#REF!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[38]CARRETERAS!$A$2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ICIO">[0]!err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'[38]GENERALIDADES '!$E$9</definedName>
    <definedName name="resul">#REF!</definedName>
    <definedName name="Retenc">[33]BASES!$E$31</definedName>
    <definedName name="retro1">[86]INSUMOS!$A$36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ÓN">[40]Hoja1!$C$13:$C$18</definedName>
    <definedName name="revreja">[20]prelim!#REF!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[0]!err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Minimo">[33]BASES!$E$41</definedName>
    <definedName name="Sbf">[14]CALCULO!$E$61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p">[16]dimens!$E$45</definedName>
    <definedName name="Scs">[20]agua!#REF!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sp">[20]lodo!#REF!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exI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s">#REF!</definedName>
    <definedName name="SI">[17]t2!$G$267</definedName>
    <definedName name="SII">[17]t2!$H$267</definedName>
    <definedName name="SISISIS">[0]!err</definedName>
    <definedName name="Slecho">[17]dh!$K$73</definedName>
    <definedName name="SOBREANCHO">[10]Hoja2!#REF!</definedName>
    <definedName name="SOL">#REF!</definedName>
    <definedName name="solver_sc¸" hidden="1">0</definedName>
    <definedName name="solver_shÞ" hidden="1">0</definedName>
    <definedName name="solver_toV" hidden="1">0.05</definedName>
    <definedName name="Spanner_Auto_File">"C:\EXCEL\PTASCH~1.x2a"</definedName>
    <definedName name="Spanner_Auto_Select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cc">[17]dsf!$L$117</definedName>
    <definedName name="Structure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A">'[87]SUB APU'!$A:$D</definedName>
    <definedName name="suma">[43]Hoja1!$F$60</definedName>
    <definedName name="Summary">#REF!</definedName>
    <definedName name="sup">[46]Anae.!#REF!</definedName>
    <definedName name="Supe">[17]was!$K$70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'[47]Datos Iniciales'!$C$3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abla2">#REF!</definedName>
    <definedName name="TANQUES">#REF!</definedName>
    <definedName name="TARIFA_DE_ALQUILER">'[57]Formato Presupuesto Consultoria'!$AA$1134:$AA$1135</definedName>
    <definedName name="TARIFAS">[88]TARIFAS!$A$1:$F$52</definedName>
    <definedName name="tasaHdesaren">[16]prelim!$E$71</definedName>
    <definedName name="tasaHls">[16]prelim!$E$73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[60]TARIF2002!#REF!</definedName>
    <definedName name="TECNOLOGO">'[57]Formato Presupuesto Consultoria'!$Z$1043:$AA$1054</definedName>
    <definedName name="TER">[0]!err</definedName>
    <definedName name="Tere">#REF!</definedName>
    <definedName name="TERM">[0]!err</definedName>
    <definedName name="TÉRMINOS">[0]!err</definedName>
    <definedName name="TERR">[19]PRESUPUESTO!$I$7</definedName>
    <definedName name="teta">[46]Anae.!#REF!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[60]TARIF2002!#REF!</definedName>
    <definedName name="TIEMPO">[34]BASES!$E$27</definedName>
    <definedName name="tipo1">'[89]Cuadr.'!$L$7</definedName>
    <definedName name="tipo2">'[51]Cuadr.'!$L$19</definedName>
    <definedName name="tipo3">'[52]Cuadr.'!$L$26</definedName>
    <definedName name="tipov">#REF!</definedName>
    <definedName name="TITU">#REF!</definedName>
    <definedName name="TITULO">#REF!</definedName>
    <definedName name="_xlnm.Print_Titles">#N/A</definedName>
    <definedName name="Títulos_a_imprimir_IM">#REF!</definedName>
    <definedName name="TK_1" hidden="1">[13]INST!#REF!</definedName>
    <definedName name="T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[10]Hoja2!#REF!</definedName>
    <definedName name="Transportes">[74]Insum!$A$121:$E$125</definedName>
    <definedName name="TRAT">[90]desmonte!$E$48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[91]VrEqpBasica!$I$2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e">[16]insumos!$C$193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BERIAS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">[48]Tablas!$B$2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es">[92]Presup_Cancha!$J$13:$J$17</definedName>
    <definedName name="UNITARIO">[93]Unitarios!$A$3:$D$13</definedName>
    <definedName name="Unitarios">#REF!</definedName>
    <definedName name="unj" hidden="1">[8]INST!#REF!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TILIDAD">'[26]Formulario N° 4'!$F$131</definedName>
    <definedName name="UTL">[19]otros!$C$4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T_2012">'[94]A. Profesional'!$M$3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>[20]agua!#REF!</definedName>
    <definedName name="Vair">[20]agua!#REF!</definedName>
    <definedName name="VAL">[95]INF.FINANCIERA!$A$52:$D$66</definedName>
    <definedName name="VALDES">#REF!</definedName>
    <definedName name="VALOR">[95]INF.FINANCIERA!$A$52:$D$61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N">#N/A</definedName>
    <definedName name="Vanox">[20]agua!#REF!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ig">[20]lodo!#REF!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rsion4OK" hidden="1">{"Datos de las Curvas",#N/A,TRUE,"TABLA-CALCULOS"}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#REF!</definedName>
    <definedName name="VIBRADOR">[26]EQUIPO!$D$27</definedName>
    <definedName name="VII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DFSDF">'[32]Res-Accide-10'!#REF!</definedName>
    <definedName name="WE">#N/A</definedName>
    <definedName name="WEFWE">'[32]Res-Accide-10'!#REF!</definedName>
    <definedName name="WER">'[32]Res-Accide-10'!$S$2:$S$7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'[32]Res-Accide-10'!#REF!</definedName>
    <definedName name="WorksheetSubTotal">#REF!</definedName>
    <definedName name="WorksheetTota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[96]INDICE!$1:$1048576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u">#REF!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>#REF!</definedName>
    <definedName name="xxxxx">[97]!absc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MATCH(0.01,End_Bal,-1)+1</definedName>
    <definedName name="ZZZZZZZZZZZ">'[42]A.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94" i="1" l="1"/>
  <c r="P196" i="1"/>
  <c r="K179" i="1" l="1"/>
  <c r="K178" i="1"/>
  <c r="K177" i="1"/>
  <c r="K176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59" i="1"/>
  <c r="K158" i="1"/>
  <c r="K157" i="1"/>
  <c r="K156" i="1"/>
  <c r="K155" i="1"/>
  <c r="K154" i="1"/>
  <c r="K153" i="1"/>
  <c r="K152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5" i="1"/>
  <c r="K124" i="1"/>
  <c r="K121" i="1"/>
  <c r="K120" i="1"/>
  <c r="K119" i="1"/>
  <c r="K118" i="1"/>
  <c r="K117" i="1"/>
  <c r="K116" i="1"/>
  <c r="K115" i="1"/>
  <c r="K112" i="1"/>
  <c r="K111" i="1"/>
  <c r="K110" i="1"/>
  <c r="K109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78" i="1" l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4" i="1"/>
  <c r="K53" i="1"/>
  <c r="K52" i="1"/>
  <c r="K49" i="1"/>
  <c r="K48" i="1"/>
  <c r="K47" i="1"/>
  <c r="K46" i="1"/>
  <c r="K45" i="1"/>
  <c r="K44" i="1"/>
  <c r="K43" i="1"/>
  <c r="K40" i="1"/>
  <c r="K39" i="1"/>
  <c r="K38" i="1"/>
  <c r="K37" i="1"/>
  <c r="K36" i="1"/>
  <c r="K35" i="1"/>
  <c r="K34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5" i="1"/>
  <c r="K14" i="1"/>
  <c r="J179" i="1"/>
  <c r="J178" i="1"/>
  <c r="J177" i="1"/>
  <c r="J176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59" i="1"/>
  <c r="J158" i="1"/>
  <c r="J157" i="1"/>
  <c r="J156" i="1"/>
  <c r="J155" i="1"/>
  <c r="J154" i="1"/>
  <c r="J153" i="1"/>
  <c r="J152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5" i="1"/>
  <c r="J124" i="1"/>
  <c r="J121" i="1"/>
  <c r="J120" i="1"/>
  <c r="J119" i="1"/>
  <c r="J118" i="1"/>
  <c r="J117" i="1"/>
  <c r="J116" i="1"/>
  <c r="J115" i="1"/>
  <c r="J112" i="1"/>
  <c r="J111" i="1"/>
  <c r="J110" i="1"/>
  <c r="J109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4" i="1"/>
  <c r="J53" i="1"/>
  <c r="J52" i="1"/>
  <c r="J49" i="1"/>
  <c r="J48" i="1"/>
  <c r="J47" i="1"/>
  <c r="J46" i="1"/>
  <c r="J45" i="1"/>
  <c r="J44" i="1"/>
  <c r="J43" i="1"/>
  <c r="J40" i="1"/>
  <c r="J39" i="1"/>
  <c r="J38" i="1"/>
  <c r="J37" i="1"/>
  <c r="J36" i="1"/>
  <c r="J35" i="1"/>
  <c r="J34" i="1"/>
  <c r="J31" i="1"/>
  <c r="J30" i="1"/>
  <c r="J29" i="1"/>
  <c r="J28" i="1"/>
  <c r="J27" i="1"/>
  <c r="J26" i="1"/>
  <c r="J25" i="1"/>
  <c r="J24" i="1"/>
  <c r="J23" i="1"/>
  <c r="J22" i="1"/>
  <c r="J21" i="1"/>
  <c r="J20" i="1"/>
  <c r="J15" i="1"/>
  <c r="J14" i="1"/>
  <c r="M19" i="1" l="1"/>
  <c r="M179" i="1" l="1"/>
  <c r="M178" i="1"/>
  <c r="M177" i="1"/>
  <c r="M176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58" i="1"/>
  <c r="M155" i="1"/>
  <c r="M154" i="1"/>
  <c r="M153" i="1"/>
  <c r="M152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5" i="1"/>
  <c r="M124" i="1"/>
  <c r="M121" i="1"/>
  <c r="M120" i="1"/>
  <c r="M119" i="1"/>
  <c r="M118" i="1"/>
  <c r="M117" i="1"/>
  <c r="M116" i="1"/>
  <c r="M115" i="1"/>
  <c r="M112" i="1"/>
  <c r="M111" i="1"/>
  <c r="M110" i="1"/>
  <c r="M10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4" i="1"/>
  <c r="M53" i="1"/>
  <c r="M52" i="1"/>
  <c r="M49" i="1"/>
  <c r="M48" i="1"/>
  <c r="M47" i="1"/>
  <c r="M46" i="1"/>
  <c r="M45" i="1"/>
  <c r="M44" i="1"/>
  <c r="M43" i="1"/>
  <c r="M40" i="1"/>
  <c r="M39" i="1"/>
  <c r="M38" i="1"/>
  <c r="M37" i="1"/>
  <c r="M36" i="1"/>
  <c r="M35" i="1"/>
  <c r="M34" i="1"/>
  <c r="M31" i="1"/>
  <c r="M30" i="1"/>
  <c r="M29" i="1"/>
  <c r="M28" i="1"/>
  <c r="M27" i="1"/>
  <c r="M26" i="1"/>
  <c r="M25" i="1"/>
  <c r="M24" i="1"/>
  <c r="M23" i="1"/>
  <c r="M22" i="1"/>
  <c r="M21" i="1"/>
  <c r="M20" i="1"/>
  <c r="M18" i="1"/>
  <c r="M15" i="1"/>
  <c r="M14" i="1"/>
  <c r="M180" i="1" l="1"/>
  <c r="M150" i="1"/>
  <c r="M50" i="1"/>
  <c r="M174" i="1"/>
  <c r="M126" i="1"/>
  <c r="M122" i="1"/>
  <c r="M113" i="1"/>
  <c r="M79" i="1"/>
  <c r="M55" i="1"/>
  <c r="M41" i="1"/>
  <c r="M32" i="1"/>
  <c r="M16" i="1"/>
  <c r="M88" i="1"/>
  <c r="M96" i="1"/>
  <c r="M82" i="1"/>
  <c r="M104" i="1"/>
  <c r="M83" i="1"/>
  <c r="M91" i="1"/>
  <c r="M99" i="1"/>
  <c r="M86" i="1"/>
  <c r="M87" i="1"/>
  <c r="M95" i="1"/>
  <c r="M85" i="1"/>
  <c r="M94" i="1"/>
  <c r="M102" i="1"/>
  <c r="M156" i="1"/>
  <c r="M101" i="1"/>
  <c r="M103" i="1"/>
  <c r="M157" i="1"/>
  <c r="M81" i="1"/>
  <c r="M89" i="1"/>
  <c r="M97" i="1"/>
  <c r="M105" i="1"/>
  <c r="M159" i="1"/>
  <c r="M90" i="1"/>
  <c r="M98" i="1"/>
  <c r="M106" i="1"/>
  <c r="M93" i="1"/>
  <c r="M84" i="1"/>
  <c r="M92" i="1"/>
  <c r="M100" i="1"/>
  <c r="M160" i="1" l="1"/>
  <c r="M107" i="1"/>
  <c r="M181" i="1" s="1"/>
  <c r="P182" i="1" s="1"/>
  <c r="M189" i="1" l="1"/>
  <c r="P190" i="1" s="1"/>
</calcChain>
</file>

<file path=xl/sharedStrings.xml><?xml version="1.0" encoding="utf-8"?>
<sst xmlns="http://schemas.openxmlformats.org/spreadsheetml/2006/main" count="602" uniqueCount="285">
  <si>
    <t>Nº</t>
  </si>
  <si>
    <t>ESPECIFICACIONES</t>
  </si>
  <si>
    <t>UND</t>
  </si>
  <si>
    <t>VALOR</t>
  </si>
  <si>
    <t>INCREMENTO</t>
  </si>
  <si>
    <t>GENERAL</t>
  </si>
  <si>
    <t>UNITARIO</t>
  </si>
  <si>
    <t>X DISTANCIA</t>
  </si>
  <si>
    <t>TOTAL</t>
  </si>
  <si>
    <t>1. PRELIMINARES</t>
  </si>
  <si>
    <t>LOCALIZACIÓN Y REPLANTEO OBRA ARQUITECTÓNICA</t>
  </si>
  <si>
    <t>M2</t>
  </si>
  <si>
    <t>CERRAMIENTO EN VARA ROLLIZA Y LONA H=1.50 M. DISTANCIA ENTRE POSTES 2M</t>
  </si>
  <si>
    <t>M</t>
  </si>
  <si>
    <t xml:space="preserve">2. CIMENTACIÓN </t>
  </si>
  <si>
    <t>EXCAVACION MANUAL EN MATERIAL COMUN (INCLUYE RETIRO)</t>
  </si>
  <si>
    <t>M3</t>
  </si>
  <si>
    <t>3.02.04</t>
  </si>
  <si>
    <t>RELLENO CON MATERIAL SELECCIONADO PROVENIENTE DE EXCAVACIÓN COMPACTADO CON PLANCHA VIBRADORA</t>
  </si>
  <si>
    <t>3.03.15</t>
  </si>
  <si>
    <t>SOLADO CONCRETO ESPESOR E=0.07MTS 14MPa (2000PSI)</t>
  </si>
  <si>
    <t>RELLENO SUBBASE GRANULAR COMPACTADO CON PLANCHA VIBRADORA</t>
  </si>
  <si>
    <t>SUMINISTRO FIGURADA Y AMARRE DE ACERO 60000 PSI 420 Mpa</t>
  </si>
  <si>
    <t>KG</t>
  </si>
  <si>
    <t>SUMINISTRO FIGURADA Y AMARRE DE ACERO 37000 PSI 240 Mpa</t>
  </si>
  <si>
    <t>3.12.03</t>
  </si>
  <si>
    <t>M3-KM</t>
  </si>
  <si>
    <t>3.12.01</t>
  </si>
  <si>
    <t>3. ESTRUCTURAL</t>
  </si>
  <si>
    <t>COLUMNAS EN CONCRETO 28 MPa (4000 PSI), ALTURA MAYOR A 3 mts-FORMALETA METALICA</t>
  </si>
  <si>
    <t>COLUMNETAS EN CONCRETO 21 MPa (3000 PSI)</t>
  </si>
  <si>
    <t xml:space="preserve">4. MAMPOSTERIA Y PINTURA </t>
  </si>
  <si>
    <t>MURO EN BLOQUE No. 5 E=0.12 MTS</t>
  </si>
  <si>
    <t>FILOS Y DILATACIONES EN PAÑETES</t>
  </si>
  <si>
    <t>PAÑETE LISO MUROS  1:4</t>
  </si>
  <si>
    <t xml:space="preserve">MESÓN EN GRANITO, SEGÚN DISEÑO </t>
  </si>
  <si>
    <t>5.PISO Y ENCHAPES</t>
  </si>
  <si>
    <t xml:space="preserve">PISO CERÁMICA </t>
  </si>
  <si>
    <t>1.10.05</t>
  </si>
  <si>
    <t xml:space="preserve">SUMINISTRO E INSTALACIÓN DE ENCHAPE EN PORCELANA OLIMPIA 20X20 O SIMILAR </t>
  </si>
  <si>
    <t>6.INSTALACIONES ELÉCTRICAS INTERNAS</t>
  </si>
  <si>
    <t>SUMINISTRO E INSTALACIÓN DE PANEL LED REDONDO DE INCRUSTAR DE 18 W</t>
  </si>
  <si>
    <t>SUMINISTRO E INSTALACIÓN DE LUMINARIA DE EMERGENCIA CON DOBLE SPOT 2X1.6W</t>
  </si>
  <si>
    <t>SUMINISTRO E INSTALACIÓN DE SALIDA COMPLETA PARA TOMACORRIENTE MONOFÁSICO, EN CALIBRE 12 AWG Y DUCTO PVC DE 1/2". (INCLUYE APARATO).</t>
  </si>
  <si>
    <t>SUMINISTRO E INSTALACIÓN DE SALIDA COMPLETA PARA TOMACORRIENTE MONOFÁSICO TIPO GFCI, EN CALIBRE 12 AWG (F, N, T) Y DUCTO PVC DE 1/2". (INCLUYE APARATO).</t>
  </si>
  <si>
    <t>SUMINISTRO E INSTALACIÓN DE TABLERO DE DISTRIBUCIÓN  MONOFÁSICO DE 4 CIRCUITOS</t>
  </si>
  <si>
    <t>SUMINISTRO E INSTALACIÓN DE CAJA METÁLICA DE PASO Y/O DERIVACIÓN DE 25 X 25 X 10 CM.</t>
  </si>
  <si>
    <t>SUMINISTRO E INSTALACIÓN DE ALAMBRÓN DE 8 MM PARA ANILLO SUPERIOR DE SISTEMA DE APANTALLAMIENTO</t>
  </si>
  <si>
    <t>SUMINISTRO E INSTALACIÓN DE BAJANTE DE APANTALLAMIENTO EN ALAMBRÓN DE 8MM EMBEBIDA EN MURO. INCLUYE DUCTO PVC 3/4"</t>
  </si>
  <si>
    <t>SUMINISTRO E INSTALACIÓN DE CAJA METÁLICA DE TRANSICIÓN PARA BAJANTE DE APANTALLAMIENTO</t>
  </si>
  <si>
    <t>SUMINISTRO E INSTALACIÓN DE CABLE 1/0 PARA ANILLO INFERIOR DE APANTALLAMIENTO</t>
  </si>
  <si>
    <t>SUMINISTRO E INSTALACIÓN DE ELECTRODO DE PUESTA A TIERRA PARA SISTEMA DE APANTALLAMIENTO</t>
  </si>
  <si>
    <t>SUMINISTRO E INSTALACIÓN DE CAJA DE INSPECCIÓN PLÁSTICA DE 30 X 30 PARA SISTEMA DE APANTALLAMIENTO</t>
  </si>
  <si>
    <t>SUMINISTRO E INSTALACIÓN DE SALIDA DE ILUMINACIÓN EN PLACA O MURO, EN CALIBRE 12 AWG (F, N, T) EN DUCTO PVC 1/2 "</t>
  </si>
  <si>
    <t>SUMINISTRO E INSTALACIÓN DE SENSOR DE MOVIMIENTO 360°</t>
  </si>
  <si>
    <t>SUMINISTRO E INSTALACIÓN DE SALIDA SENCILLA PARA TIMBRE.</t>
  </si>
  <si>
    <t>RELLENO ARENA DE PEÑA COMPACTADO CON PLANCHA VIBRADORA</t>
  </si>
  <si>
    <t xml:space="preserve">7.INSTALACIONES HIDRAULICAS Y SANITARIAS </t>
  </si>
  <si>
    <t>1.01.69</t>
  </si>
  <si>
    <t>LOCALIZACIÓN Y REPLANTEO REDES HASTA H=50 cm.</t>
  </si>
  <si>
    <t>2.04.56</t>
  </si>
  <si>
    <t>PUNTO HIDRAULICO 1/2"</t>
  </si>
  <si>
    <t>2.01.17</t>
  </si>
  <si>
    <t>SUMINISTRO E INSTALACIÓN TUBERÍA PVC PRESIÓN D = ½" RDE 9</t>
  </si>
  <si>
    <t>2.01.23</t>
  </si>
  <si>
    <t>SUMINISTRO E INSTALACIÓN TUBERÍA PVC PRESIÓN D = 3/4" RDE 11</t>
  </si>
  <si>
    <t>2.01.19</t>
  </si>
  <si>
    <t>SUMINISTRO E INSTALACIÓN TUBERÍA PVC PRESIÓN D = 1 1/4" RDE 21 E.L</t>
  </si>
  <si>
    <t>2.01.18</t>
  </si>
  <si>
    <t>SUMINISTRO E INSTALACIÓN TUBERÍA PVC PRESIÓN D = 1 1/2" RDE 21 E.L</t>
  </si>
  <si>
    <t>CONEXIONES DOMICILIARIAS PVC 1/2", INCLUYE MEDIDOR</t>
  </si>
  <si>
    <t>SUMINISTRO E INSTALACIÓN DE CAJA Y FLAUTA DE 4 SALIDAS PARA MEDIDOR</t>
  </si>
  <si>
    <t>REVENTILACION  PVC 3"</t>
  </si>
  <si>
    <t>REVENTILACION PVC 2"</t>
  </si>
  <si>
    <t>SUMINISTRO E INSTALACION CAJAS PARA VALVULAS TIPO CHOROTE EN H.F.</t>
  </si>
  <si>
    <t xml:space="preserve">8.APARATOS SANITARIOS,COCINA Y LAVADERO </t>
  </si>
  <si>
    <t xml:space="preserve">SUMINISTRO E INSTALACIÓN DE SANITARIO </t>
  </si>
  <si>
    <t>SUMINISTRO E INSTALACION DE LAVAPLATOS EN ACERO INOXIDABLE</t>
  </si>
  <si>
    <t xml:space="preserve">SUMINISTRO E INSTALACION DE LAVADERO PREFABRICADO </t>
  </si>
  <si>
    <t xml:space="preserve">9. CARPINTERIA METALICA </t>
  </si>
  <si>
    <t>1.15.15</t>
  </si>
  <si>
    <t>VENTANA EN ALUMINIO CORREDIZA</t>
  </si>
  <si>
    <t>1.15.16</t>
  </si>
  <si>
    <t xml:space="preserve">VENTANA EN ALUMINNIO PROYECTANTE </t>
  </si>
  <si>
    <t>1.15.08</t>
  </si>
  <si>
    <t>SUMINISTRO E INSTALACIÓN PUERTA EN LAMINA CAL 18 INC. ANTICORROSIVO</t>
  </si>
  <si>
    <t>1.15.07</t>
  </si>
  <si>
    <t xml:space="preserve">SUMINISTRO E INSTALACIÓN MARCO EN LAMINA A=90 CM CAL 18 INC. ANTICORROSIVO </t>
  </si>
  <si>
    <t>1.15.06</t>
  </si>
  <si>
    <t>PUERTA DE ACCESO EN ALUMINIO PERFIL 1 1/2" x 1 1/2"</t>
  </si>
  <si>
    <t>1.14.22</t>
  </si>
  <si>
    <t>MARCO Y PUERTA MADERA PINO ENTABL. TRIPLEX 70-90*200 CM</t>
  </si>
  <si>
    <t>SUMINISTRO E INSTALACION  DE BARANDAS EN TUBERÍA METÁLICA AGUA NEGRA D=2", C. 0.80,  SOLDADO,  INCLUYE ANTICORROSIVO Y PINTURA, SEGUN DISEÑO.</t>
  </si>
  <si>
    <t xml:space="preserve">10. VIDRIOS Y CERRADURAS </t>
  </si>
  <si>
    <t>CERRADURA ENTRADA YALE O SIMILAR</t>
  </si>
  <si>
    <t xml:space="preserve">11.  CUBIERTAS , CANALES Y DESAGUES </t>
  </si>
  <si>
    <t>SUMINISTRO E INSTALACIÓN CUBIERTA EN TEJA FIBROCEMENTO NUMERO 10</t>
  </si>
  <si>
    <t xml:space="preserve">SUMINISTO E INSTALACION DE CABALLETE ONDULADO FIBROCEMENTO </t>
  </si>
  <si>
    <t>SUMINISTRO E INSTALACIÓN PERFILERIA METALICA PARA ESTRUCTURA DE CUBIERTA. DIMENSIONES Y CALIBRES SEGÚN DISEÑO</t>
  </si>
  <si>
    <t>SUMINISTRO E INSTALACIÓN FLANCHE EN LAMINA</t>
  </si>
  <si>
    <t xml:space="preserve">SUMINISTRO Y APLICACIÓN DE PINTURA TIPO TRAFICO </t>
  </si>
  <si>
    <t>1.06.07</t>
  </si>
  <si>
    <t>SUMINISTRO E INSTALACION DE BAJANTE DE AGUA NEGRA PVC 4"</t>
  </si>
  <si>
    <t>SUMINISTRO E INSTALACION DE REJILLAS CUPULA TRAGANTE 5*3</t>
  </si>
  <si>
    <t xml:space="preserve">SUMINISTRO E INSTALACIÓN DE GARGOLA DE REBOSE PREFABRICADO </t>
  </si>
  <si>
    <t>1.06.11</t>
  </si>
  <si>
    <t xml:space="preserve">CONEXIÓN TANQUE ELEVADO PVC 2" INCLUY. REGISTRO </t>
  </si>
  <si>
    <t>1.06.36</t>
  </si>
  <si>
    <t>SUMINISTRO E INSTALACIÓN TANQUE ELEVADO PVC 2000 LTS. INC. ACCESORIOS</t>
  </si>
  <si>
    <t>1.03.19</t>
  </si>
  <si>
    <t>PLACA MACIZA 31MPA - (3000 PSI) E=0,10MTS</t>
  </si>
  <si>
    <t>PINTURA FACHADA PARA EXTERIORES TIPO KORAZA</t>
  </si>
  <si>
    <t>PAÑETE IMPERMEABILIZADO 1:3</t>
  </si>
  <si>
    <t xml:space="preserve">LAVADA DE FACHADA INC. ACIDO MURIATICO </t>
  </si>
  <si>
    <t xml:space="preserve">12.  ZONAS COMUNES TORRE </t>
  </si>
  <si>
    <t>ESCALERAS MACIZA 21 MPa - (3000 PSI)</t>
  </si>
  <si>
    <t>m2</t>
  </si>
  <si>
    <t xml:space="preserve">13. RED CONTRA INCENDIOS </t>
  </si>
  <si>
    <t>SUMINISTRO E INSTALACIÓN SIAMESA 4" X 2 1/2" X 2 1/2" Inc tapa - cadena</t>
  </si>
  <si>
    <t>SUMINISTRO E INSTALACION GABINETE TIPO II PARA RED CONTRA INCENDIOS CON VALVULA ANGULAR DE 2 1/2" Y ADITAMENTOS INCLUYE TAPA Y CADENA EN BRONCE PARA 300 PSI</t>
  </si>
  <si>
    <t>SUMINISTRO E INSTALACIÓN CHEQUE RANURADO 3"</t>
  </si>
  <si>
    <t>SUMINISTRO E INSTALACIÓN ACERO NEGRO 3" SCH 40</t>
  </si>
  <si>
    <t>SUMINISTRO E INSTALACIÓN ACERO NEGRO 2-1/2" SCH 40</t>
  </si>
  <si>
    <t>SUMINISTRO E INSTALACIÓN ACCESORIOS ACERO NEGRO 3"</t>
  </si>
  <si>
    <t>SUMINISTRO E INSTALACIÓN ACCESORIOS ACERO NEGRO 2-1/2"</t>
  </si>
  <si>
    <t>SUMINISTRO E INSTALACIÓN ACCESORIOS ACERO NEGRO 1"</t>
  </si>
  <si>
    <t>SUMINISTRO E INSTALACIÓN PAD 90mm</t>
  </si>
  <si>
    <t>SUMINISTRO E INSTALACIÓN VENTOSA 1" DOBLE EFECTO</t>
  </si>
  <si>
    <t xml:space="preserve">14. ACABADOS FACHADA </t>
  </si>
  <si>
    <t>ASEO GENERAL ENTREGA</t>
  </si>
  <si>
    <t>CERTIFICADO RETIE</t>
  </si>
  <si>
    <t>CANTIDAD</t>
  </si>
  <si>
    <t>SUMINISTRO E INSTALACIÓN DE VINILO TIPO I SOBRE PAÑETE O ESTUCO A TRES MANOS.</t>
  </si>
  <si>
    <t>2.07.14</t>
  </si>
  <si>
    <t>ALISTADO PISO 1:5 E= 4.0 CM.</t>
  </si>
  <si>
    <t>2.05.04</t>
  </si>
  <si>
    <t>SUMINISTRO E INSTALACIÓN DE CIELO RASO EN PVC DE 7 MM.</t>
  </si>
  <si>
    <t>2.09.01</t>
  </si>
  <si>
    <t>PISO EN CERÁMICA</t>
  </si>
  <si>
    <t>2.05.19</t>
  </si>
  <si>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</si>
  <si>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</si>
  <si>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</si>
  <si>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</si>
  <si>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</si>
  <si>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</si>
  <si>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DESCRIPCIÓN</t>
  </si>
  <si>
    <t>Subtotal</t>
  </si>
  <si>
    <t>ITM DE PAGO</t>
  </si>
  <si>
    <t>PARTICULAR</t>
  </si>
  <si>
    <t xml:space="preserve">  </t>
  </si>
  <si>
    <t>SUBTOTAL OBRAS</t>
  </si>
  <si>
    <t>VALOR TOTAL</t>
  </si>
  <si>
    <r>
      <rPr>
        <b/>
        <sz val="10"/>
        <rFont val="Verdana"/>
        <family val="2"/>
      </rPr>
      <t xml:space="preserve">NOTA 1: </t>
    </r>
    <r>
      <rPr>
        <sz val="10"/>
        <rFont val="Verdana"/>
        <family val="2"/>
      </rPr>
      <t xml:space="preserve"> Se debe tener en cuenta que el PRECIO UNITARIO incluye el valor de AIU E INCREMENTO DE TRANSPORTE </t>
    </r>
  </si>
  <si>
    <t>DESCRIPCION</t>
  </si>
  <si>
    <t>PORCENTAJE</t>
  </si>
  <si>
    <r>
      <rPr>
        <b/>
        <sz val="10"/>
        <rFont val="Verdana"/>
        <family val="2"/>
      </rPr>
      <t>NOTA 2</t>
    </r>
    <r>
      <rPr>
        <sz val="10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</si>
  <si>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</si>
  <si>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</si>
  <si>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0"/>
        <rFont val="Verdana"/>
        <family val="2"/>
      </rPr>
      <t>NOTA 3:</t>
    </r>
    <r>
      <rPr>
        <sz val="10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</si>
  <si>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</si>
  <si>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</si>
  <si>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</si>
  <si>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</si>
  <si>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</si>
  <si>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</si>
  <si>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PLAN DE MANEJO AMBIENTAL </t>
  </si>
  <si>
    <t>01.03.07</t>
  </si>
  <si>
    <t>01.04.07</t>
  </si>
  <si>
    <t>2.19.11</t>
  </si>
  <si>
    <t>GORBERNACIÓN 2026</t>
  </si>
  <si>
    <t>REFERENCIA</t>
  </si>
  <si>
    <t>1.01.04</t>
  </si>
  <si>
    <t>2.02.34</t>
  </si>
  <si>
    <t>CONCRETO SIMPLE DE 21 Mpa (3000 PSI)</t>
  </si>
  <si>
    <t>2.03.08</t>
  </si>
  <si>
    <t>1.03.12</t>
  </si>
  <si>
    <t>2.08.22</t>
  </si>
  <si>
    <t>2.08.17</t>
  </si>
  <si>
    <t xml:space="preserve">2.08.33 </t>
  </si>
  <si>
    <t>3.13.28</t>
  </si>
  <si>
    <t xml:space="preserve">2.08.30 </t>
  </si>
  <si>
    <t>2.03.05</t>
  </si>
  <si>
    <t>2.05.03</t>
  </si>
  <si>
    <t>2.08.03</t>
  </si>
  <si>
    <t>2.06.08</t>
  </si>
  <si>
    <t>2.03.27</t>
  </si>
  <si>
    <t>2.04.16</t>
  </si>
  <si>
    <t>2.04.25</t>
  </si>
  <si>
    <t>2.02.35</t>
  </si>
  <si>
    <t>1.03.07</t>
  </si>
  <si>
    <t>2.04.08</t>
  </si>
  <si>
    <t>SUMINISTRO E INSTALACIÓN DE ESMALTE SINTÉTICO PARA ESTRUCTURA METALICA. (INCLUYE BASE EN ANTICORROSIVO).</t>
  </si>
  <si>
    <t>VIGA CANAL EN CONCRETO IMPERMEABILZADO DE 21 MPa - (3000 PSI)</t>
  </si>
  <si>
    <t>ALISTADO DE PISO 1:3 IMPERMEABILIZADO, E = 4.0 CM.</t>
  </si>
  <si>
    <t>SUMINISTRO E INSTALACIÓN DE BAJANTE PVC DE AGUAS LLUVIA. (REF.AMAZONAS O SIMILAR)</t>
  </si>
  <si>
    <t>PLACA MACIZA EN CONCRETO DE 21 MPa - (3000 PSI) E = 0.12 M.</t>
  </si>
  <si>
    <t>MURO EN LADRILLO PRENSADO MACIZO E = 0.12 M. (TIPO SANTA FE O SIMILAR)</t>
  </si>
  <si>
    <t>SUMINISTRO, FIGURADA Y AMARRE DE ACERO DE 420 MPa (60000 PSI)</t>
  </si>
  <si>
    <t>LAVADA DE FACHADA CON ÁCIDO MURIÁTICO Y/O NÍTRICO</t>
  </si>
  <si>
    <t>2.17.10</t>
  </si>
  <si>
    <t>SUMINISTRO E INSTALACIÓN DE VIDRIO TEMPLADO DE 6.0 MM. (SIN PERFORACIONES).</t>
  </si>
  <si>
    <t>2.12.172</t>
  </si>
  <si>
    <t>SUMINISTRO E INSTALACIÓN DE LAVAMANOS DE SOBREPONER COLOR BLANCO</t>
  </si>
  <si>
    <t>4.01.18</t>
  </si>
  <si>
    <t>2.12.42</t>
  </si>
  <si>
    <t>2.12.46</t>
  </si>
  <si>
    <t>5.01.11</t>
  </si>
  <si>
    <t>5.01.13</t>
  </si>
  <si>
    <t>2.02.31</t>
  </si>
  <si>
    <t>2.02.32</t>
  </si>
  <si>
    <t>2.02.33</t>
  </si>
  <si>
    <t>2.06.10</t>
  </si>
  <si>
    <t>2.12.109</t>
  </si>
  <si>
    <t>3.03.10</t>
  </si>
  <si>
    <t>4.01.04</t>
  </si>
  <si>
    <t>4.01.26</t>
  </si>
  <si>
    <t>2.02.03</t>
  </si>
  <si>
    <t>4.03.52</t>
  </si>
  <si>
    <t>SUMINISTRO E INSTALACIÓN TUBERÍA PVC. D = 2" RDE 21 / 200 PSI. (UNIÓN MECÁNICA).</t>
  </si>
  <si>
    <t>SUMINISTRO E INSTALACIÓN DE REGISTRO DE BOLA ROSCADO PVC DE 1/2" T.P.</t>
  </si>
  <si>
    <t>SUMINISTRO E INSTALACIÓN DE REGISTRO DE BOLA ROSCADO PVC DE 1 1/2" T.P.</t>
  </si>
  <si>
    <t>PUNTO SANITARIO O DE DESAGUES DE 2"</t>
  </si>
  <si>
    <t>PUNTO SANITARIO O DE DESAGUES DE 4"</t>
  </si>
  <si>
    <t>SUMINISTRO E INSTALACIÓN DE TUBERÍA PVC SANITARIA D = 2"</t>
  </si>
  <si>
    <t>SUMINISTRO E INSTALACIÓN DE TUBERÍA PVC SANITARIA D = 3"</t>
  </si>
  <si>
    <t>SUMINISTRO E INSTALACIÓN DE TUBERÍA PVC SANITARIA D = 4"</t>
  </si>
  <si>
    <t>SUMINISTRO E INSTALACIÓN DE REJILLA DE PISO EN ALUMINIO CON SOSCO DE 4" X 4" X 3".</t>
  </si>
  <si>
    <t>SUMINISTRO E INSTALACIÓN DE TUBERÍA SANITARIA DE 6" PVC T.P.</t>
  </si>
  <si>
    <t xml:space="preserve">EXCAVACION MANUAL EN MATERIAL COMUN </t>
  </si>
  <si>
    <t>RELLENO CON MATERIAL DE BASE GRANULAR, COMPACTADO CON PLANCHA VIBRADORA.</t>
  </si>
  <si>
    <t>CAJAS DE INSPECCIÓN EN LADRILLO DE 0.80 X 0.80 X 0.80 M. (NO INCLUYE TAPA).</t>
  </si>
  <si>
    <t>GORBERNACIÓN 2024</t>
  </si>
  <si>
    <t>2.10.175</t>
  </si>
  <si>
    <t>2.10.186</t>
  </si>
  <si>
    <t>2.10.105</t>
  </si>
  <si>
    <t>2.10.115</t>
  </si>
  <si>
    <t>2.10.138</t>
  </si>
  <si>
    <t>2.10.77</t>
  </si>
  <si>
    <t>2.10.79</t>
  </si>
  <si>
    <t>2.10.104</t>
  </si>
  <si>
    <t>2.10.244</t>
  </si>
  <si>
    <t>2.10.248</t>
  </si>
  <si>
    <t>2.10.249</t>
  </si>
  <si>
    <t>2.10.251</t>
  </si>
  <si>
    <t>2.10.252</t>
  </si>
  <si>
    <t>2.10.255</t>
  </si>
  <si>
    <t>2.10.256</t>
  </si>
  <si>
    <t>2.10.163</t>
  </si>
  <si>
    <t>2.10.200</t>
  </si>
  <si>
    <t>2.10.202</t>
  </si>
  <si>
    <t>2.10.204</t>
  </si>
  <si>
    <t>2.01.70</t>
  </si>
  <si>
    <t>4.01.06</t>
  </si>
  <si>
    <t>SUMINISTRO E INSTALACIÓN DE SALIDA COMPLETA PARA INTERRUPTOR SENCILLO, EN CALIBRE 12 AWG FREETOX - LHFR - LS Y DUCTO
PVC DE 1/2". (INCLUYE APARATO).</t>
  </si>
  <si>
    <t>SUMINISTRO E INSTALACIÓN DE TABLERO DE DISTRIBUCIÓN MONOFÁSICO DE 8 CIRCUITOS</t>
  </si>
  <si>
    <t>SUMINISTRO E INSTALACIÓN DE PUNTA CAPTADORA TIPO FRANKLYN DE 0.6 M PARA SISTEMA DE APANTALLAMIENTO</t>
  </si>
  <si>
    <t>SUMINISTRO E INSTALACIÓN DE BREAKER TERMOMAGNÉTICO MONOPOLAR ENCHUFABLE DE 1 X 15/20 AMP.</t>
  </si>
  <si>
    <t>REFRENCIA</t>
  </si>
  <si>
    <t>DINTELES EN CONCRETO DE 15 X 20 CM. DE 17.5 MPa - (2500 PSI). (INCLUYE REFUERZO).</t>
  </si>
  <si>
    <t>MURO EN BLOQUE DE ARCILLA No.5. E = 0.12 M.</t>
  </si>
  <si>
    <t>2.04.05</t>
  </si>
  <si>
    <t>1.03.01</t>
  </si>
  <si>
    <t>2.03.10</t>
  </si>
  <si>
    <t>2.05.26</t>
  </si>
  <si>
    <t>VIGA AÉREA EN CONCRETO DE 21 MPa - (3000 PSI).</t>
  </si>
  <si>
    <t>PLACA EN CONCRETO DE 21 MPa - (3000 PSI), E = 0.30 M. ALIGERADA EN CASETÓN. (NO INCLUYE REFUERZO).</t>
  </si>
  <si>
    <t>PLACA BASE EN CONCRETO E = 10.0 CM. 17.5 MPa (2500 PSI)</t>
  </si>
  <si>
    <t>EXCAVACIÓN EN ROCA CON COMPRESOR Y DINAMITA. .(INCLUYE CARGUE Y ACARREO LIBRE HASTA 5 KM.)</t>
  </si>
  <si>
    <t>RELLENO CON MATERIAL DE AFIRMADO COMPACTADO RANA Y/O VIBROCOMPACTADOR. (INCLUYE ACARREO LIBRE HASTA 5 KM.)</t>
  </si>
  <si>
    <t>CONCRETO PARA ZAPATAS DE 21 MPa (3000 PSI) + FORMALETA MADERA</t>
  </si>
  <si>
    <t>CONCRETO PARA VIGA DE AMARRE 21 MPa (3000 PSI) SECCION RECTANGULAR</t>
  </si>
  <si>
    <t>SUMINISTRO E INSTALACIÓN DE MALLA ELECTROSOLDADA</t>
  </si>
  <si>
    <t>TRANSPORTE DE MATERIAL DE AFIRMADO Y/O GRANULAR SUELTO (MEDIDO EN BANCO) DESPUÉS DE 5 KM.</t>
  </si>
  <si>
    <t>CARGUE Y TRANSPORTE DE MATERIALES SUELTOS, PRODUCTO DE SOBRANTES Y/O DERRUMBES (INCLUYE ACARREO LIBRE HASTA 5 km).</t>
  </si>
  <si>
    <t>4.01.07</t>
  </si>
  <si>
    <t>2.02.26</t>
  </si>
  <si>
    <t>2.02.10</t>
  </si>
  <si>
    <t>2.02.13</t>
  </si>
  <si>
    <t>4.01.09</t>
  </si>
  <si>
    <t>2.03.35</t>
  </si>
  <si>
    <t>2.01.062</t>
  </si>
  <si>
    <t>3.13.08</t>
  </si>
  <si>
    <t>2.03.29</t>
  </si>
  <si>
    <t>SUMINISTRO E INSTALACIÓN DE REGISTRO DE BOLA ROSCADO PVC DE 1 1/4" T.P.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</si>
</sst>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 &quot;&quot;$&quot;&quot; &quot;* #,##0.00&quot; &quot;;&quot;-&quot;&quot;$&quot;&quot; &quot;* #,##0.00&quot; &quot;;&quot; &quot;&quot;$&quot;&quot; &quot;* &quot;-&quot;??&quot; &quot;"/>
    <numFmt numFmtId="165" formatCode="#,##0.0"/>
    <numFmt numFmtId="166" formatCode="&quot;$&quot;&quot; &quot;#,##0.00&quot; &quot;;\(&quot;$&quot;&quot; &quot;#,##0.00\)"/>
    <numFmt numFmtId="167" formatCode="&quot; &quot;&quot;$&quot;&quot; &quot;* #,##0.00&quot; &quot;;&quot;-&quot;&quot;$&quot;&quot; &quot;* #,##0.00&quot; &quot;;&quot; &quot;&quot;$&quot;&quot; &quot;* &quot;- &quot;"/>
    <numFmt numFmtId="168" formatCode="[$$-240A]\ #,##0.00"/>
    <numFmt numFmtId="169" formatCode="_-* #,##0.00&quot; &quot;&quot;Pts&quot;_-;\-* #,##0.00&quot; &quot;&quot;Pts&quot;_-;_-* &quot;-&quot;??&quot; &quot;&quot;Pts&quot;_-;_-@_-"/>
    <numFmt numFmtId="170" formatCode="_([$$-240A]\ * #,##0.00_);_([$$-240A]\ * \(#,##0.00\);_([$$-240A]\ * &quot;-&quot;??_);_(@_)"/>
    <numFmt numFmtId="171" formatCode="0.0%"/>
    <numFmt numFmtId="172" formatCode="0#.00&quot; &quot;\L\t"/>
    <numFmt numFmtId="173" formatCode="_-[$$-240A]\ * #,##0.00_ ;_-[$$-240A]\ * \-#,##0.00\ ;_-[$$-240A]\ * &quot;-&quot;??_ ;_-@_ "/>
    <numFmt numFmtId="174" formatCode="&quot; &quot;&quot; &quot;#,##0.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4"/>
      <color indexed="8"/>
      <name val="Arial"/>
      <family val="2"/>
    </font>
    <font>
      <sz val="11"/>
      <color theme="1"/>
      <name val="Arial Narrow"/>
      <family val="2"/>
    </font>
    <font>
      <sz val="11"/>
      <color theme="1"/>
      <name val="Tahoma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1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sz val="11"/>
      <color indexed="8"/>
      <name val="Arial"/>
      <family val="2"/>
    </font>
    <font>
      <b/>
      <sz val="11"/>
      <color indexed="8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Arial Narrow"/>
      <family val="2"/>
    </font>
    <font>
      <sz val="11"/>
      <name val="Arial Narrow"/>
      <family val="2"/>
    </font>
    <font>
      <sz val="11"/>
      <name val="Arial"/>
      <family val="2"/>
    </font>
    <font>
      <sz val="11"/>
      <color rgb="FF000000"/>
      <name val="Arial Narrow"/>
      <family val="2"/>
    </font>
    <font>
      <b/>
      <sz val="11"/>
      <color indexed="8"/>
      <name val="Arial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2"/>
      <color indexed="8"/>
      <name val="Arial Narrow"/>
      <family val="2"/>
    </font>
    <font>
      <sz val="8"/>
      <name val="Calibri"/>
      <family val="2"/>
      <scheme val="minor"/>
    </font>
    <font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8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13"/>
      </right>
      <top/>
      <bottom style="thin">
        <color indexed="1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Protection="0"/>
    <xf numFmtId="0" fontId="2" fillId="0" borderId="0" applyNumberFormat="0" applyFill="0" applyBorder="0" applyProtection="0"/>
    <xf numFmtId="0" fontId="5" fillId="0" borderId="0"/>
    <xf numFmtId="9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7" fillId="0" borderId="0"/>
    <xf numFmtId="0" fontId="8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169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</cellStyleXfs>
  <cellXfs count="339">
    <xf numFmtId="0" fontId="0" fillId="0" borderId="0" xfId="0"/>
    <xf numFmtId="0" fontId="3" fillId="0" borderId="0" xfId="0" applyFont="1"/>
    <xf numFmtId="0" fontId="4" fillId="0" borderId="0" xfId="2" applyNumberFormat="1" applyFont="1"/>
    <xf numFmtId="0" fontId="3" fillId="4" borderId="0" xfId="0" applyFont="1" applyFill="1"/>
    <xf numFmtId="0" fontId="4" fillId="4" borderId="0" xfId="2" applyNumberFormat="1" applyFont="1" applyFill="1"/>
    <xf numFmtId="0" fontId="4" fillId="0" borderId="0" xfId="2" applyNumberFormat="1" applyFont="1" applyFill="1"/>
    <xf numFmtId="0" fontId="3" fillId="2" borderId="0" xfId="0" applyFont="1" applyFill="1"/>
    <xf numFmtId="0" fontId="4" fillId="2" borderId="0" xfId="2" applyNumberFormat="1" applyFont="1" applyFill="1"/>
    <xf numFmtId="0" fontId="9" fillId="0" borderId="0" xfId="10" applyFont="1"/>
    <xf numFmtId="0" fontId="10" fillId="0" borderId="0" xfId="10" applyFont="1"/>
    <xf numFmtId="0" fontId="10" fillId="0" borderId="38" xfId="10" applyFont="1" applyBorder="1"/>
    <xf numFmtId="0" fontId="10" fillId="0" borderId="40" xfId="10" applyFont="1" applyBorder="1"/>
    <xf numFmtId="0" fontId="10" fillId="3" borderId="0" xfId="10" applyFont="1" applyFill="1"/>
    <xf numFmtId="0" fontId="10" fillId="3" borderId="40" xfId="10" applyFont="1" applyFill="1" applyBorder="1"/>
    <xf numFmtId="0" fontId="9" fillId="0" borderId="0" xfId="10" applyFont="1" applyAlignment="1">
      <alignment horizontal="left"/>
    </xf>
    <xf numFmtId="0" fontId="9" fillId="0" borderId="36" xfId="10" applyFont="1" applyBorder="1" applyAlignment="1">
      <alignment horizontal="left"/>
    </xf>
    <xf numFmtId="0" fontId="9" fillId="0" borderId="37" xfId="10" applyFont="1" applyBorder="1" applyAlignment="1">
      <alignment horizontal="left"/>
    </xf>
    <xf numFmtId="0" fontId="9" fillId="0" borderId="39" xfId="10" applyFont="1" applyBorder="1" applyAlignment="1">
      <alignment horizontal="left"/>
    </xf>
    <xf numFmtId="0" fontId="9" fillId="3" borderId="41" xfId="10" applyFont="1" applyFill="1" applyBorder="1" applyAlignment="1">
      <alignment horizontal="left"/>
    </xf>
    <xf numFmtId="0" fontId="9" fillId="0" borderId="41" xfId="10" applyFont="1" applyBorder="1" applyAlignment="1">
      <alignment horizontal="left"/>
    </xf>
    <xf numFmtId="0" fontId="15" fillId="0" borderId="0" xfId="2" applyNumberFormat="1" applyFont="1" applyAlignment="1">
      <alignment horizontal="left"/>
    </xf>
    <xf numFmtId="49" fontId="15" fillId="0" borderId="2" xfId="2" applyNumberFormat="1" applyFont="1" applyFill="1" applyBorder="1" applyAlignment="1">
      <alignment horizontal="left" vertical="center" wrapText="1"/>
    </xf>
    <xf numFmtId="2" fontId="17" fillId="0" borderId="2" xfId="2" applyNumberFormat="1" applyFont="1" applyFill="1" applyBorder="1" applyAlignment="1">
      <alignment horizontal="left" vertical="center" wrapText="1"/>
    </xf>
    <xf numFmtId="4" fontId="19" fillId="0" borderId="5" xfId="2" applyNumberFormat="1" applyFont="1" applyFill="1" applyBorder="1" applyAlignment="1">
      <alignment horizontal="left" vertical="center" wrapText="1"/>
    </xf>
    <xf numFmtId="49" fontId="19" fillId="0" borderId="2" xfId="2" applyNumberFormat="1" applyFont="1" applyFill="1" applyBorder="1" applyAlignment="1">
      <alignment horizontal="left" vertical="center" wrapText="1"/>
    </xf>
    <xf numFmtId="0" fontId="5" fillId="0" borderId="2" xfId="4" applyBorder="1" applyAlignment="1">
      <alignment horizontal="left" vertical="center" wrapText="1"/>
    </xf>
    <xf numFmtId="44" fontId="19" fillId="0" borderId="2" xfId="6" applyFont="1" applyFill="1" applyBorder="1" applyAlignment="1">
      <alignment horizontal="left" vertical="center" wrapText="1"/>
    </xf>
    <xf numFmtId="168" fontId="18" fillId="0" borderId="2" xfId="4" applyNumberFormat="1" applyFont="1" applyBorder="1" applyAlignment="1">
      <alignment horizontal="left" vertical="center"/>
    </xf>
    <xf numFmtId="168" fontId="21" fillId="0" borderId="2" xfId="4" applyNumberFormat="1" applyFont="1" applyBorder="1" applyAlignment="1">
      <alignment horizontal="left" vertical="center"/>
    </xf>
    <xf numFmtId="0" fontId="15" fillId="0" borderId="2" xfId="2" applyNumberFormat="1" applyFont="1" applyFill="1" applyBorder="1" applyAlignment="1">
      <alignment horizontal="left"/>
    </xf>
    <xf numFmtId="44" fontId="5" fillId="0" borderId="2" xfId="4" applyNumberFormat="1" applyBorder="1" applyAlignment="1">
      <alignment horizontal="left" vertical="center"/>
    </xf>
    <xf numFmtId="44" fontId="5" fillId="0" borderId="0" xfId="4" applyNumberFormat="1" applyAlignment="1">
      <alignment horizontal="left" vertical="center"/>
    </xf>
    <xf numFmtId="49" fontId="15" fillId="0" borderId="0" xfId="2" applyNumberFormat="1" applyFont="1" applyFill="1" applyBorder="1" applyAlignment="1">
      <alignment horizontal="left" vertical="center" wrapText="1"/>
    </xf>
    <xf numFmtId="2" fontId="17" fillId="0" borderId="0" xfId="2" applyNumberFormat="1" applyFont="1" applyFill="1" applyBorder="1" applyAlignment="1">
      <alignment horizontal="left" vertical="center" wrapText="1"/>
    </xf>
    <xf numFmtId="0" fontId="18" fillId="0" borderId="0" xfId="2" applyFont="1" applyFill="1" applyBorder="1" applyAlignment="1">
      <alignment horizontal="left" vertical="center" wrapText="1"/>
    </xf>
    <xf numFmtId="0" fontId="13" fillId="0" borderId="15" xfId="2" applyFont="1" applyBorder="1" applyAlignment="1">
      <alignment horizontal="left" vertical="center"/>
    </xf>
    <xf numFmtId="4" fontId="19" fillId="0" borderId="42" xfId="2" applyNumberFormat="1" applyFont="1" applyFill="1" applyBorder="1" applyAlignment="1">
      <alignment horizontal="left" vertical="center" wrapText="1"/>
    </xf>
    <xf numFmtId="49" fontId="15" fillId="0" borderId="52" xfId="2" applyNumberFormat="1" applyFont="1" applyFill="1" applyBorder="1" applyAlignment="1">
      <alignment horizontal="left" vertical="center" wrapText="1"/>
    </xf>
    <xf numFmtId="2" fontId="17" fillId="0" borderId="52" xfId="2" applyNumberFormat="1" applyFont="1" applyFill="1" applyBorder="1" applyAlignment="1">
      <alignment horizontal="left" vertical="center" wrapText="1"/>
    </xf>
    <xf numFmtId="49" fontId="16" fillId="0" borderId="57" xfId="2" applyNumberFormat="1" applyFont="1" applyFill="1" applyBorder="1" applyAlignment="1">
      <alignment horizontal="center" vertical="center"/>
    </xf>
    <xf numFmtId="49" fontId="16" fillId="0" borderId="57" xfId="2" applyNumberFormat="1" applyFont="1" applyFill="1" applyBorder="1" applyAlignment="1">
      <alignment horizontal="center" vertical="center" wrapText="1"/>
    </xf>
    <xf numFmtId="49" fontId="16" fillId="0" borderId="58" xfId="2" applyNumberFormat="1" applyFont="1" applyFill="1" applyBorder="1" applyAlignment="1">
      <alignment horizontal="center" vertical="center"/>
    </xf>
    <xf numFmtId="49" fontId="16" fillId="0" borderId="60" xfId="2" applyNumberFormat="1" applyFont="1" applyFill="1" applyBorder="1" applyAlignment="1">
      <alignment horizontal="center" vertical="center" wrapText="1"/>
    </xf>
    <xf numFmtId="49" fontId="16" fillId="0" borderId="60" xfId="2" applyNumberFormat="1" applyFont="1" applyFill="1" applyBorder="1" applyAlignment="1">
      <alignment horizontal="center" vertical="center"/>
    </xf>
    <xf numFmtId="49" fontId="16" fillId="0" borderId="61" xfId="2" applyNumberFormat="1" applyFont="1" applyFill="1" applyBorder="1" applyAlignment="1">
      <alignment horizontal="center" vertical="center"/>
    </xf>
    <xf numFmtId="4" fontId="15" fillId="0" borderId="62" xfId="2" applyNumberFormat="1" applyFont="1" applyFill="1" applyBorder="1" applyAlignment="1">
      <alignment horizontal="left" vertical="center" wrapText="1"/>
    </xf>
    <xf numFmtId="164" fontId="15" fillId="0" borderId="44" xfId="2" applyNumberFormat="1" applyFont="1" applyFill="1" applyBorder="1" applyAlignment="1">
      <alignment horizontal="left" vertical="center"/>
    </xf>
    <xf numFmtId="4" fontId="15" fillId="0" borderId="5" xfId="2" applyNumberFormat="1" applyFont="1" applyFill="1" applyBorder="1" applyAlignment="1">
      <alignment horizontal="left" vertical="center" wrapText="1"/>
    </xf>
    <xf numFmtId="0" fontId="13" fillId="0" borderId="18" xfId="2" applyFont="1" applyBorder="1" applyAlignment="1">
      <alignment horizontal="left" vertical="center"/>
    </xf>
    <xf numFmtId="49" fontId="15" fillId="0" borderId="19" xfId="2" applyNumberFormat="1" applyFont="1" applyFill="1" applyBorder="1" applyAlignment="1">
      <alignment horizontal="left" vertical="center" wrapText="1"/>
    </xf>
    <xf numFmtId="0" fontId="18" fillId="0" borderId="19" xfId="2" applyFont="1" applyFill="1" applyBorder="1" applyAlignment="1">
      <alignment horizontal="left" vertical="center" wrapText="1"/>
    </xf>
    <xf numFmtId="44" fontId="5" fillId="0" borderId="19" xfId="4" applyNumberFormat="1" applyBorder="1" applyAlignment="1">
      <alignment horizontal="left" vertical="center"/>
    </xf>
    <xf numFmtId="44" fontId="5" fillId="0" borderId="63" xfId="4" applyNumberFormat="1" applyBorder="1" applyAlignment="1">
      <alignment horizontal="left" vertical="center"/>
    </xf>
    <xf numFmtId="0" fontId="5" fillId="0" borderId="0" xfId="4" applyAlignment="1">
      <alignment horizontal="left" vertical="center" wrapText="1"/>
    </xf>
    <xf numFmtId="4" fontId="19" fillId="0" borderId="64" xfId="2" applyNumberFormat="1" applyFont="1" applyFill="1" applyBorder="1" applyAlignment="1">
      <alignment horizontal="left" vertical="center" wrapText="1"/>
    </xf>
    <xf numFmtId="49" fontId="19" fillId="0" borderId="0" xfId="2" applyNumberFormat="1" applyFont="1" applyFill="1" applyBorder="1" applyAlignment="1">
      <alignment horizontal="left" vertical="center" wrapText="1"/>
    </xf>
    <xf numFmtId="4" fontId="19" fillId="0" borderId="9" xfId="2" applyNumberFormat="1" applyFont="1" applyFill="1" applyBorder="1" applyAlignment="1">
      <alignment horizontal="left" vertical="center" wrapText="1"/>
    </xf>
    <xf numFmtId="0" fontId="5" fillId="0" borderId="10" xfId="4" applyBorder="1" applyAlignment="1">
      <alignment horizontal="left" vertical="center" wrapText="1"/>
    </xf>
    <xf numFmtId="44" fontId="5" fillId="0" borderId="10" xfId="4" applyNumberFormat="1" applyBorder="1" applyAlignment="1">
      <alignment horizontal="left" vertical="center"/>
    </xf>
    <xf numFmtId="164" fontId="19" fillId="0" borderId="6" xfId="2" applyNumberFormat="1" applyFont="1" applyFill="1" applyBorder="1" applyAlignment="1">
      <alignment horizontal="left" vertical="center"/>
    </xf>
    <xf numFmtId="49" fontId="19" fillId="0" borderId="19" xfId="2" applyNumberFormat="1" applyFont="1" applyFill="1" applyBorder="1" applyAlignment="1">
      <alignment horizontal="left" vertical="center" wrapText="1"/>
    </xf>
    <xf numFmtId="0" fontId="5" fillId="0" borderId="19" xfId="4" applyBorder="1" applyAlignment="1">
      <alignment horizontal="left" vertical="center" wrapText="1"/>
    </xf>
    <xf numFmtId="2" fontId="18" fillId="0" borderId="52" xfId="2" applyNumberFormat="1" applyFont="1" applyFill="1" applyBorder="1" applyAlignment="1">
      <alignment horizontal="left" vertical="center" wrapText="1"/>
    </xf>
    <xf numFmtId="2" fontId="18" fillId="0" borderId="2" xfId="2" applyNumberFormat="1" applyFont="1" applyFill="1" applyBorder="1" applyAlignment="1">
      <alignment horizontal="left" vertical="center" wrapText="1"/>
    </xf>
    <xf numFmtId="0" fontId="5" fillId="0" borderId="43" xfId="4" applyBorder="1" applyAlignment="1">
      <alignment horizontal="left" vertical="center" wrapText="1"/>
    </xf>
    <xf numFmtId="44" fontId="5" fillId="0" borderId="43" xfId="4" applyNumberFormat="1" applyBorder="1" applyAlignment="1">
      <alignment horizontal="left" vertical="center"/>
    </xf>
    <xf numFmtId="164" fontId="19" fillId="0" borderId="44" xfId="2" applyNumberFormat="1" applyFont="1" applyFill="1" applyBorder="1" applyAlignment="1">
      <alignment horizontal="left" vertical="center"/>
    </xf>
    <xf numFmtId="164" fontId="23" fillId="0" borderId="69" xfId="2" applyNumberFormat="1" applyFont="1" applyFill="1" applyBorder="1" applyAlignment="1">
      <alignment horizontal="left" vertical="center"/>
    </xf>
    <xf numFmtId="165" fontId="19" fillId="6" borderId="28" xfId="2" applyNumberFormat="1" applyFont="1" applyFill="1" applyBorder="1" applyAlignment="1">
      <alignment horizontal="left" vertical="center" wrapText="1"/>
    </xf>
    <xf numFmtId="4" fontId="19" fillId="6" borderId="28" xfId="2" applyNumberFormat="1" applyFont="1" applyFill="1" applyBorder="1" applyAlignment="1">
      <alignment horizontal="left" vertical="center" wrapText="1"/>
    </xf>
    <xf numFmtId="166" fontId="19" fillId="6" borderId="28" xfId="2" applyNumberFormat="1" applyFont="1" applyFill="1" applyBorder="1" applyAlignment="1">
      <alignment horizontal="left" vertical="center" wrapText="1"/>
    </xf>
    <xf numFmtId="167" fontId="16" fillId="6" borderId="29" xfId="2" applyNumberFormat="1" applyFont="1" applyFill="1" applyBorder="1" applyAlignment="1">
      <alignment horizontal="left" vertical="center" wrapText="1"/>
    </xf>
    <xf numFmtId="3" fontId="16" fillId="6" borderId="28" xfId="2" applyNumberFormat="1" applyFont="1" applyFill="1" applyBorder="1" applyAlignment="1">
      <alignment horizontal="left" vertical="center" wrapText="1"/>
    </xf>
    <xf numFmtId="0" fontId="16" fillId="6" borderId="28" xfId="2" applyFont="1" applyFill="1" applyBorder="1" applyAlignment="1">
      <alignment horizontal="left" vertical="center" wrapText="1"/>
    </xf>
    <xf numFmtId="4" fontId="16" fillId="6" borderId="28" xfId="2" applyNumberFormat="1" applyFont="1" applyFill="1" applyBorder="1" applyAlignment="1">
      <alignment horizontal="left" vertical="center" wrapText="1"/>
    </xf>
    <xf numFmtId="4" fontId="16" fillId="6" borderId="29" xfId="2" applyNumberFormat="1" applyFont="1" applyFill="1" applyBorder="1" applyAlignment="1">
      <alignment horizontal="left" vertical="center" wrapText="1"/>
    </xf>
    <xf numFmtId="0" fontId="5" fillId="0" borderId="46" xfId="4" applyBorder="1" applyAlignment="1">
      <alignment horizontal="left" vertical="center" wrapText="1"/>
    </xf>
    <xf numFmtId="49" fontId="15" fillId="0" borderId="10" xfId="2" applyNumberFormat="1" applyFont="1" applyFill="1" applyBorder="1" applyAlignment="1">
      <alignment horizontal="left" vertical="center" wrapText="1"/>
    </xf>
    <xf numFmtId="0" fontId="13" fillId="0" borderId="70" xfId="2" applyFont="1" applyBorder="1" applyAlignment="1">
      <alignment horizontal="left" vertical="center"/>
    </xf>
    <xf numFmtId="164" fontId="16" fillId="0" borderId="69" xfId="2" applyNumberFormat="1" applyFont="1" applyFill="1" applyBorder="1" applyAlignment="1">
      <alignment horizontal="left" vertical="center"/>
    </xf>
    <xf numFmtId="49" fontId="15" fillId="0" borderId="43" xfId="2" applyNumberFormat="1" applyFont="1" applyFill="1" applyBorder="1" applyAlignment="1">
      <alignment horizontal="left" vertical="center" wrapText="1"/>
    </xf>
    <xf numFmtId="3" fontId="16" fillId="6" borderId="27" xfId="2" applyNumberFormat="1" applyFont="1" applyFill="1" applyBorder="1" applyAlignment="1">
      <alignment horizontal="left" vertical="center"/>
    </xf>
    <xf numFmtId="44" fontId="19" fillId="0" borderId="14" xfId="6" applyFont="1" applyFill="1" applyBorder="1" applyAlignment="1">
      <alignment horizontal="left" vertical="center" wrapText="1"/>
    </xf>
    <xf numFmtId="44" fontId="19" fillId="0" borderId="6" xfId="6" applyFont="1" applyFill="1" applyBorder="1" applyAlignment="1">
      <alignment horizontal="left" vertical="center" wrapText="1"/>
    </xf>
    <xf numFmtId="44" fontId="16" fillId="0" borderId="71" xfId="6" applyFont="1" applyFill="1" applyBorder="1" applyAlignment="1">
      <alignment horizontal="left" vertical="center" wrapText="1"/>
    </xf>
    <xf numFmtId="3" fontId="16" fillId="6" borderId="21" xfId="2" applyNumberFormat="1" applyFont="1" applyFill="1" applyBorder="1" applyAlignment="1">
      <alignment horizontal="left" vertical="center"/>
    </xf>
    <xf numFmtId="44" fontId="16" fillId="0" borderId="26" xfId="6" applyFont="1" applyFill="1" applyBorder="1" applyAlignment="1">
      <alignment horizontal="left" vertical="center" wrapText="1"/>
    </xf>
    <xf numFmtId="44" fontId="16" fillId="0" borderId="69" xfId="6" applyFont="1" applyFill="1" applyBorder="1" applyAlignment="1">
      <alignment horizontal="left" vertical="center" wrapText="1"/>
    </xf>
    <xf numFmtId="0" fontId="5" fillId="6" borderId="0" xfId="4" applyFill="1" applyAlignment="1">
      <alignment horizontal="left" vertical="center" wrapText="1"/>
    </xf>
    <xf numFmtId="49" fontId="19" fillId="6" borderId="0" xfId="2" applyNumberFormat="1" applyFont="1" applyFill="1" applyBorder="1" applyAlignment="1">
      <alignment horizontal="left" vertical="center" wrapText="1"/>
    </xf>
    <xf numFmtId="168" fontId="18" fillId="6" borderId="0" xfId="4" applyNumberFormat="1" applyFont="1" applyFill="1" applyAlignment="1">
      <alignment horizontal="left" vertical="center"/>
    </xf>
    <xf numFmtId="0" fontId="5" fillId="6" borderId="28" xfId="4" applyFill="1" applyBorder="1" applyAlignment="1">
      <alignment horizontal="left" vertical="center" wrapText="1"/>
    </xf>
    <xf numFmtId="49" fontId="19" fillId="6" borderId="28" xfId="2" applyNumberFormat="1" applyFont="1" applyFill="1" applyBorder="1" applyAlignment="1">
      <alignment horizontal="left" vertical="center" wrapText="1"/>
    </xf>
    <xf numFmtId="168" fontId="18" fillId="6" borderId="28" xfId="4" applyNumberFormat="1" applyFont="1" applyFill="1" applyBorder="1" applyAlignment="1">
      <alignment horizontal="left" vertical="center"/>
    </xf>
    <xf numFmtId="44" fontId="16" fillId="6" borderId="29" xfId="6" applyFont="1" applyFill="1" applyBorder="1" applyAlignment="1">
      <alignment horizontal="left" vertical="center" wrapText="1"/>
    </xf>
    <xf numFmtId="0" fontId="5" fillId="6" borderId="12" xfId="4" applyFill="1" applyBorder="1" applyAlignment="1">
      <alignment horizontal="left" vertical="center" wrapText="1"/>
    </xf>
    <xf numFmtId="49" fontId="19" fillId="6" borderId="12" xfId="2" applyNumberFormat="1" applyFont="1" applyFill="1" applyBorder="1" applyAlignment="1">
      <alignment horizontal="left" vertical="center" wrapText="1"/>
    </xf>
    <xf numFmtId="168" fontId="18" fillId="6" borderId="12" xfId="4" applyNumberFormat="1" applyFont="1" applyFill="1" applyBorder="1" applyAlignment="1">
      <alignment horizontal="left" vertical="center"/>
    </xf>
    <xf numFmtId="44" fontId="16" fillId="6" borderId="22" xfId="6" applyFont="1" applyFill="1" applyBorder="1" applyAlignment="1">
      <alignment horizontal="left" vertical="center" wrapText="1"/>
    </xf>
    <xf numFmtId="44" fontId="5" fillId="0" borderId="2" xfId="1" applyFont="1" applyFill="1" applyBorder="1" applyAlignment="1">
      <alignment horizontal="left" vertical="center"/>
    </xf>
    <xf numFmtId="168" fontId="18" fillId="0" borderId="0" xfId="4" applyNumberFormat="1" applyFont="1" applyAlignment="1">
      <alignment horizontal="left" vertical="center"/>
    </xf>
    <xf numFmtId="168" fontId="18" fillId="0" borderId="19" xfId="4" applyNumberFormat="1" applyFont="1" applyBorder="1" applyAlignment="1">
      <alignment horizontal="left" vertical="center"/>
    </xf>
    <xf numFmtId="0" fontId="15" fillId="0" borderId="0" xfId="2" applyNumberFormat="1" applyFont="1" applyFill="1" applyBorder="1" applyAlignment="1">
      <alignment horizontal="left"/>
    </xf>
    <xf numFmtId="0" fontId="5" fillId="0" borderId="9" xfId="4" applyBorder="1" applyAlignment="1">
      <alignment horizontal="left" vertical="center" wrapText="1"/>
    </xf>
    <xf numFmtId="0" fontId="5" fillId="0" borderId="5" xfId="4" applyBorder="1" applyAlignment="1">
      <alignment horizontal="left" vertical="center" wrapText="1"/>
    </xf>
    <xf numFmtId="0" fontId="24" fillId="6" borderId="27" xfId="4" applyFont="1" applyFill="1" applyBorder="1" applyAlignment="1">
      <alignment horizontal="left" vertical="center"/>
    </xf>
    <xf numFmtId="44" fontId="20" fillId="0" borderId="2" xfId="4" applyNumberFormat="1" applyFont="1" applyBorder="1" applyAlignment="1">
      <alignment horizontal="left" vertical="center"/>
    </xf>
    <xf numFmtId="44" fontId="19" fillId="0" borderId="46" xfId="6" applyFont="1" applyFill="1" applyBorder="1" applyAlignment="1">
      <alignment horizontal="left" vertical="center" wrapText="1"/>
    </xf>
    <xf numFmtId="44" fontId="16" fillId="0" borderId="20" xfId="6" applyFont="1" applyFill="1" applyBorder="1" applyAlignment="1">
      <alignment horizontal="left" vertical="center" wrapText="1"/>
    </xf>
    <xf numFmtId="168" fontId="19" fillId="0" borderId="6" xfId="6" applyNumberFormat="1" applyFont="1" applyFill="1" applyBorder="1" applyAlignment="1">
      <alignment horizontal="left" vertical="center" wrapText="1"/>
    </xf>
    <xf numFmtId="168" fontId="16" fillId="6" borderId="29" xfId="6" applyNumberFormat="1" applyFont="1" applyFill="1" applyBorder="1" applyAlignment="1">
      <alignment horizontal="left" vertical="center" wrapText="1"/>
    </xf>
    <xf numFmtId="168" fontId="16" fillId="0" borderId="69" xfId="6" applyNumberFormat="1" applyFont="1" applyFill="1" applyBorder="1" applyAlignment="1">
      <alignment horizontal="left" vertical="center" wrapText="1"/>
    </xf>
    <xf numFmtId="0" fontId="22" fillId="0" borderId="0" xfId="2" applyFont="1" applyFill="1" applyBorder="1" applyAlignment="1">
      <alignment horizontal="left" vertical="center" wrapText="1"/>
    </xf>
    <xf numFmtId="2" fontId="5" fillId="0" borderId="2" xfId="4" applyNumberFormat="1" applyBorder="1" applyAlignment="1">
      <alignment horizontal="left" vertical="center" wrapText="1"/>
    </xf>
    <xf numFmtId="2" fontId="5" fillId="0" borderId="5" xfId="4" applyNumberFormat="1" applyBorder="1" applyAlignment="1">
      <alignment horizontal="left" vertical="center" wrapText="1"/>
    </xf>
    <xf numFmtId="0" fontId="22" fillId="0" borderId="19" xfId="2" applyFont="1" applyFill="1" applyBorder="1" applyAlignment="1">
      <alignment horizontal="left" vertical="center" wrapText="1"/>
    </xf>
    <xf numFmtId="0" fontId="5" fillId="0" borderId="42" xfId="4" applyBorder="1" applyAlignment="1">
      <alignment horizontal="left" vertical="center" wrapText="1"/>
    </xf>
    <xf numFmtId="168" fontId="19" fillId="0" borderId="44" xfId="6" applyNumberFormat="1" applyFont="1" applyFill="1" applyBorder="1" applyAlignment="1">
      <alignment horizontal="left" vertical="center" wrapText="1"/>
    </xf>
    <xf numFmtId="0" fontId="5" fillId="6" borderId="48" xfId="4" applyFill="1" applyBorder="1" applyAlignment="1">
      <alignment horizontal="left" vertical="center" wrapText="1"/>
    </xf>
    <xf numFmtId="0" fontId="15" fillId="6" borderId="49" xfId="2" applyNumberFormat="1" applyFont="1" applyFill="1" applyBorder="1" applyAlignment="1">
      <alignment horizontal="left"/>
    </xf>
    <xf numFmtId="49" fontId="19" fillId="6" borderId="49" xfId="2" applyNumberFormat="1" applyFont="1" applyFill="1" applyBorder="1" applyAlignment="1">
      <alignment horizontal="left" vertical="center" wrapText="1"/>
    </xf>
    <xf numFmtId="168" fontId="18" fillId="6" borderId="49" xfId="4" applyNumberFormat="1" applyFont="1" applyFill="1" applyBorder="1" applyAlignment="1">
      <alignment horizontal="left" vertical="center"/>
    </xf>
    <xf numFmtId="44" fontId="16" fillId="6" borderId="34" xfId="6" applyFont="1" applyFill="1" applyBorder="1" applyAlignment="1">
      <alignment horizontal="left" vertical="center" wrapText="1"/>
    </xf>
    <xf numFmtId="1" fontId="24" fillId="6" borderId="21" xfId="4" applyNumberFormat="1" applyFont="1" applyFill="1" applyBorder="1" applyAlignment="1">
      <alignment horizontal="left" vertical="center"/>
    </xf>
    <xf numFmtId="2" fontId="5" fillId="0" borderId="46" xfId="4" applyNumberFormat="1" applyBorder="1" applyAlignment="1">
      <alignment horizontal="left" vertical="center" wrapText="1"/>
    </xf>
    <xf numFmtId="2" fontId="5" fillId="0" borderId="9" xfId="4" applyNumberFormat="1" applyBorder="1" applyAlignment="1">
      <alignment horizontal="left" vertical="center" wrapText="1"/>
    </xf>
    <xf numFmtId="44" fontId="16" fillId="0" borderId="46" xfId="6" applyFont="1" applyFill="1" applyBorder="1" applyAlignment="1">
      <alignment horizontal="left" vertical="center" wrapText="1"/>
    </xf>
    <xf numFmtId="1" fontId="24" fillId="6" borderId="70" xfId="4" applyNumberFormat="1" applyFont="1" applyFill="1" applyBorder="1" applyAlignment="1">
      <alignment horizontal="left" vertical="center"/>
    </xf>
    <xf numFmtId="44" fontId="16" fillId="6" borderId="16" xfId="6" applyFont="1" applyFill="1" applyBorder="1" applyAlignment="1">
      <alignment horizontal="left" vertical="center" wrapText="1"/>
    </xf>
    <xf numFmtId="0" fontId="22" fillId="0" borderId="19" xfId="2" applyFont="1" applyFill="1" applyBorder="1" applyAlignment="1">
      <alignment horizontal="left" vertical="center"/>
    </xf>
    <xf numFmtId="44" fontId="5" fillId="0" borderId="46" xfId="4" applyNumberFormat="1" applyBorder="1" applyAlignment="1">
      <alignment horizontal="left" vertical="center"/>
    </xf>
    <xf numFmtId="0" fontId="13" fillId="0" borderId="72" xfId="2" applyFont="1" applyBorder="1" applyAlignment="1">
      <alignment horizontal="left" vertical="center"/>
    </xf>
    <xf numFmtId="0" fontId="5" fillId="0" borderId="67" xfId="4" applyBorder="1" applyAlignment="1">
      <alignment horizontal="left" vertical="center" wrapText="1"/>
    </xf>
    <xf numFmtId="49" fontId="19" fillId="0" borderId="67" xfId="2" applyNumberFormat="1" applyFont="1" applyFill="1" applyBorder="1" applyAlignment="1">
      <alignment horizontal="left" vertical="center" wrapText="1"/>
    </xf>
    <xf numFmtId="0" fontId="22" fillId="0" borderId="67" xfId="2" applyFont="1" applyFill="1" applyBorder="1" applyAlignment="1">
      <alignment horizontal="left" vertical="center" wrapText="1"/>
    </xf>
    <xf numFmtId="44" fontId="5" fillId="0" borderId="67" xfId="4" applyNumberFormat="1" applyBorder="1" applyAlignment="1">
      <alignment horizontal="left" vertical="center"/>
    </xf>
    <xf numFmtId="2" fontId="5" fillId="6" borderId="27" xfId="4" applyNumberFormat="1" applyFill="1" applyBorder="1" applyAlignment="1">
      <alignment horizontal="left" vertical="center" wrapText="1"/>
    </xf>
    <xf numFmtId="0" fontId="22" fillId="6" borderId="28" xfId="2" applyFont="1" applyFill="1" applyBorder="1" applyAlignment="1">
      <alignment horizontal="left" vertical="center" wrapText="1"/>
    </xf>
    <xf numFmtId="44" fontId="25" fillId="6" borderId="28" xfId="4" applyNumberFormat="1" applyFont="1" applyFill="1" applyBorder="1" applyAlignment="1">
      <alignment horizontal="left" vertical="center"/>
    </xf>
    <xf numFmtId="171" fontId="12" fillId="0" borderId="45" xfId="13" applyNumberFormat="1" applyFont="1" applyBorder="1" applyAlignment="1">
      <alignment horizontal="center" vertical="center"/>
    </xf>
    <xf numFmtId="170" fontId="12" fillId="0" borderId="6" xfId="13" applyNumberFormat="1" applyFont="1" applyBorder="1" applyAlignment="1">
      <alignment vertical="center"/>
    </xf>
    <xf numFmtId="9" fontId="12" fillId="0" borderId="45" xfId="13" applyNumberFormat="1" applyFont="1" applyBorder="1" applyAlignment="1">
      <alignment horizontal="center" vertical="center"/>
    </xf>
    <xf numFmtId="170" fontId="12" fillId="0" borderId="45" xfId="13" applyNumberFormat="1" applyFont="1" applyBorder="1" applyAlignment="1">
      <alignment vertical="center"/>
    </xf>
    <xf numFmtId="0" fontId="11" fillId="0" borderId="35" xfId="12" applyFont="1" applyBorder="1" applyAlignment="1">
      <alignment horizontal="left" vertical="center"/>
    </xf>
    <xf numFmtId="170" fontId="11" fillId="0" borderId="6" xfId="13" applyNumberFormat="1" applyFont="1" applyBorder="1" applyAlignment="1">
      <alignment vertical="center"/>
    </xf>
    <xf numFmtId="0" fontId="12" fillId="0" borderId="35" xfId="12" applyFont="1" applyBorder="1" applyAlignment="1">
      <alignment horizontal="left" vertical="center" wrapText="1"/>
    </xf>
    <xf numFmtId="0" fontId="11" fillId="0" borderId="76" xfId="12" applyFont="1" applyBorder="1" applyAlignment="1">
      <alignment horizontal="left" vertical="center"/>
    </xf>
    <xf numFmtId="9" fontId="12" fillId="0" borderId="77" xfId="13" applyNumberFormat="1" applyFont="1" applyBorder="1" applyAlignment="1">
      <alignment horizontal="center" vertical="center"/>
    </xf>
    <xf numFmtId="170" fontId="11" fillId="0" borderId="77" xfId="13" applyNumberFormat="1" applyFont="1" applyBorder="1" applyAlignment="1">
      <alignment vertical="center"/>
    </xf>
    <xf numFmtId="173" fontId="11" fillId="5" borderId="2" xfId="16" applyNumberFormat="1" applyFont="1" applyFill="1" applyBorder="1" applyAlignment="1">
      <alignment horizontal="center" vertical="center"/>
    </xf>
    <xf numFmtId="9" fontId="12" fillId="2" borderId="6" xfId="9" applyFont="1" applyFill="1" applyBorder="1" applyAlignment="1">
      <alignment horizontal="center" vertical="center"/>
    </xf>
    <xf numFmtId="0" fontId="12" fillId="0" borderId="80" xfId="0" applyFont="1" applyBorder="1" applyAlignment="1">
      <alignment vertical="center" wrapText="1"/>
    </xf>
    <xf numFmtId="0" fontId="12" fillId="0" borderId="67" xfId="0" applyFont="1" applyBorder="1" applyAlignment="1">
      <alignment vertical="center" wrapText="1"/>
    </xf>
    <xf numFmtId="0" fontId="12" fillId="0" borderId="47" xfId="0" applyFont="1" applyBorder="1" applyAlignment="1">
      <alignment vertical="center" wrapText="1"/>
    </xf>
    <xf numFmtId="0" fontId="12" fillId="0" borderId="70" xfId="0" applyFont="1" applyBorder="1" applyAlignment="1">
      <alignment vertical="center" wrapText="1"/>
    </xf>
    <xf numFmtId="0" fontId="12" fillId="0" borderId="53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11" fillId="0" borderId="81" xfId="15" applyFont="1" applyBorder="1" applyAlignment="1">
      <alignment vertical="center"/>
    </xf>
    <xf numFmtId="0" fontId="17" fillId="0" borderId="70" xfId="2" applyFont="1" applyFill="1" applyBorder="1" applyAlignment="1">
      <alignment vertical="center" wrapText="1"/>
    </xf>
    <xf numFmtId="0" fontId="12" fillId="0" borderId="0" xfId="12" applyFont="1"/>
    <xf numFmtId="0" fontId="12" fillId="0" borderId="0" xfId="12" applyFont="1" applyAlignment="1">
      <alignment horizontal="center"/>
    </xf>
    <xf numFmtId="3" fontId="19" fillId="0" borderId="70" xfId="2" applyNumberFormat="1" applyFont="1" applyFill="1" applyBorder="1" applyAlignment="1">
      <alignment horizontal="left" vertical="center" wrapText="1"/>
    </xf>
    <xf numFmtId="0" fontId="12" fillId="0" borderId="0" xfId="14" applyFont="1" applyAlignment="1">
      <alignment horizontal="center" vertical="center"/>
    </xf>
    <xf numFmtId="0" fontId="12" fillId="0" borderId="0" xfId="12" applyFont="1" applyAlignment="1">
      <alignment horizontal="center" vertical="center" wrapText="1"/>
    </xf>
    <xf numFmtId="0" fontId="15" fillId="0" borderId="82" xfId="2" applyFont="1" applyFill="1" applyBorder="1" applyAlignment="1">
      <alignment horizontal="left"/>
    </xf>
    <xf numFmtId="0" fontId="1" fillId="0" borderId="70" xfId="0" applyFont="1" applyBorder="1" applyAlignment="1">
      <alignment horizontal="left"/>
    </xf>
    <xf numFmtId="2" fontId="12" fillId="0" borderId="0" xfId="12" applyNumberFormat="1" applyFont="1"/>
    <xf numFmtId="39" fontId="11" fillId="0" borderId="16" xfId="13" applyNumberFormat="1" applyFont="1" applyBorder="1" applyAlignment="1">
      <alignment vertical="center"/>
    </xf>
    <xf numFmtId="173" fontId="11" fillId="5" borderId="4" xfId="16" applyNumberFormat="1" applyFont="1" applyFill="1" applyBorder="1" applyAlignment="1">
      <alignment horizontal="center" vertical="center"/>
    </xf>
    <xf numFmtId="0" fontId="15" fillId="0" borderId="70" xfId="2" applyNumberFormat="1" applyFont="1" applyBorder="1" applyAlignment="1">
      <alignment horizontal="left"/>
    </xf>
    <xf numFmtId="0" fontId="12" fillId="0" borderId="0" xfId="0" applyFont="1" applyAlignment="1">
      <alignment vertical="center" wrapText="1"/>
    </xf>
    <xf numFmtId="0" fontId="15" fillId="0" borderId="18" xfId="2" applyNumberFormat="1" applyFont="1" applyBorder="1" applyAlignment="1">
      <alignment horizontal="left"/>
    </xf>
    <xf numFmtId="0" fontId="11" fillId="0" borderId="74" xfId="12" applyFont="1" applyBorder="1" applyAlignment="1">
      <alignment horizontal="center" vertical="center" wrapText="1"/>
    </xf>
    <xf numFmtId="0" fontId="11" fillId="0" borderId="66" xfId="12" applyFont="1" applyBorder="1" applyAlignment="1">
      <alignment horizontal="center" vertical="center" wrapText="1"/>
    </xf>
    <xf numFmtId="0" fontId="11" fillId="0" borderId="75" xfId="12" applyFont="1" applyBorder="1" applyAlignment="1">
      <alignment vertical="center" wrapText="1"/>
    </xf>
    <xf numFmtId="0" fontId="11" fillId="0" borderId="35" xfId="12" applyFont="1" applyBorder="1" applyAlignment="1">
      <alignment vertical="center"/>
    </xf>
    <xf numFmtId="9" fontId="11" fillId="0" borderId="8" xfId="12" applyNumberFormat="1" applyFont="1" applyBorder="1" applyAlignment="1">
      <alignment horizontal="center" vertical="center"/>
    </xf>
    <xf numFmtId="44" fontId="11" fillId="0" borderId="45" xfId="1" applyFont="1" applyBorder="1" applyAlignment="1">
      <alignment horizontal="center" vertical="center"/>
    </xf>
    <xf numFmtId="170" fontId="11" fillId="0" borderId="45" xfId="13" applyNumberFormat="1" applyFont="1" applyBorder="1" applyAlignment="1">
      <alignment horizontal="center" vertical="center"/>
    </xf>
    <xf numFmtId="0" fontId="11" fillId="0" borderId="45" xfId="12" applyFont="1" applyBorder="1" applyAlignment="1">
      <alignment horizontal="center" vertical="center"/>
    </xf>
    <xf numFmtId="44" fontId="26" fillId="6" borderId="29" xfId="6" applyFont="1" applyFill="1" applyBorder="1" applyAlignment="1">
      <alignment horizontal="left" vertical="center" wrapText="1"/>
    </xf>
    <xf numFmtId="0" fontId="28" fillId="0" borderId="83" xfId="4" applyFont="1" applyBorder="1" applyAlignment="1">
      <alignment horizontal="center" vertical="center" wrapText="1"/>
    </xf>
    <xf numFmtId="0" fontId="28" fillId="0" borderId="2" xfId="4" applyFont="1" applyBorder="1" applyAlignment="1">
      <alignment horizontal="center" vertical="center" wrapText="1"/>
    </xf>
    <xf numFmtId="0" fontId="28" fillId="0" borderId="2" xfId="4" applyFont="1" applyBorder="1" applyAlignment="1">
      <alignment horizontal="center" vertical="center"/>
    </xf>
    <xf numFmtId="0" fontId="15" fillId="0" borderId="2" xfId="2" applyNumberFormat="1" applyFont="1" applyFill="1" applyBorder="1" applyAlignment="1">
      <alignment horizontal="center" vertical="center"/>
    </xf>
    <xf numFmtId="4" fontId="19" fillId="0" borderId="30" xfId="2" applyNumberFormat="1" applyFont="1" applyFill="1" applyBorder="1" applyAlignment="1">
      <alignment horizontal="left" vertical="center" wrapText="1"/>
    </xf>
    <xf numFmtId="49" fontId="15" fillId="0" borderId="3" xfId="2" applyNumberFormat="1" applyFont="1" applyFill="1" applyBorder="1" applyAlignment="1">
      <alignment horizontal="left" vertical="center" wrapText="1"/>
    </xf>
    <xf numFmtId="0" fontId="5" fillId="0" borderId="3" xfId="4" applyBorder="1" applyAlignment="1">
      <alignment horizontal="left" vertical="center" wrapText="1"/>
    </xf>
    <xf numFmtId="168" fontId="18" fillId="0" borderId="3" xfId="4" applyNumberFormat="1" applyFont="1" applyBorder="1" applyAlignment="1">
      <alignment horizontal="left" vertical="center"/>
    </xf>
    <xf numFmtId="44" fontId="19" fillId="0" borderId="4" xfId="6" applyFont="1" applyFill="1" applyBorder="1" applyAlignment="1">
      <alignment horizontal="left" vertical="center" wrapText="1"/>
    </xf>
    <xf numFmtId="0" fontId="5" fillId="0" borderId="30" xfId="4" applyBorder="1" applyAlignment="1">
      <alignment horizontal="left" vertical="center" wrapText="1"/>
    </xf>
    <xf numFmtId="44" fontId="5" fillId="0" borderId="3" xfId="4" applyNumberFormat="1" applyBorder="1" applyAlignment="1">
      <alignment horizontal="left" vertical="center"/>
    </xf>
    <xf numFmtId="0" fontId="15" fillId="6" borderId="28" xfId="2" applyNumberFormat="1" applyFont="1" applyFill="1" applyBorder="1" applyAlignment="1">
      <alignment horizontal="left"/>
    </xf>
    <xf numFmtId="0" fontId="28" fillId="0" borderId="65" xfId="4" applyFont="1" applyBorder="1" applyAlignment="1">
      <alignment horizontal="center" vertical="center" wrapText="1"/>
    </xf>
    <xf numFmtId="0" fontId="28" fillId="0" borderId="3" xfId="4" applyFont="1" applyBorder="1" applyAlignment="1">
      <alignment horizontal="center" vertical="center" wrapText="1"/>
    </xf>
    <xf numFmtId="164" fontId="19" fillId="0" borderId="4" xfId="2" applyNumberFormat="1" applyFont="1" applyFill="1" applyBorder="1" applyAlignment="1">
      <alignment horizontal="left" vertical="center"/>
    </xf>
    <xf numFmtId="44" fontId="20" fillId="0" borderId="63" xfId="4" applyNumberFormat="1" applyFont="1" applyBorder="1" applyAlignment="1">
      <alignment horizontal="left" vertical="center"/>
    </xf>
    <xf numFmtId="44" fontId="20" fillId="0" borderId="2" xfId="1" applyFont="1" applyFill="1" applyBorder="1" applyAlignment="1">
      <alignment horizontal="left" vertical="center"/>
    </xf>
    <xf numFmtId="0" fontId="9" fillId="0" borderId="0" xfId="10" applyFont="1" applyAlignment="1">
      <alignment horizontal="center"/>
    </xf>
    <xf numFmtId="0" fontId="9" fillId="0" borderId="37" xfId="10" applyFont="1" applyBorder="1" applyAlignment="1">
      <alignment horizontal="center"/>
    </xf>
    <xf numFmtId="4" fontId="16" fillId="6" borderId="28" xfId="2" applyNumberFormat="1" applyFont="1" applyFill="1" applyBorder="1" applyAlignment="1">
      <alignment horizontal="center" vertical="center" wrapText="1"/>
    </xf>
    <xf numFmtId="10" fontId="15" fillId="0" borderId="52" xfId="2" applyNumberFormat="1" applyFont="1" applyFill="1" applyBorder="1" applyAlignment="1">
      <alignment horizontal="center" vertical="center" wrapText="1"/>
    </xf>
    <xf numFmtId="10" fontId="15" fillId="0" borderId="2" xfId="2" applyNumberFormat="1" applyFont="1" applyFill="1" applyBorder="1" applyAlignment="1">
      <alignment horizontal="center" vertical="center" wrapText="1"/>
    </xf>
    <xf numFmtId="10" fontId="15" fillId="0" borderId="53" xfId="2" applyNumberFormat="1" applyFont="1" applyFill="1" applyBorder="1" applyAlignment="1">
      <alignment horizontal="center" vertical="center" wrapText="1"/>
    </xf>
    <xf numFmtId="10" fontId="19" fillId="6" borderId="28" xfId="2" applyNumberFormat="1" applyFont="1" applyFill="1" applyBorder="1" applyAlignment="1">
      <alignment horizontal="center" vertical="center" wrapText="1"/>
    </xf>
    <xf numFmtId="10" fontId="5" fillId="0" borderId="3" xfId="5" applyNumberFormat="1" applyFont="1" applyFill="1" applyBorder="1" applyAlignment="1">
      <alignment horizontal="center" vertical="center"/>
    </xf>
    <xf numFmtId="10" fontId="20" fillId="0" borderId="2" xfId="5" applyNumberFormat="1" applyFont="1" applyFill="1" applyBorder="1" applyAlignment="1">
      <alignment horizontal="center" vertical="center"/>
    </xf>
    <xf numFmtId="10" fontId="5" fillId="0" borderId="2" xfId="5" applyNumberFormat="1" applyFont="1" applyFill="1" applyBorder="1" applyAlignment="1">
      <alignment horizontal="center" vertical="center"/>
    </xf>
    <xf numFmtId="10" fontId="20" fillId="0" borderId="53" xfId="5" applyNumberFormat="1" applyFont="1" applyFill="1" applyBorder="1" applyAlignment="1">
      <alignment horizontal="center" vertical="center"/>
    </xf>
    <xf numFmtId="10" fontId="5" fillId="0" borderId="43" xfId="5" applyNumberFormat="1" applyFont="1" applyFill="1" applyBorder="1" applyAlignment="1">
      <alignment horizontal="center" vertical="center"/>
    </xf>
    <xf numFmtId="10" fontId="5" fillId="0" borderId="53" xfId="5" applyNumberFormat="1" applyFont="1" applyFill="1" applyBorder="1" applyAlignment="1">
      <alignment horizontal="center" vertical="center"/>
    </xf>
    <xf numFmtId="10" fontId="5" fillId="0" borderId="46" xfId="5" applyNumberFormat="1" applyFont="1" applyFill="1" applyBorder="1" applyAlignment="1">
      <alignment horizontal="center" vertical="center"/>
    </xf>
    <xf numFmtId="10" fontId="5" fillId="0" borderId="0" xfId="5" applyNumberFormat="1" applyFont="1" applyFill="1" applyBorder="1" applyAlignment="1">
      <alignment horizontal="center" vertical="center"/>
    </xf>
    <xf numFmtId="10" fontId="5" fillId="6" borderId="12" xfId="5" applyNumberFormat="1" applyFont="1" applyFill="1" applyBorder="1" applyAlignment="1">
      <alignment horizontal="center" vertical="center"/>
    </xf>
    <xf numFmtId="10" fontId="5" fillId="0" borderId="10" xfId="5" applyNumberFormat="1" applyFont="1" applyFill="1" applyBorder="1" applyAlignment="1">
      <alignment horizontal="center" vertical="center"/>
    </xf>
    <xf numFmtId="10" fontId="5" fillId="6" borderId="28" xfId="5" applyNumberFormat="1" applyFont="1" applyFill="1" applyBorder="1" applyAlignment="1">
      <alignment horizontal="center" vertical="center"/>
    </xf>
    <xf numFmtId="10" fontId="5" fillId="0" borderId="19" xfId="5" applyNumberFormat="1" applyFont="1" applyFill="1" applyBorder="1" applyAlignment="1">
      <alignment horizontal="center" vertical="center"/>
    </xf>
    <xf numFmtId="10" fontId="5" fillId="6" borderId="49" xfId="5" applyNumberFormat="1" applyFont="1" applyFill="1" applyBorder="1" applyAlignment="1">
      <alignment horizontal="center" vertical="center"/>
    </xf>
    <xf numFmtId="10" fontId="5" fillId="0" borderId="23" xfId="5" applyNumberFormat="1" applyFont="1" applyFill="1" applyBorder="1" applyAlignment="1">
      <alignment horizontal="center" vertical="center"/>
    </xf>
    <xf numFmtId="10" fontId="5" fillId="6" borderId="0" xfId="5" applyNumberFormat="1" applyFont="1" applyFill="1" applyBorder="1" applyAlignment="1">
      <alignment horizontal="center" vertical="center"/>
    </xf>
    <xf numFmtId="10" fontId="5" fillId="0" borderId="25" xfId="5" applyNumberFormat="1" applyFont="1" applyFill="1" applyBorder="1" applyAlignment="1">
      <alignment horizontal="center" vertical="center"/>
    </xf>
    <xf numFmtId="10" fontId="5" fillId="0" borderId="47" xfId="5" applyNumberFormat="1" applyFont="1" applyFill="1" applyBorder="1" applyAlignment="1">
      <alignment horizontal="center" vertical="center"/>
    </xf>
    <xf numFmtId="44" fontId="25" fillId="6" borderId="28" xfId="4" applyNumberFormat="1" applyFont="1" applyFill="1" applyBorder="1" applyAlignment="1">
      <alignment horizontal="center" vertical="center"/>
    </xf>
    <xf numFmtId="0" fontId="12" fillId="0" borderId="73" xfId="12" applyFont="1" applyBorder="1" applyAlignment="1">
      <alignment horizontal="center" vertical="center"/>
    </xf>
    <xf numFmtId="170" fontId="12" fillId="0" borderId="0" xfId="13" applyNumberFormat="1" applyFont="1" applyBorder="1" applyAlignment="1">
      <alignment horizontal="center"/>
    </xf>
    <xf numFmtId="0" fontId="15" fillId="0" borderId="0" xfId="2" applyNumberFormat="1" applyFont="1" applyAlignment="1">
      <alignment horizontal="center"/>
    </xf>
    <xf numFmtId="49" fontId="15" fillId="0" borderId="52" xfId="2" applyNumberFormat="1" applyFont="1" applyFill="1" applyBorder="1" applyAlignment="1">
      <alignment horizontal="center" vertical="center"/>
    </xf>
    <xf numFmtId="49" fontId="15" fillId="0" borderId="2" xfId="2" applyNumberFormat="1" applyFont="1" applyFill="1" applyBorder="1" applyAlignment="1">
      <alignment horizontal="center" vertical="center"/>
    </xf>
    <xf numFmtId="49" fontId="15" fillId="0" borderId="0" xfId="2" applyNumberFormat="1" applyFont="1" applyFill="1" applyBorder="1" applyAlignment="1">
      <alignment horizontal="center" vertical="center"/>
    </xf>
    <xf numFmtId="0" fontId="19" fillId="6" borderId="28" xfId="2" applyFont="1" applyFill="1" applyBorder="1" applyAlignment="1">
      <alignment horizontal="center" vertical="center"/>
    </xf>
    <xf numFmtId="0" fontId="5" fillId="0" borderId="3" xfId="4" applyBorder="1" applyAlignment="1">
      <alignment horizontal="center" vertical="center"/>
    </xf>
    <xf numFmtId="0" fontId="5" fillId="0" borderId="2" xfId="4" applyBorder="1" applyAlignment="1">
      <alignment horizontal="center" vertical="center"/>
    </xf>
    <xf numFmtId="0" fontId="5" fillId="0" borderId="0" xfId="4" applyAlignment="1">
      <alignment horizontal="center" vertical="center"/>
    </xf>
    <xf numFmtId="0" fontId="5" fillId="0" borderId="43" xfId="4" applyBorder="1" applyAlignment="1">
      <alignment horizontal="center" vertical="center"/>
    </xf>
    <xf numFmtId="4" fontId="19" fillId="6" borderId="28" xfId="2" applyNumberFormat="1" applyFont="1" applyFill="1" applyBorder="1" applyAlignment="1">
      <alignment horizontal="center" vertical="center"/>
    </xf>
    <xf numFmtId="0" fontId="5" fillId="0" borderId="46" xfId="4" applyBorder="1" applyAlignment="1">
      <alignment horizontal="center" vertical="center"/>
    </xf>
    <xf numFmtId="0" fontId="5" fillId="6" borderId="12" xfId="4" applyFill="1" applyBorder="1" applyAlignment="1">
      <alignment horizontal="center" vertical="center"/>
    </xf>
    <xf numFmtId="0" fontId="5" fillId="0" borderId="10" xfId="4" applyBorder="1" applyAlignment="1">
      <alignment horizontal="center" vertical="center"/>
    </xf>
    <xf numFmtId="0" fontId="5" fillId="6" borderId="28" xfId="4" applyFill="1" applyBorder="1" applyAlignment="1">
      <alignment horizontal="center" vertical="center"/>
    </xf>
    <xf numFmtId="0" fontId="5" fillId="0" borderId="19" xfId="4" applyBorder="1" applyAlignment="1">
      <alignment horizontal="center" vertical="center"/>
    </xf>
    <xf numFmtId="0" fontId="5" fillId="6" borderId="49" xfId="4" applyFill="1" applyBorder="1" applyAlignment="1">
      <alignment horizontal="center" vertical="center"/>
    </xf>
    <xf numFmtId="44" fontId="5" fillId="0" borderId="2" xfId="4" applyNumberFormat="1" applyBorder="1" applyAlignment="1">
      <alignment horizontal="center" vertical="center"/>
    </xf>
    <xf numFmtId="0" fontId="5" fillId="6" borderId="0" xfId="4" applyFill="1" applyAlignment="1">
      <alignment horizontal="center" vertical="center"/>
    </xf>
    <xf numFmtId="0" fontId="5" fillId="0" borderId="67" xfId="4" applyBorder="1" applyAlignment="1">
      <alignment horizontal="center" vertical="center"/>
    </xf>
    <xf numFmtId="0" fontId="12" fillId="0" borderId="45" xfId="12" applyFont="1" applyBorder="1" applyAlignment="1">
      <alignment horizontal="center" vertical="center"/>
    </xf>
    <xf numFmtId="2" fontId="18" fillId="0" borderId="52" xfId="2" applyNumberFormat="1" applyFont="1" applyFill="1" applyBorder="1" applyAlignment="1">
      <alignment horizontal="center" vertical="center"/>
    </xf>
    <xf numFmtId="2" fontId="18" fillId="0" borderId="2" xfId="2" applyNumberFormat="1" applyFont="1" applyFill="1" applyBorder="1" applyAlignment="1">
      <alignment horizontal="center" vertical="center"/>
    </xf>
    <xf numFmtId="2" fontId="18" fillId="0" borderId="0" xfId="2" applyNumberFormat="1" applyFont="1" applyFill="1" applyBorder="1" applyAlignment="1">
      <alignment horizontal="center" vertical="center"/>
    </xf>
    <xf numFmtId="4" fontId="19" fillId="6" borderId="28" xfId="2" applyNumberFormat="1" applyFont="1" applyFill="1" applyBorder="1" applyAlignment="1">
      <alignment horizontal="center" vertical="center" wrapText="1"/>
    </xf>
    <xf numFmtId="2" fontId="18" fillId="0" borderId="3" xfId="2" applyNumberFormat="1" applyFont="1" applyFill="1" applyBorder="1" applyAlignment="1">
      <alignment horizontal="center" vertical="center"/>
    </xf>
    <xf numFmtId="2" fontId="18" fillId="0" borderId="43" xfId="2" applyNumberFormat="1" applyFont="1" applyFill="1" applyBorder="1" applyAlignment="1">
      <alignment horizontal="center" vertical="center"/>
    </xf>
    <xf numFmtId="2" fontId="18" fillId="0" borderId="46" xfId="2" applyNumberFormat="1" applyFont="1" applyFill="1" applyBorder="1" applyAlignment="1">
      <alignment horizontal="center" vertical="center"/>
    </xf>
    <xf numFmtId="2" fontId="18" fillId="6" borderId="12" xfId="2" applyNumberFormat="1" applyFont="1" applyFill="1" applyBorder="1" applyAlignment="1">
      <alignment horizontal="center" vertical="center"/>
    </xf>
    <xf numFmtId="2" fontId="18" fillId="0" borderId="10" xfId="2" applyNumberFormat="1" applyFont="1" applyFill="1" applyBorder="1" applyAlignment="1">
      <alignment horizontal="center" vertical="center"/>
    </xf>
    <xf numFmtId="2" fontId="18" fillId="6" borderId="28" xfId="2" applyNumberFormat="1" applyFont="1" applyFill="1" applyBorder="1" applyAlignment="1">
      <alignment horizontal="center" vertical="center"/>
    </xf>
    <xf numFmtId="0" fontId="18" fillId="0" borderId="3" xfId="2" applyFont="1" applyFill="1" applyBorder="1" applyAlignment="1">
      <alignment horizontal="center" vertical="center"/>
    </xf>
    <xf numFmtId="0" fontId="18" fillId="0" borderId="2" xfId="2" applyFont="1" applyFill="1" applyBorder="1" applyAlignment="1">
      <alignment horizontal="center" vertical="center"/>
    </xf>
    <xf numFmtId="2" fontId="18" fillId="0" borderId="19" xfId="2" applyNumberFormat="1" applyFont="1" applyFill="1" applyBorder="1" applyAlignment="1">
      <alignment horizontal="center" vertical="center"/>
    </xf>
    <xf numFmtId="2" fontId="18" fillId="6" borderId="49" xfId="2" applyNumberFormat="1" applyFont="1" applyFill="1" applyBorder="1" applyAlignment="1">
      <alignment horizontal="center" vertical="center"/>
    </xf>
    <xf numFmtId="0" fontId="18" fillId="0" borderId="43" xfId="2" applyFont="1" applyFill="1" applyBorder="1" applyAlignment="1">
      <alignment horizontal="center" vertical="center"/>
    </xf>
    <xf numFmtId="0" fontId="18" fillId="0" borderId="10" xfId="2" applyFont="1" applyFill="1" applyBorder="1" applyAlignment="1">
      <alignment horizontal="center" vertical="center"/>
    </xf>
    <xf numFmtId="2" fontId="18" fillId="6" borderId="0" xfId="2" applyNumberFormat="1" applyFont="1" applyFill="1" applyBorder="1" applyAlignment="1">
      <alignment horizontal="center" vertical="center"/>
    </xf>
    <xf numFmtId="0" fontId="18" fillId="0" borderId="19" xfId="2" applyFont="1" applyFill="1" applyBorder="1" applyAlignment="1">
      <alignment horizontal="center" vertical="center"/>
    </xf>
    <xf numFmtId="0" fontId="18" fillId="6" borderId="0" xfId="2" applyFont="1" applyFill="1" applyBorder="1" applyAlignment="1">
      <alignment horizontal="center" vertical="center"/>
    </xf>
    <xf numFmtId="2" fontId="18" fillId="0" borderId="67" xfId="2" applyNumberFormat="1" applyFont="1" applyFill="1" applyBorder="1" applyAlignment="1">
      <alignment horizontal="center" vertical="center"/>
    </xf>
    <xf numFmtId="10" fontId="11" fillId="0" borderId="45" xfId="12" applyNumberFormat="1" applyFont="1" applyBorder="1" applyAlignment="1">
      <alignment horizontal="center" vertical="center"/>
    </xf>
    <xf numFmtId="170" fontId="12" fillId="0" borderId="45" xfId="13" applyNumberFormat="1" applyFont="1" applyBorder="1" applyAlignment="1">
      <alignment horizontal="center" vertical="center"/>
    </xf>
    <xf numFmtId="9" fontId="12" fillId="0" borderId="45" xfId="9" applyFont="1" applyBorder="1" applyAlignment="1">
      <alignment horizontal="center" vertical="center"/>
    </xf>
    <xf numFmtId="170" fontId="11" fillId="0" borderId="77" xfId="13" applyNumberFormat="1" applyFont="1" applyBorder="1" applyAlignment="1">
      <alignment horizontal="center" vertical="center"/>
    </xf>
    <xf numFmtId="2" fontId="12" fillId="0" borderId="0" xfId="12" applyNumberFormat="1" applyFont="1" applyAlignment="1">
      <alignment horizontal="center"/>
    </xf>
    <xf numFmtId="174" fontId="15" fillId="0" borderId="0" xfId="2" applyNumberFormat="1" applyFont="1" applyAlignment="1">
      <alignment horizontal="left"/>
    </xf>
    <xf numFmtId="43" fontId="3" fillId="0" borderId="0" xfId="0" applyNumberFormat="1" applyFont="1"/>
    <xf numFmtId="43" fontId="4" fillId="0" borderId="0" xfId="2" applyNumberFormat="1" applyFont="1"/>
    <xf numFmtId="0" fontId="22" fillId="0" borderId="2" xfId="2" applyFont="1" applyFill="1" applyBorder="1" applyAlignment="1">
      <alignment horizontal="left" vertical="center" wrapText="1"/>
    </xf>
    <xf numFmtId="0" fontId="22" fillId="0" borderId="46" xfId="2" applyFont="1" applyFill="1" applyBorder="1" applyAlignment="1">
      <alignment horizontal="left" vertical="center" wrapText="1"/>
    </xf>
    <xf numFmtId="0" fontId="18" fillId="0" borderId="2" xfId="2" applyFont="1" applyFill="1" applyBorder="1" applyAlignment="1">
      <alignment horizontal="left" vertical="center" wrapText="1"/>
    </xf>
    <xf numFmtId="0" fontId="22" fillId="0" borderId="2" xfId="2" applyFont="1" applyFill="1" applyBorder="1" applyAlignment="1">
      <alignment horizontal="left" vertical="center"/>
    </xf>
    <xf numFmtId="0" fontId="17" fillId="6" borderId="0" xfId="2" applyFont="1" applyFill="1" applyBorder="1" applyAlignment="1">
      <alignment horizontal="left" vertical="center" wrapText="1"/>
    </xf>
    <xf numFmtId="0" fontId="22" fillId="0" borderId="10" xfId="2" applyFont="1" applyFill="1" applyBorder="1" applyAlignment="1">
      <alignment horizontal="left" vertical="center" wrapText="1"/>
    </xf>
    <xf numFmtId="0" fontId="17" fillId="6" borderId="12" xfId="2" applyFont="1" applyFill="1" applyBorder="1" applyAlignment="1">
      <alignment horizontal="left" vertical="center" wrapText="1"/>
    </xf>
    <xf numFmtId="0" fontId="17" fillId="6" borderId="28" xfId="2" applyFont="1" applyFill="1" applyBorder="1" applyAlignment="1">
      <alignment horizontal="left" vertical="center" wrapText="1"/>
    </xf>
    <xf numFmtId="0" fontId="18" fillId="0" borderId="11" xfId="2" applyFont="1" applyFill="1" applyBorder="1" applyAlignment="1">
      <alignment horizontal="left" vertical="center" wrapText="1"/>
    </xf>
    <xf numFmtId="0" fontId="18" fillId="0" borderId="13" xfId="2" applyFont="1" applyFill="1" applyBorder="1" applyAlignment="1">
      <alignment horizontal="left" vertical="center" wrapText="1"/>
    </xf>
    <xf numFmtId="0" fontId="17" fillId="6" borderId="32" xfId="2" applyFont="1" applyFill="1" applyBorder="1" applyAlignment="1">
      <alignment horizontal="left" vertical="center" wrapText="1"/>
    </xf>
    <xf numFmtId="0" fontId="17" fillId="6" borderId="33" xfId="2" applyFont="1" applyFill="1" applyBorder="1" applyAlignment="1">
      <alignment horizontal="left" vertical="center" wrapText="1"/>
    </xf>
    <xf numFmtId="0" fontId="18" fillId="0" borderId="43" xfId="2" applyFont="1" applyFill="1" applyBorder="1" applyAlignment="1">
      <alignment horizontal="left" vertical="center" wrapText="1"/>
    </xf>
    <xf numFmtId="0" fontId="18" fillId="0" borderId="3" xfId="2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 wrapText="1"/>
    </xf>
    <xf numFmtId="49" fontId="16" fillId="6" borderId="28" xfId="2" applyNumberFormat="1" applyFont="1" applyFill="1" applyBorder="1" applyAlignment="1">
      <alignment horizontal="left" vertical="center" wrapText="1"/>
    </xf>
    <xf numFmtId="0" fontId="16" fillId="6" borderId="28" xfId="2" applyFont="1" applyFill="1" applyBorder="1" applyAlignment="1">
      <alignment horizontal="left" vertical="center" wrapText="1"/>
    </xf>
    <xf numFmtId="0" fontId="9" fillId="3" borderId="24" xfId="11" applyFont="1" applyFill="1" applyBorder="1" applyAlignment="1">
      <alignment horizontal="center" vertical="center" wrapText="1"/>
    </xf>
    <xf numFmtId="0" fontId="9" fillId="3" borderId="31" xfId="11" applyFont="1" applyFill="1" applyBorder="1" applyAlignment="1">
      <alignment horizontal="center" vertical="center" wrapText="1"/>
    </xf>
    <xf numFmtId="0" fontId="13" fillId="0" borderId="0" xfId="11" applyFont="1" applyAlignment="1">
      <alignment horizontal="center" vertical="top"/>
    </xf>
    <xf numFmtId="0" fontId="13" fillId="0" borderId="19" xfId="11" applyFont="1" applyBorder="1" applyAlignment="1">
      <alignment horizontal="center"/>
    </xf>
    <xf numFmtId="0" fontId="9" fillId="0" borderId="0" xfId="10" applyFont="1" applyAlignment="1">
      <alignment horizontal="left"/>
    </xf>
    <xf numFmtId="0" fontId="9" fillId="2" borderId="42" xfId="10" applyFont="1" applyFill="1" applyBorder="1" applyAlignment="1">
      <alignment horizontal="left" vertical="center" wrapText="1"/>
    </xf>
    <xf numFmtId="0" fontId="9" fillId="2" borderId="66" xfId="10" applyFont="1" applyFill="1" applyBorder="1" applyAlignment="1">
      <alignment horizontal="left" vertical="center" wrapText="1"/>
    </xf>
    <xf numFmtId="0" fontId="9" fillId="2" borderId="43" xfId="10" applyFont="1" applyFill="1" applyBorder="1" applyAlignment="1">
      <alignment horizontal="left" vertical="center" wrapText="1"/>
    </xf>
    <xf numFmtId="0" fontId="9" fillId="2" borderId="44" xfId="10" applyFont="1" applyFill="1" applyBorder="1" applyAlignment="1">
      <alignment horizontal="left" vertical="center" wrapText="1"/>
    </xf>
    <xf numFmtId="0" fontId="9" fillId="2" borderId="5" xfId="10" applyFont="1" applyFill="1" applyBorder="1" applyAlignment="1">
      <alignment horizontal="left" vertical="center" wrapText="1"/>
    </xf>
    <xf numFmtId="0" fontId="9" fillId="2" borderId="8" xfId="10" applyFont="1" applyFill="1" applyBorder="1" applyAlignment="1">
      <alignment horizontal="left" vertical="center" wrapText="1"/>
    </xf>
    <xf numFmtId="0" fontId="9" fillId="2" borderId="2" xfId="10" applyFont="1" applyFill="1" applyBorder="1" applyAlignment="1">
      <alignment horizontal="left" vertical="center" wrapText="1"/>
    </xf>
    <xf numFmtId="0" fontId="9" fillId="2" borderId="6" xfId="10" applyFont="1" applyFill="1" applyBorder="1" applyAlignment="1">
      <alignment horizontal="left" vertical="center" wrapText="1"/>
    </xf>
    <xf numFmtId="49" fontId="16" fillId="6" borderId="50" xfId="2" applyNumberFormat="1" applyFont="1" applyFill="1" applyBorder="1" applyAlignment="1">
      <alignment horizontal="left" vertical="center"/>
    </xf>
    <xf numFmtId="49" fontId="16" fillId="6" borderId="0" xfId="2" applyNumberFormat="1" applyFont="1" applyFill="1" applyBorder="1" applyAlignment="1">
      <alignment horizontal="left" vertical="center"/>
    </xf>
    <xf numFmtId="49" fontId="16" fillId="6" borderId="51" xfId="2" applyNumberFormat="1" applyFont="1" applyFill="1" applyBorder="1" applyAlignment="1">
      <alignment horizontal="left" vertical="center"/>
    </xf>
    <xf numFmtId="49" fontId="16" fillId="0" borderId="54" xfId="2" applyNumberFormat="1" applyFont="1" applyFill="1" applyBorder="1" applyAlignment="1">
      <alignment horizontal="center" vertical="center"/>
    </xf>
    <xf numFmtId="0" fontId="16" fillId="0" borderId="59" xfId="2" applyFont="1" applyFill="1" applyBorder="1" applyAlignment="1">
      <alignment horizontal="center" vertical="center"/>
    </xf>
    <xf numFmtId="49" fontId="16" fillId="0" borderId="55" xfId="2" applyNumberFormat="1" applyFont="1" applyFill="1" applyBorder="1" applyAlignment="1">
      <alignment horizontal="center" vertical="center" wrapText="1"/>
    </xf>
    <xf numFmtId="0" fontId="16" fillId="0" borderId="56" xfId="2" applyFont="1" applyFill="1" applyBorder="1" applyAlignment="1">
      <alignment horizontal="center" vertical="center" wrapText="1"/>
    </xf>
    <xf numFmtId="49" fontId="16" fillId="0" borderId="57" xfId="2" applyNumberFormat="1" applyFont="1" applyFill="1" applyBorder="1" applyAlignment="1">
      <alignment horizontal="center" vertical="center"/>
    </xf>
    <xf numFmtId="0" fontId="16" fillId="0" borderId="57" xfId="2" applyFont="1" applyFill="1" applyBorder="1" applyAlignment="1">
      <alignment horizontal="center" vertical="center"/>
    </xf>
    <xf numFmtId="0" fontId="16" fillId="0" borderId="60" xfId="2" applyFont="1" applyFill="1" applyBorder="1" applyAlignment="1">
      <alignment horizontal="center" vertical="center"/>
    </xf>
    <xf numFmtId="0" fontId="9" fillId="5" borderId="35" xfId="10" applyFont="1" applyFill="1" applyBorder="1" applyAlignment="1">
      <alignment horizontal="left" vertical="center" wrapText="1"/>
    </xf>
    <xf numFmtId="0" fontId="9" fillId="5" borderId="45" xfId="10" applyFont="1" applyFill="1" applyBorder="1" applyAlignment="1">
      <alignment horizontal="left" vertical="center" wrapText="1"/>
    </xf>
    <xf numFmtId="0" fontId="9" fillId="5" borderId="17" xfId="10" applyFont="1" applyFill="1" applyBorder="1" applyAlignment="1">
      <alignment horizontal="left" vertical="center" wrapText="1"/>
    </xf>
    <xf numFmtId="49" fontId="16" fillId="0" borderId="68" xfId="2" applyNumberFormat="1" applyFont="1" applyFill="1" applyBorder="1" applyAlignment="1">
      <alignment horizontal="center" vertical="center" wrapText="1"/>
    </xf>
    <xf numFmtId="49" fontId="16" fillId="0" borderId="1" xfId="2" applyNumberFormat="1" applyFont="1" applyFill="1" applyBorder="1" applyAlignment="1">
      <alignment horizontal="center" vertical="center" wrapText="1"/>
    </xf>
    <xf numFmtId="49" fontId="16" fillId="6" borderId="27" xfId="2" applyNumberFormat="1" applyFont="1" applyFill="1" applyBorder="1" applyAlignment="1">
      <alignment vertical="center"/>
    </xf>
    <xf numFmtId="0" fontId="16" fillId="6" borderId="28" xfId="2" applyFont="1" applyFill="1" applyBorder="1" applyAlignment="1">
      <alignment vertical="center"/>
    </xf>
    <xf numFmtId="49" fontId="16" fillId="6" borderId="27" xfId="2" applyNumberFormat="1" applyFont="1" applyFill="1" applyBorder="1" applyAlignment="1">
      <alignment horizontal="left" vertical="center"/>
    </xf>
    <xf numFmtId="0" fontId="16" fillId="6" borderId="28" xfId="2" applyFont="1" applyFill="1" applyBorder="1" applyAlignment="1">
      <alignment horizontal="left" vertical="center"/>
    </xf>
    <xf numFmtId="0" fontId="18" fillId="0" borderId="52" xfId="2" applyFont="1" applyFill="1" applyBorder="1" applyAlignment="1">
      <alignment horizontal="left" vertical="center" wrapText="1"/>
    </xf>
    <xf numFmtId="0" fontId="12" fillId="0" borderId="78" xfId="15" applyFont="1" applyBorder="1" applyAlignment="1">
      <alignment horizontal="center" vertical="center"/>
    </xf>
    <xf numFmtId="0" fontId="12" fillId="0" borderId="79" xfId="15" applyFont="1" applyBorder="1" applyAlignment="1">
      <alignment horizontal="center" vertical="center"/>
    </xf>
    <xf numFmtId="0" fontId="12" fillId="5" borderId="5" xfId="11" applyFont="1" applyFill="1" applyBorder="1" applyAlignment="1">
      <alignment vertical="center" wrapText="1"/>
    </xf>
    <xf numFmtId="0" fontId="12" fillId="5" borderId="2" xfId="11" applyFont="1" applyFill="1" applyBorder="1" applyAlignment="1">
      <alignment vertical="center" wrapText="1"/>
    </xf>
    <xf numFmtId="3" fontId="11" fillId="5" borderId="3" xfId="11" applyNumberFormat="1" applyFont="1" applyFill="1" applyBorder="1" applyAlignment="1">
      <alignment horizontal="center" vertical="center" wrapText="1"/>
    </xf>
    <xf numFmtId="3" fontId="11" fillId="5" borderId="7" xfId="11" applyNumberFormat="1" applyFont="1" applyFill="1" applyBorder="1" applyAlignment="1">
      <alignment horizontal="center" vertical="center"/>
    </xf>
    <xf numFmtId="3" fontId="11" fillId="5" borderId="45" xfId="11" applyNumberFormat="1" applyFont="1" applyFill="1" applyBorder="1" applyAlignment="1">
      <alignment horizontal="center" vertical="center"/>
    </xf>
    <xf numFmtId="3" fontId="11" fillId="5" borderId="8" xfId="11" applyNumberFormat="1" applyFont="1" applyFill="1" applyBorder="1" applyAlignment="1">
      <alignment horizontal="center" vertical="center"/>
    </xf>
    <xf numFmtId="0" fontId="11" fillId="5" borderId="7" xfId="11" applyFont="1" applyFill="1" applyBorder="1" applyAlignment="1">
      <alignment horizontal="center" vertical="top" wrapText="1"/>
    </xf>
    <xf numFmtId="0" fontId="11" fillId="5" borderId="45" xfId="11" applyFont="1" applyFill="1" applyBorder="1" applyAlignment="1">
      <alignment horizontal="center" vertical="top" wrapText="1"/>
    </xf>
    <xf numFmtId="0" fontId="11" fillId="5" borderId="8" xfId="11" applyFont="1" applyFill="1" applyBorder="1" applyAlignment="1">
      <alignment horizontal="center" vertical="top" wrapText="1"/>
    </xf>
    <xf numFmtId="3" fontId="11" fillId="5" borderId="7" xfId="11" applyNumberFormat="1" applyFont="1" applyFill="1" applyBorder="1" applyAlignment="1">
      <alignment horizontal="center" vertical="top" wrapText="1"/>
    </xf>
    <xf numFmtId="3" fontId="11" fillId="5" borderId="45" xfId="11" applyNumberFormat="1" applyFont="1" applyFill="1" applyBorder="1" applyAlignment="1">
      <alignment horizontal="center" vertical="top" wrapText="1"/>
    </xf>
    <xf numFmtId="3" fontId="11" fillId="5" borderId="8" xfId="11" applyNumberFormat="1" applyFont="1" applyFill="1" applyBorder="1" applyAlignment="1">
      <alignment horizontal="center" vertical="top" wrapText="1"/>
    </xf>
  </cellXfs>
  <cellStyles count="17">
    <cellStyle name="Millares_FORMULARIO 4 - M-OFERENTE PPTA ECONOMICA" xfId="16" xr:uid="{D5DCF4D3-6C72-43EC-A301-45906BAD8E14}"/>
    <cellStyle name="Moneda" xfId="1" builtinId="4"/>
    <cellStyle name="Moneda 2" xfId="6" xr:uid="{00000000-0005-0000-0000-000002000000}"/>
    <cellStyle name="Moneda 2 2 2 2 2" xfId="13" xr:uid="{48354151-6266-4E4F-8F75-FA99CE47370F}"/>
    <cellStyle name="Normal" xfId="0" builtinId="0"/>
    <cellStyle name="Normal 12" xfId="3" xr:uid="{00000000-0005-0000-0000-000004000000}"/>
    <cellStyle name="Normal 2" xfId="2" xr:uid="{00000000-0005-0000-0000-000005000000}"/>
    <cellStyle name="Normal 2 10 3" xfId="14" xr:uid="{DF04CF63-6037-4F4F-9806-3495091133BA}"/>
    <cellStyle name="Normal 2 2" xfId="15" xr:uid="{D75CEECF-9748-4A4C-A5DB-5ED1639E5E88}"/>
    <cellStyle name="Normal 2 4" xfId="8" xr:uid="{00000000-0005-0000-0000-000006000000}"/>
    <cellStyle name="Normal 3" xfId="10" xr:uid="{8BE57F6F-D086-4DB9-8564-5C4F8CD52ABD}"/>
    <cellStyle name="Normal 3 11" xfId="11" xr:uid="{B53D5B7C-A3E5-42A9-BED8-DD3E3CBC7C4B}"/>
    <cellStyle name="Normal 3 2 2" xfId="12" xr:uid="{C0E89A0E-DA60-4AF3-A7A1-34FD6CA23C1B}"/>
    <cellStyle name="Normal 5" xfId="4" xr:uid="{00000000-0005-0000-0000-000007000000}"/>
    <cellStyle name="Normal 6 2" xfId="7" xr:uid="{00000000-0005-0000-0000-000008000000}"/>
    <cellStyle name="Porcentaje" xfId="9" builtinId="5"/>
    <cellStyle name="Porcentaje 2" xfId="5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CMEDPPLALM/GTECNICA/mvilla/SILO%2015000/WINDOWS/TEMP/CBoyaca/CUADRILLA%20DIURN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Claudio/Utiles/Alerce/DIS-PE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G\Area%20Proyectos\A\AiuBPMarco98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mayorga\AppData\Local\Microsoft\Windows\Temporary%20Internet%20Files\Content.Outlook\WT8CO6ZI\Users\bgonzalez\Desktop\Documents%20and%20Settings\crendon.HMV\Local%20Settings\Temporary%20Internet%20Files\OLK3\859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Suba03/USUARIOS-03/Archivos%20Trabajo%20HGiraldo/A.P.U/Precios%20unitario%20interventoria%20tuberias%20sin%20transport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c/Juan%20Diego/2004-17%20Puente%20El%20salado/Dise&#241;o/Memorias/Memoria%20de%20Conexiones/Memoria%20de%20Conexiones/14-01Placa%20de%20base%20mal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Holding/APatagonia/Coyhaique/Capacidad/LAct-Coyhaique-8Jul0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Individuales/Hidrosan/Ingenieria/Mog/8&#170;-ESSBIO/7&#170;%20ANSM/T-NUEV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chaves/Desktop/NARI&#209;O/CONECTIVIDAD/EL%20EMPATE%20-%20LA%20UNION%20PR%2060+240%20al%20PR%2066+090/OBRA/BASE/PRESUPUESTO%20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Documents%20and%20Settings/faravena/Configuraci&#243;n%20local/Archivos%20temporales%20de%20Internet/OLK265/LAct-Inducorn-24May0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93E2A648/a%20%20aaInformaci&#243;n%20GRUPO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4CD9F8C9/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Calidad/iso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AsuntosCGM/BASE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648726AD/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/DATOS/HIDROSAN/ESTUDIOS/ENCURSO/1011/60P0/RA/PUYUHU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ICITAR\SONIA\CONTRATO\IDU-246-PARCHEO%20KENNEDY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Euleoca/temp/Mis%20documentos/Con%200605%2002/actas/acta%20noviembre02/388/Actas/HACE/Mis%20documentos/INF.BIMENSUAL/INFORME%20BIMENSUAL%20JUL-AGO-200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Individuales/Hidrosan/Ingenieria/Mog/TARIFAS/Calculo%20tarif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2010905_p2/Cantidades%20demolici&#243;n%20El%20Tarra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CCMEDPPLALM/GTECNICA/mvilla/SILO%2015000/users/AndreasK/MyProjects/Estimating%20Environment/Standard%20V1.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Mis%20documentos/Hydroquality/lagunas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Mis%20documentos/Hydroquality/laguna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Documents%20and%20Settings/Amoya/Mis%20documentos/Moya/Rem%20y%20Personal/Calculo%20Remuneraciones/Noviembre%202006/Sueldos110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5089937B/An&#225;lisis%20de%20precios%20unitario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Suba03/USUARIOS-03/Archivos%20Trabajo%20HGiraldo/A.P.U/Precios%20Unitarios%20Otro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Precio%20adoquin%20ladrillo%20retirad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Holding/APatagonia/Balmaceda/Chequeo%20PTAS%20Balmaceda%20Aguasin%20-%2019Mar07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05AA5C81/Cantidades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Gmartinez/Ecopreneur/Contabilidad/Informes/EstResultado/Res2005/2005-EERRMensualFina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anaortiz/Desktop/Fondo%20Adaptaci&#243;n/Estudio%20Mercado%20Tarifas%202013/20130225_Socializacion/25022013_Consolidado%20Estudio%20de%20Mercado%20Tarifas%202013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LLA%20TAKOA\Presupuesto\APUS%20VILLA%20TAKO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EnCurso/PROPUESTAS/001-050/030%20Friosa/OF/Friosa-Rucapequ&#233;n-3Nov05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c/Juan%20Diego/2004-17%20Puente%20El%20salado/Dise&#241;o/Memorias/Memoria%20de%20Conexiones/BARRA%20DE%20OJ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Giovanny/c/Copia%20Calidad/Mis%20documentos/Area%20Tecnica/Licitaciones/Epm/Actualizacion%20Guayabal/WINDOWS/TEMP/RELACI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A6D0875B/CAUCACIA%20-%20PLANETA%20RICA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%20VIAL%2003%20-%20CORDOBA\ESTADO%20DE%20RED\2103mar%2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Documents%20and%20Settings/gmartinez/Mis%20documentos/Ecopreneur/Contabilidad/ExporSoftland/2005/Export-Ventas%2009Sep-2005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4CB589C1/dise&#241;o%20pozo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MV-02-BOL/EST.V&#205;A%20CRIT.TECNICO%20AMB-BOL-02/DICIEMBRE-2008/EST.V&#205;A%20CRITERIO%20TECNICO%2090BLB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EST.V&#205;A%20CRITERIO%20TECNI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esupuestos\Presupuestos\Grupo%2045\IMV\Unitarios%20SF-Sup%20y%20LV-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A_produccion/1991_ituvia/Tecnica/Cotizaciones/2003/28987%20CEMENTOS%20ANDINO%20SILO%20II/Ex-0176-03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123/Volume_2/Mis%20documentos/HQ/HydroQuality/ESSEL/ENC/CPP/CPPv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Euleoca/temp/Mis%20documentos/Con%200605%2002/actas/acta%20noviembre02/Mauricio/Bases-Contrataci&#243;n/Bases%202002/Chusac&#225;-Soacha-Bosa/SCV-CD-007-02-Talud-Occidental/Form-SCV-CD-007-02-Talud-Occidenta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A_produccion/1991_ituvia/Tecnica/Cotizaciones/APU%20PREFABRICADOS/Precios%20Materia%20Prima%20ceno%20y%20%20FERRASA%20a%20Marzo%2013%202003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Suba03/USUARIOS-03/Archivos%20Trabajo%20HGiraldo/A.P.U/Valoracion%20Jamarillo%20126%20acometidas%20y%20170/Precios%20Unitarios%20Otro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SIMULACI&#211;NEDIFICIO.ok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Suba03/USUARIOS-03/Archivos%20Trabajo%20HGiraldo/A.P.U/Formato%20reversion%20precios%20LIMP,READEC,TUBERIA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mperez\Downloads\Users\ING~1.OSC\AppData\Local\Temp\Rar$DI01.853\Cantidades_750%20_Alta_Suelo%20AB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anaortiz/Desktop/Fondo%20Adaptaci&#243;n/Estudio%20Mercado%20Tarifas%202013/Rtas%20al%20Estudio%20de%20Mercado/Copia%20de%20FAEstMerc2013R2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TERVENTORIA%20HONDA-RIO%20ERMITA&#209;O\INFORMES\INTERVENTORIA\MENSUAL\08%20JULIO-2007\FORMATOS%20SGT%20INFORME%20INTERVENTORIA%20No.08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-DIURN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REJA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DATOS"/>
      <sheetName val="Paso 1 Calculo del Presupuesto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.P."/>
      <sheetName val="original_sist"/>
      <sheetName val="Hoja3"/>
      <sheetName val="DATOS"/>
      <sheetName val="General"/>
      <sheetName val="Desplegables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SEGUIM Y REPROG MES 1 (2)"/>
      <sheetName val="#REF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ESTADO VÍA-CRIT.TECNICO"/>
      <sheetName val="\E\a  aaInformación GRUPO 4\A M"/>
      <sheetName val="Hoja2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LISTADO "/>
      <sheetName val="M.O."/>
      <sheetName val="G.G"/>
      <sheetName val="MURO PR25+221-235"/>
      <sheetName val="MURO PR25+261-267"/>
      <sheetName val="CANT OBRA"/>
      <sheetName val="\Users\ANDRES FELIPE MUÑOZ\Down"/>
      <sheetName val="ACTA No.1 "/>
      <sheetName val="ACTA No.5"/>
      <sheetName val="ACTA MAYORES - GENERAL"/>
      <sheetName val="MATERIAL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HISTORICOS FUEL OIL EXP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//d.docs.live.net/a  aaInformac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COSTOS UNITARIOS"/>
      <sheetName val="CA-2909"/>
      <sheetName val="_aCCIDENTES_DE_1995___1996_x_15"/>
      <sheetName val="_aCCIDENTES_DE_1995___1996_x_11"/>
      <sheetName val="_aCCIDENTES_DE_1995___1996_xl_9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AC2-AG96"/>
      <sheetName val=" ACTA FINAL + MODIFICATORIA "/>
      <sheetName val="INDICE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VA"/>
      <sheetName val="Program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\Users\LENOVO\Downloads\a  aaIn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p05"/>
      <sheetName val="GP06"/>
      <sheetName val="modf "/>
      <sheetName val="1,2 MC"/>
      <sheetName val="3,1 MC"/>
      <sheetName val="3,2 MC"/>
      <sheetName val="4,2 MC"/>
      <sheetName val="MAT"/>
      <sheetName val="HER"/>
      <sheetName val="PER"/>
      <sheetName val="TRAN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REQUISITOS INF INTERVENTORÍA"/>
      <sheetName val="\E\Documents and Settings\Pe"/>
      <sheetName val="\C\E\Documents and Setting"/>
      <sheetName val="\Users\rosalym\Desktop\BALANCE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/>
      <sheetData sheetId="403"/>
      <sheetData sheetId="404" refreshError="1"/>
      <sheetData sheetId="405" refreshError="1"/>
      <sheetData sheetId="406"/>
      <sheetData sheetId="407"/>
      <sheetData sheetId="408"/>
      <sheetData sheetId="409" refreshError="1"/>
      <sheetData sheetId="410" refreshError="1"/>
      <sheetData sheetId="411"/>
      <sheetData sheetId="412"/>
      <sheetData sheetId="413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 refreshError="1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/>
      <sheetData sheetId="666"/>
      <sheetData sheetId="667" refreshError="1"/>
      <sheetData sheetId="668" refreshError="1"/>
      <sheetData sheetId="669"/>
      <sheetData sheetId="670" refreshError="1"/>
      <sheetData sheetId="671"/>
      <sheetData sheetId="672"/>
      <sheetData sheetId="673"/>
      <sheetData sheetId="674"/>
      <sheetData sheetId="675" refreshError="1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 refreshError="1"/>
      <sheetData sheetId="701"/>
      <sheetData sheetId="702" refreshError="1"/>
      <sheetData sheetId="703"/>
      <sheetData sheetId="704"/>
      <sheetData sheetId="705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 refreshError="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 refreshError="1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  <sheetData sheetId="748"/>
      <sheetData sheetId="749"/>
      <sheetData sheetId="750"/>
      <sheetData sheetId="751"/>
      <sheetData sheetId="752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 refreshError="1"/>
      <sheetData sheetId="807" refreshError="1"/>
      <sheetData sheetId="808" refreshError="1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/>
      <sheetData sheetId="1223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ACT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.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OPCIONES DE SIMULACION"/>
      <sheetName val="COSTOS DE TRANSPORTE"/>
      <sheetName val="BOUNDS &amp; ROWS"/>
      <sheetName val="COMPRA MATERIA PRIMA"/>
      <sheetName val="STRSUMM0"/>
      <sheetName val="Hoja2"/>
      <sheetName val="INDICADORES"/>
      <sheetName val="General"/>
      <sheetName val="O.P."/>
      <sheetName val="DATOS"/>
      <sheetName val="46W9"/>
      <sheetName val="Main"/>
      <sheetName val="CorpTax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nit"/>
      <sheetName val="prelim"/>
      <sheetName val="dimens"/>
      <sheetName val="insumos"/>
      <sheetName val="datos"/>
      <sheetName val="agu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t"/>
      <sheetName val="t2"/>
      <sheetName val="dsf"/>
      <sheetName val="pt"/>
      <sheetName val="dh"/>
      <sheetName val="dae"/>
      <sheetName val="w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gua"/>
      <sheetName val="lodo"/>
      <sheetName val="prelim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\a  aaInformación GRUPO 4\A MIn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Res-Accide-1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REQUISITOS INF INTERVENTORÍA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 "/>
      <sheetName val="M.O."/>
      <sheetName val="_aCCIDENTES_DE_1995___1996_xl_2"/>
      <sheetName val="//ccefici"/>
      <sheetName val="ACTA No.1 "/>
      <sheetName val="INST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_aCCIDENTES_DE_1995___1996_xl_3"/>
      <sheetName val="0."/>
      <sheetName val="Base_Mater"/>
      <sheetName val="20."/>
      <sheetName val="17."/>
      <sheetName val="11.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INDICE"/>
      <sheetName val="gp05"/>
      <sheetName val="GP06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E\a  aaInformación GRUPO 4\A M"/>
      <sheetName val="Reservas de Petróle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 refreshError="1"/>
      <sheetData sheetId="529" refreshError="1"/>
      <sheetData sheetId="530" refreshError="1"/>
      <sheetData sheetId="531" refreshError="1"/>
      <sheetData sheetId="532"/>
      <sheetData sheetId="533"/>
      <sheetData sheetId="534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/>
      <sheetData sheetId="646"/>
      <sheetData sheetId="647"/>
      <sheetData sheetId="648"/>
      <sheetData sheetId="649" refreshError="1"/>
      <sheetData sheetId="650" refreshError="1"/>
      <sheetData sheetId="651"/>
      <sheetData sheetId="652"/>
      <sheetData sheetId="653"/>
      <sheetData sheetId="654" refreshError="1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 refreshError="1"/>
      <sheetData sheetId="889" refreshError="1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 refreshError="1"/>
      <sheetData sheetId="902" refreshError="1"/>
      <sheetData sheetId="90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Concretos y morteros"/>
      <sheetName val="Datos iniciales "/>
      <sheetName val="Transporte"/>
      <sheetName val="Fornato 6"/>
      <sheetName val="INDICMICROEMP"/>
      <sheetName val="INDICE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[a  aaInformación]__cceficien_2"/>
      <sheetName val="HER"/>
      <sheetName val="MAT"/>
      <sheetName val="PER"/>
      <sheetName val="TRANS"/>
      <sheetName val="M.O."/>
      <sheetName val="precios-básicos2002"/>
      <sheetName val="ITEMS"/>
      <sheetName val="[a  aaInformación]__cceficien_3"/>
      <sheetName val="[a  aaInformación]__cceficien_4"/>
      <sheetName val="[a  aaInformación]//cceficiente"/>
      <sheetName val="\\Pc2\amv1-real\MANTENIMIENTO R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_MANTENIMIENTO RUTA 1001_MARZO "/>
      <sheetName val="_I_MANTENIMIENTO RUTA 1001_MARZ"/>
      <sheetName val="AIU"/>
      <sheetName val="[a  aaInformación]__192_168_0_2"/>
      <sheetName val="PRESUP"/>
      <sheetName val="Emboquillar"/>
      <sheetName val="Acometidacobrerígido"/>
      <sheetName val="Acometidatoma"/>
      <sheetName val="Acometidahasta1&quot;"/>
      <sheetName val="46W9"/>
      <sheetName val="Presentacion"/>
      <sheetName val="[a  aaInformación]__cceficie_11"/>
      <sheetName val="[a  aaInformación]__cceficie_10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2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[a  aaInformación]__192_168__16"/>
      <sheetName val="[a  aaInformación]__192_168__15"/>
      <sheetName val="[a  aaInformación]__192_168__17"/>
      <sheetName val="[a  aaInformación]__192_168__18"/>
      <sheetName val="__SERVIDOR_Public2_MANTENIMIENT"/>
      <sheetName val="_I_I_MANTENIMIENTO RUTA 1001_MA"/>
      <sheetName val="PRECIOS"/>
      <sheetName val="[a  aaInformación]__cceficie_41"/>
      <sheetName val="[a  aaInformación]__cceficie_85"/>
      <sheetName val="//cceficiente_sharepoint_com/MA"/>
      <sheetName val="[a  aaInformación]__cceficie_47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62"/>
      <sheetName val="[a  aaInformación]__cceficie_61"/>
      <sheetName val="[a  aaInformación]__cceficie_52"/>
      <sheetName val="[a  aaInformación]__cceficie_58"/>
      <sheetName val="[a  aaInformación]__cceficie_53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76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[a  aaInformación]__cceficie_86"/>
      <sheetName val="[a  aaInformación]__cceficie_88"/>
      <sheetName val="[a  aaInformación]__cceficie_87"/>
      <sheetName val="\Users\LENOVO\Downloads\Users\A"/>
      <sheetName val="[a  aaInformación]__cceficie_89"/>
      <sheetName val="[a  aaInformación]__cceficie_90"/>
      <sheetName val="[a  aaInformación]__cceficie_91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MANTENIMIENTO_RUTA_1001_MARZO_"/>
      <sheetName val="ANEXO_IX"/>
      <sheetName val="\I\MANTENIMIENTO_RUTA_1001_MARZ"/>
      <sheetName val="\F\MANTENIMIENTO_RUTA_1001_MARZ"/>
      <sheetName val="AJIZAL 3335"/>
      <sheetName val="SABANETA 3335"/>
      <sheetName val="Datos Generales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Res-Accide-10"/>
      <sheetName val="Base 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t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blación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yC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1">
          <cell r="A1" t="str">
            <v>Puente</v>
          </cell>
          <cell r="B1" t="str">
            <v>Ruta</v>
          </cell>
          <cell r="C1" t="str">
            <v>Documento</v>
          </cell>
        </row>
        <row r="2">
          <cell r="A2" t="str">
            <v>PUENTE No. 1 (López)</v>
          </cell>
          <cell r="B2" t="str">
            <v>RUTA NACIONAL 55 - KM 32+0865 - NORTE DE SANTANDER</v>
          </cell>
          <cell r="C2" t="str">
            <v>Doc: 2637-01-CO-MC-001</v>
          </cell>
        </row>
        <row r="3">
          <cell r="A3" t="str">
            <v xml:space="preserve">PUENTE No. 2 (El Tarra) </v>
          </cell>
          <cell r="B3" t="str">
            <v>RUTA NACIONAL 70 - KM 51+0950 - NORTE DE SANTANDER</v>
          </cell>
          <cell r="C3" t="str">
            <v>Doc: 2637-02-CO-MC-001</v>
          </cell>
        </row>
        <row r="4">
          <cell r="A4" t="str">
            <v xml:space="preserve">PUENTE No. 3 (N.N.) </v>
          </cell>
          <cell r="B4" t="str">
            <v>RUTA NACIONAL 70 - KM 93+0150 - NORTE DE SANTANDER</v>
          </cell>
          <cell r="C4" t="str">
            <v>Doc: 2637-03-CO-MC-001</v>
          </cell>
        </row>
        <row r="5">
          <cell r="A5" t="str">
            <v xml:space="preserve">PUENTE No. 4 (La Nevera) </v>
          </cell>
          <cell r="B5" t="str">
            <v>RUTA NACIONAL 70 - KM 96+0522 - NORTE DE SANTANDER</v>
          </cell>
          <cell r="C5" t="str">
            <v>Doc: 2637-04-CO-MC-001</v>
          </cell>
        </row>
        <row r="6">
          <cell r="A6" t="str">
            <v xml:space="preserve">PUENTE No. 5 (N.N.) </v>
          </cell>
          <cell r="B6" t="str">
            <v>RUTA NACIONAL 70 - KM 97+0790 - NORTE DE SANTANDER</v>
          </cell>
          <cell r="C6" t="str">
            <v>Doc: 2637-05-CO-MC-001</v>
          </cell>
        </row>
        <row r="7">
          <cell r="A7" t="str">
            <v xml:space="preserve">PUENTE No. 6 (El Dieciocho) </v>
          </cell>
          <cell r="B7" t="str">
            <v>RUTA NACIONAL 62 - KM 48+0800 - SANTANDER</v>
          </cell>
          <cell r="C7" t="str">
            <v>Doc: 2637-06-CO-MC-001</v>
          </cell>
        </row>
        <row r="8">
          <cell r="A8" t="str">
            <v xml:space="preserve">PUENTE No. 7 (Guachaca) </v>
          </cell>
          <cell r="B8" t="str">
            <v>RUTA NACIONAL 90 - KM 41+0000 - MAGDALENA</v>
          </cell>
          <cell r="C8" t="str">
            <v>Doc: 2637-07-CO-MC-001</v>
          </cell>
        </row>
        <row r="9">
          <cell r="A9" t="str">
            <v xml:space="preserve">PUENTE No. 8 (Santa Martica)  </v>
          </cell>
          <cell r="B9" t="str">
            <v>RUTA NACIONAL 27-01 - KM 30+0700 - MAGDALENA</v>
          </cell>
          <cell r="C9" t="str">
            <v>Doc: 2637-08-CO-MC-001</v>
          </cell>
        </row>
        <row r="10">
          <cell r="A10" t="str">
            <v>PUENTE No. 9 (Cerro de San Antonio)</v>
          </cell>
          <cell r="B10" t="str">
            <v>KM 82+0250 - MAGDALENA</v>
          </cell>
          <cell r="C10" t="str">
            <v>Doc: 2637-09-CO-MC-001</v>
          </cell>
        </row>
        <row r="12">
          <cell r="A12" t="str">
            <v>CAPÍTULOS</v>
          </cell>
        </row>
        <row r="13">
          <cell r="A13" t="str">
            <v>I</v>
          </cell>
          <cell r="B13" t="str">
            <v>ASPECTOS GENERALES</v>
          </cell>
          <cell r="C13" t="str">
            <v>B0</v>
          </cell>
        </row>
        <row r="14">
          <cell r="A14" t="str">
            <v>II</v>
          </cell>
          <cell r="B14" t="str">
            <v>EXPLANACIONES</v>
          </cell>
          <cell r="C14" t="str">
            <v>B1</v>
          </cell>
        </row>
        <row r="15">
          <cell r="A15" t="str">
            <v>III</v>
          </cell>
          <cell r="B15" t="str">
            <v>AFIRMADOS, SUBBASES Y BASES</v>
          </cell>
          <cell r="C15" t="str">
            <v>B2</v>
          </cell>
        </row>
        <row r="16">
          <cell r="A16" t="str">
            <v>IV</v>
          </cell>
          <cell r="B16" t="str">
            <v>PAVIMENTOS ASFÁLTICOS</v>
          </cell>
          <cell r="C16" t="str">
            <v>B3</v>
          </cell>
        </row>
        <row r="17">
          <cell r="A17" t="str">
            <v>V</v>
          </cell>
          <cell r="B17" t="str">
            <v>PAVIMENTOS DE CONCRETO</v>
          </cell>
          <cell r="C17" t="str">
            <v>B4</v>
          </cell>
        </row>
        <row r="18">
          <cell r="A18" t="str">
            <v>VI</v>
          </cell>
          <cell r="B18" t="str">
            <v>ESTRUCTURAS Y DRENAJES</v>
          </cell>
          <cell r="C18" t="str">
            <v>B5</v>
          </cell>
        </row>
        <row r="19">
          <cell r="A19" t="str">
            <v>VII</v>
          </cell>
          <cell r="B19" t="str">
            <v>SEÑALIZACIÓN Y SEGURIDAD</v>
          </cell>
        </row>
        <row r="20">
          <cell r="A20" t="str">
            <v>VIII</v>
          </cell>
          <cell r="B20" t="str">
            <v>OBRAS VARIAS</v>
          </cell>
        </row>
        <row r="21">
          <cell r="A21" t="str">
            <v>IX</v>
          </cell>
          <cell r="B21" t="str">
            <v>TRANSPORTE</v>
          </cell>
        </row>
        <row r="35">
          <cell r="A35" t="str">
            <v>II</v>
          </cell>
        </row>
        <row r="36">
          <cell r="A36">
            <v>200</v>
          </cell>
          <cell r="B36" t="str">
            <v>Desmonte y limpieza</v>
          </cell>
          <cell r="C36" t="str">
            <v>200 - 07</v>
          </cell>
          <cell r="D36" t="str">
            <v>Ha</v>
          </cell>
        </row>
        <row r="37">
          <cell r="A37" t="str">
            <v>_201</v>
          </cell>
          <cell r="B37" t="str">
            <v>Demolición y remoción</v>
          </cell>
          <cell r="C37" t="str">
            <v>201 - 07</v>
          </cell>
          <cell r="D37" t="str">
            <v>M3</v>
          </cell>
        </row>
        <row r="38">
          <cell r="A38">
            <v>210</v>
          </cell>
          <cell r="B38" t="str">
            <v>Excavación de la explanación, canales y préstamos</v>
          </cell>
          <cell r="C38" t="str">
            <v>210 - 07</v>
          </cell>
          <cell r="D38" t="str">
            <v>M3</v>
          </cell>
        </row>
        <row r="39">
          <cell r="A39">
            <v>211</v>
          </cell>
          <cell r="B39" t="str">
            <v>Remoción de derrumbes</v>
          </cell>
          <cell r="C39" t="str">
            <v>211 - 07</v>
          </cell>
          <cell r="D39" t="str">
            <v>M3</v>
          </cell>
        </row>
        <row r="40">
          <cell r="A40">
            <v>220</v>
          </cell>
          <cell r="B40" t="str">
            <v>Terraplenes</v>
          </cell>
          <cell r="C40" t="str">
            <v>220 - 07</v>
          </cell>
          <cell r="D40" t="str">
            <v>M3</v>
          </cell>
        </row>
        <row r="41">
          <cell r="A41">
            <v>221</v>
          </cell>
          <cell r="B41" t="str">
            <v>Pedraplenes</v>
          </cell>
          <cell r="C41" t="str">
            <v>221 - 07</v>
          </cell>
          <cell r="D41" t="str">
            <v>M3</v>
          </cell>
        </row>
        <row r="42">
          <cell r="A42">
            <v>230</v>
          </cell>
          <cell r="B42" t="str">
            <v>Mejoramiento de la subrasante</v>
          </cell>
          <cell r="C42" t="str">
            <v>230 - 07</v>
          </cell>
          <cell r="D42" t="str">
            <v>M3</v>
          </cell>
        </row>
        <row r="43">
          <cell r="A43">
            <v>231</v>
          </cell>
          <cell r="B43" t="str">
            <v>Separación de suelos de subrasante y capas granulares con geotextiles</v>
          </cell>
          <cell r="C43" t="str">
            <v>231 - 07</v>
          </cell>
          <cell r="D43" t="str">
            <v>M2</v>
          </cell>
        </row>
        <row r="44">
          <cell r="A44">
            <v>232</v>
          </cell>
          <cell r="B44" t="str">
            <v>Estabilización de suelos de subrasante y capas granulares con geotextiles</v>
          </cell>
          <cell r="C44" t="str">
            <v>232 - 07</v>
          </cell>
          <cell r="D44" t="str">
            <v>M2</v>
          </cell>
        </row>
        <row r="45">
          <cell r="A45">
            <v>234</v>
          </cell>
          <cell r="B45" t="str">
            <v>Afinamiento de taludes</v>
          </cell>
          <cell r="C45" t="str">
            <v>234 - 07</v>
          </cell>
          <cell r="D45" t="str">
            <v>M2</v>
          </cell>
        </row>
        <row r="46">
          <cell r="A46" t="str">
            <v>III</v>
          </cell>
        </row>
        <row r="47">
          <cell r="A47">
            <v>300</v>
          </cell>
          <cell r="B47" t="str">
            <v>Disposiciones generales para la ejecución de afirmados, subbases granulares y bases granulares y estabilizadas</v>
          </cell>
          <cell r="C47" t="str">
            <v>300 - 07</v>
          </cell>
          <cell r="D47" t="str">
            <v>M3</v>
          </cell>
        </row>
        <row r="48">
          <cell r="A48">
            <v>310</v>
          </cell>
          <cell r="B48" t="str">
            <v>Conformación de la calzada existente</v>
          </cell>
          <cell r="C48">
            <v>310</v>
          </cell>
          <cell r="D48" t="str">
            <v>M2</v>
          </cell>
        </row>
        <row r="49">
          <cell r="A49">
            <v>311</v>
          </cell>
          <cell r="B49" t="str">
            <v>Afirmado</v>
          </cell>
          <cell r="C49" t="str">
            <v>311 - 07</v>
          </cell>
          <cell r="D49" t="str">
            <v>M3</v>
          </cell>
        </row>
        <row r="50">
          <cell r="A50">
            <v>312</v>
          </cell>
          <cell r="B50" t="str">
            <v>Tratamiento paliativo del polvo en afirmados</v>
          </cell>
          <cell r="C50">
            <v>312</v>
          </cell>
          <cell r="D50" t="str">
            <v>M3</v>
          </cell>
        </row>
        <row r="51">
          <cell r="A51">
            <v>320</v>
          </cell>
          <cell r="B51" t="str">
            <v>Subbase granular</v>
          </cell>
          <cell r="C51">
            <v>320</v>
          </cell>
          <cell r="D51" t="str">
            <v>M3</v>
          </cell>
        </row>
        <row r="52">
          <cell r="A52">
            <v>330</v>
          </cell>
          <cell r="B52" t="str">
            <v>Base granular</v>
          </cell>
          <cell r="C52">
            <v>330</v>
          </cell>
          <cell r="D52" t="str">
            <v>M3</v>
          </cell>
        </row>
        <row r="53">
          <cell r="A53">
            <v>340</v>
          </cell>
          <cell r="B53" t="str">
            <v>Base estabilizada con emulsión asfáltica</v>
          </cell>
          <cell r="C53">
            <v>340</v>
          </cell>
          <cell r="D53" t="str">
            <v>M3</v>
          </cell>
        </row>
        <row r="54">
          <cell r="A54">
            <v>341</v>
          </cell>
          <cell r="B54" t="str">
            <v>Base estabilizada con cemento</v>
          </cell>
          <cell r="C54" t="str">
            <v>341 - 07</v>
          </cell>
          <cell r="D54" t="str">
            <v>M3</v>
          </cell>
        </row>
        <row r="55">
          <cell r="A55">
            <v>342</v>
          </cell>
          <cell r="B55" t="str">
            <v>Base de concreto hidráulico</v>
          </cell>
          <cell r="C55" t="str">
            <v>342 - 07</v>
          </cell>
          <cell r="D55" t="str">
            <v>M3</v>
          </cell>
        </row>
        <row r="56">
          <cell r="A56" t="str">
            <v>IV</v>
          </cell>
        </row>
        <row r="57">
          <cell r="A57">
            <v>400</v>
          </cell>
          <cell r="B57" t="str">
            <v>Disposiciones generales para la ejecución de riegos de imprimación, liga y curado, tratamientos superficiales, sellos de arena asfalto, lechadas asfálticas, mezclas en frío y en caliente y reciclado de pavimentos asfálticos</v>
          </cell>
          <cell r="C57">
            <v>400</v>
          </cell>
          <cell r="D57" t="str">
            <v>N/A</v>
          </cell>
        </row>
        <row r="58">
          <cell r="A58">
            <v>410</v>
          </cell>
          <cell r="B58" t="str">
            <v>Suministro de cemento asfáltico</v>
          </cell>
          <cell r="C58">
            <v>410</v>
          </cell>
          <cell r="D58" t="str">
            <v>Kg</v>
          </cell>
        </row>
        <row r="59">
          <cell r="A59">
            <v>411</v>
          </cell>
          <cell r="B59" t="str">
            <v>Suministro de emulsión asfáltica</v>
          </cell>
          <cell r="C59" t="str">
            <v>411 - 07</v>
          </cell>
          <cell r="D59" t="str">
            <v>Lt</v>
          </cell>
        </row>
        <row r="60">
          <cell r="A60">
            <v>412</v>
          </cell>
          <cell r="B60" t="str">
            <v>Suministro de aditivo mejorador de adherencia</v>
          </cell>
          <cell r="C60" t="str">
            <v>412 - 07</v>
          </cell>
          <cell r="D60" t="str">
            <v>N/A</v>
          </cell>
        </row>
        <row r="61">
          <cell r="A61">
            <v>414</v>
          </cell>
          <cell r="B61" t="str">
            <v>Suministro de cemento asfáltico modificado con polímeros</v>
          </cell>
          <cell r="C61" t="str">
            <v>414 - 07</v>
          </cell>
          <cell r="D61" t="str">
            <v>Kg</v>
          </cell>
        </row>
        <row r="62">
          <cell r="A62">
            <v>415</v>
          </cell>
          <cell r="B62" t="str">
            <v>Suministro de emulsión asfáltica modificada con polímeros</v>
          </cell>
          <cell r="C62" t="str">
            <v>415 - 07</v>
          </cell>
          <cell r="D62" t="str">
            <v>Lt</v>
          </cell>
        </row>
        <row r="63">
          <cell r="A63">
            <v>416</v>
          </cell>
          <cell r="B63" t="str">
            <v>Suministro de asfalto líquido para imprimación</v>
          </cell>
          <cell r="C63" t="str">
            <v>416 - 07</v>
          </cell>
          <cell r="D63" t="str">
            <v>N/A</v>
          </cell>
        </row>
        <row r="64">
          <cell r="A64">
            <v>420</v>
          </cell>
          <cell r="B64" t="str">
            <v>Riego de imprimación</v>
          </cell>
          <cell r="C64">
            <v>420</v>
          </cell>
          <cell r="D64" t="str">
            <v>M2</v>
          </cell>
        </row>
        <row r="65">
          <cell r="A65">
            <v>421</v>
          </cell>
          <cell r="B65" t="str">
            <v>Riego de liga</v>
          </cell>
          <cell r="C65" t="str">
            <v>421 - 07</v>
          </cell>
          <cell r="D65" t="str">
            <v>M2</v>
          </cell>
        </row>
        <row r="66">
          <cell r="A66">
            <v>422</v>
          </cell>
          <cell r="B66" t="str">
            <v>Riego de curado</v>
          </cell>
          <cell r="C66" t="str">
            <v>422 - 07</v>
          </cell>
          <cell r="D66" t="str">
            <v>N/A</v>
          </cell>
        </row>
        <row r="67">
          <cell r="A67">
            <v>430</v>
          </cell>
          <cell r="B67" t="str">
            <v>Tratamiento superficial simple</v>
          </cell>
          <cell r="C67">
            <v>430</v>
          </cell>
          <cell r="D67" t="str">
            <v>M2</v>
          </cell>
        </row>
        <row r="68">
          <cell r="A68">
            <v>431</v>
          </cell>
          <cell r="B68" t="str">
            <v>Tratamiento superficial doble</v>
          </cell>
          <cell r="C68" t="str">
            <v>431 - 07</v>
          </cell>
          <cell r="D68" t="str">
            <v>M2</v>
          </cell>
        </row>
        <row r="69">
          <cell r="A69">
            <v>432</v>
          </cell>
          <cell r="B69" t="str">
            <v>Sello de arena-asfalto</v>
          </cell>
          <cell r="C69" t="str">
            <v>432 - 07</v>
          </cell>
          <cell r="D69" t="str">
            <v>M2</v>
          </cell>
        </row>
        <row r="70">
          <cell r="A70">
            <v>433</v>
          </cell>
          <cell r="B70" t="str">
            <v>Lechada asfáltica</v>
          </cell>
          <cell r="C70" t="str">
            <v>433 - 07</v>
          </cell>
          <cell r="D70" t="str">
            <v>M2</v>
          </cell>
        </row>
        <row r="71">
          <cell r="A71">
            <v>440</v>
          </cell>
          <cell r="B71" t="str">
            <v>Mezcla densa en frío</v>
          </cell>
          <cell r="C71">
            <v>440</v>
          </cell>
          <cell r="D71" t="str">
            <v>M3</v>
          </cell>
        </row>
        <row r="72">
          <cell r="A72">
            <v>441</v>
          </cell>
          <cell r="B72" t="str">
            <v>Mezcla abierta en frío</v>
          </cell>
          <cell r="C72">
            <v>441</v>
          </cell>
          <cell r="D72" t="str">
            <v>M3</v>
          </cell>
        </row>
        <row r="73">
          <cell r="A73">
            <v>450</v>
          </cell>
          <cell r="B73" t="str">
            <v>Mezclas asfálticas en caliente (Concreto asfáltico y Mezcla de alto módulo)</v>
          </cell>
          <cell r="C73">
            <v>450</v>
          </cell>
          <cell r="D73" t="str">
            <v>M3</v>
          </cell>
        </row>
        <row r="74">
          <cell r="A74">
            <v>451</v>
          </cell>
          <cell r="B74" t="str">
            <v xml:space="preserve"> Mezcla abierta en caliente </v>
          </cell>
          <cell r="C74">
            <v>451</v>
          </cell>
          <cell r="D74" t="str">
            <v>M3</v>
          </cell>
        </row>
        <row r="75">
          <cell r="A75">
            <v>452</v>
          </cell>
          <cell r="B75" t="str">
            <v>Mezcla discontinua en caliente para capa de rodadura</v>
          </cell>
          <cell r="C75">
            <v>452</v>
          </cell>
          <cell r="D75" t="str">
            <v>M3</v>
          </cell>
        </row>
        <row r="76">
          <cell r="A76">
            <v>453</v>
          </cell>
          <cell r="B76" t="str">
            <v xml:space="preserve"> Mezcla drenante</v>
          </cell>
          <cell r="C76">
            <v>453</v>
          </cell>
          <cell r="D76" t="str">
            <v>M3</v>
          </cell>
        </row>
        <row r="77">
          <cell r="A77">
            <v>460</v>
          </cell>
          <cell r="B77" t="str">
            <v xml:space="preserve"> Fresado de pavimento asfáltico </v>
          </cell>
          <cell r="C77">
            <v>460</v>
          </cell>
          <cell r="D77" t="str">
            <v>M2</v>
          </cell>
        </row>
        <row r="78">
          <cell r="A78">
            <v>461</v>
          </cell>
          <cell r="B78" t="str">
            <v>Reciclado de pavimento asfáltico en frío en el lugar empleando ligantes bituminosos</v>
          </cell>
          <cell r="C78">
            <v>461</v>
          </cell>
          <cell r="D78" t="str">
            <v>M3</v>
          </cell>
        </row>
        <row r="79">
          <cell r="A79">
            <v>462</v>
          </cell>
          <cell r="B79" t="str">
            <v xml:space="preserve">Reciclado de pavimento asfáltico en planta y en caliente </v>
          </cell>
          <cell r="C79">
            <v>462</v>
          </cell>
          <cell r="D79" t="str">
            <v>M3</v>
          </cell>
        </row>
        <row r="80">
          <cell r="A80">
            <v>464</v>
          </cell>
          <cell r="B80" t="str">
            <v xml:space="preserve">Rehabilitación de pavimentos asfálticos con geotextiles </v>
          </cell>
          <cell r="C80">
            <v>464</v>
          </cell>
          <cell r="D80" t="str">
            <v>M2</v>
          </cell>
        </row>
        <row r="81">
          <cell r="A81">
            <v>465</v>
          </cell>
          <cell r="B81" t="str">
            <v xml:space="preserve">Excavación para reparación del pavimento existente </v>
          </cell>
          <cell r="C81">
            <v>465</v>
          </cell>
          <cell r="D81" t="str">
            <v>M3</v>
          </cell>
        </row>
        <row r="82">
          <cell r="A82">
            <v>466</v>
          </cell>
          <cell r="B82" t="str">
            <v>Sello de grietas en pavimentos asfálticos</v>
          </cell>
          <cell r="C82">
            <v>466</v>
          </cell>
          <cell r="D82" t="str">
            <v>Ml</v>
          </cell>
        </row>
        <row r="83">
          <cell r="A83" t="str">
            <v>V</v>
          </cell>
        </row>
        <row r="84">
          <cell r="A84">
            <v>500</v>
          </cell>
          <cell r="B84" t="str">
            <v xml:space="preserve">Pavimento de concreto hidráulico </v>
          </cell>
          <cell r="C84">
            <v>500</v>
          </cell>
          <cell r="D84" t="str">
            <v>M3</v>
          </cell>
        </row>
        <row r="85">
          <cell r="A85">
            <v>501</v>
          </cell>
          <cell r="B85" t="str">
            <v>Suministro de cemento Portland normal</v>
          </cell>
          <cell r="C85">
            <v>501</v>
          </cell>
          <cell r="D85" t="str">
            <v>Kg</v>
          </cell>
        </row>
        <row r="86">
          <cell r="A86">
            <v>510</v>
          </cell>
          <cell r="B86" t="str">
            <v>Pavimento de adoquines de concreto</v>
          </cell>
          <cell r="C86">
            <v>510</v>
          </cell>
          <cell r="D86" t="str">
            <v>M2</v>
          </cell>
        </row>
        <row r="87">
          <cell r="A87" t="str">
            <v>VI</v>
          </cell>
        </row>
        <row r="88">
          <cell r="A88">
            <v>600</v>
          </cell>
          <cell r="B88" t="str">
            <v>Excavaciones varias</v>
          </cell>
          <cell r="C88">
            <v>600</v>
          </cell>
          <cell r="D88" t="str">
            <v>M3</v>
          </cell>
        </row>
        <row r="89">
          <cell r="A89">
            <v>610</v>
          </cell>
          <cell r="B89" t="str">
            <v>Rellenos para estructuras</v>
          </cell>
          <cell r="C89">
            <v>610</v>
          </cell>
          <cell r="D89" t="str">
            <v>M3</v>
          </cell>
        </row>
        <row r="90">
          <cell r="A90">
            <v>620</v>
          </cell>
          <cell r="B90" t="str">
            <v>Pilotes prefabricados de concreto</v>
          </cell>
          <cell r="C90">
            <v>620</v>
          </cell>
          <cell r="D90" t="str">
            <v>Ml</v>
          </cell>
        </row>
        <row r="91">
          <cell r="A91">
            <v>621</v>
          </cell>
          <cell r="B91" t="str">
            <v xml:space="preserve">Pilotes preexcavados </v>
          </cell>
          <cell r="C91">
            <v>621</v>
          </cell>
          <cell r="D91" t="str">
            <v>Ml</v>
          </cell>
        </row>
        <row r="92">
          <cell r="A92">
            <v>622</v>
          </cell>
          <cell r="B92" t="str">
            <v xml:space="preserve">Tablestacados </v>
          </cell>
          <cell r="C92">
            <v>622</v>
          </cell>
          <cell r="D92" t="str">
            <v>M2</v>
          </cell>
        </row>
        <row r="93">
          <cell r="A93">
            <v>623</v>
          </cell>
          <cell r="B93" t="str">
            <v>Anclajes</v>
          </cell>
          <cell r="C93">
            <v>623</v>
          </cell>
          <cell r="D93" t="str">
            <v>Ml</v>
          </cell>
        </row>
        <row r="94">
          <cell r="A94">
            <v>630</v>
          </cell>
          <cell r="B94" t="str">
            <v xml:space="preserve">Concreto estructural </v>
          </cell>
          <cell r="C94">
            <v>630</v>
          </cell>
          <cell r="D94" t="str">
            <v>M3</v>
          </cell>
        </row>
        <row r="95">
          <cell r="A95">
            <v>631</v>
          </cell>
          <cell r="B95" t="str">
            <v xml:space="preserve">Lechada para ductos de concreto preesforzado </v>
          </cell>
          <cell r="C95">
            <v>631</v>
          </cell>
          <cell r="D95" t="str">
            <v>N/A</v>
          </cell>
        </row>
        <row r="96">
          <cell r="A96">
            <v>632</v>
          </cell>
          <cell r="B96" t="str">
            <v>Barandas de concreto</v>
          </cell>
          <cell r="C96">
            <v>632</v>
          </cell>
          <cell r="D96" t="str">
            <v>Ml</v>
          </cell>
        </row>
        <row r="97">
          <cell r="A97">
            <v>640</v>
          </cell>
          <cell r="B97" t="str">
            <v xml:space="preserve">Acero de refuerzo </v>
          </cell>
          <cell r="C97">
            <v>640</v>
          </cell>
          <cell r="D97" t="str">
            <v>Kg</v>
          </cell>
        </row>
        <row r="98">
          <cell r="A98">
            <v>641</v>
          </cell>
          <cell r="B98" t="str">
            <v xml:space="preserve">Acero de preesfuerzo </v>
          </cell>
          <cell r="C98">
            <v>641</v>
          </cell>
          <cell r="D98" t="str">
            <v>Kg</v>
          </cell>
        </row>
        <row r="99">
          <cell r="A99">
            <v>642</v>
          </cell>
          <cell r="B99" t="str">
            <v>Apoyos y sellos para juntas de puentes</v>
          </cell>
          <cell r="C99">
            <v>642</v>
          </cell>
          <cell r="D99" t="str">
            <v>Und</v>
          </cell>
        </row>
        <row r="100">
          <cell r="A100">
            <v>650</v>
          </cell>
          <cell r="B100" t="str">
            <v>Estructuras de acero</v>
          </cell>
          <cell r="C100">
            <v>650</v>
          </cell>
          <cell r="D100" t="str">
            <v>Kg</v>
          </cell>
        </row>
        <row r="101">
          <cell r="A101">
            <v>660</v>
          </cell>
          <cell r="B101" t="str">
            <v xml:space="preserve">Tubería de concreto simple </v>
          </cell>
          <cell r="C101">
            <v>660</v>
          </cell>
          <cell r="D101" t="str">
            <v>Ml</v>
          </cell>
        </row>
        <row r="102">
          <cell r="A102">
            <v>661</v>
          </cell>
          <cell r="B102" t="str">
            <v xml:space="preserve"> Tubería de concreto reforzado </v>
          </cell>
          <cell r="C102">
            <v>661</v>
          </cell>
          <cell r="D102" t="str">
            <v>Ml</v>
          </cell>
        </row>
        <row r="103">
          <cell r="A103">
            <v>662</v>
          </cell>
          <cell r="B103" t="str">
            <v>Tubería metálica corrugada</v>
          </cell>
          <cell r="C103">
            <v>662</v>
          </cell>
          <cell r="D103" t="str">
            <v>Ml</v>
          </cell>
        </row>
        <row r="104">
          <cell r="A104">
            <v>670</v>
          </cell>
          <cell r="B104" t="str">
            <v xml:space="preserve">Disipadores de energía y sedimentadores </v>
          </cell>
          <cell r="C104">
            <v>670</v>
          </cell>
          <cell r="D104" t="str">
            <v>M3</v>
          </cell>
        </row>
        <row r="105">
          <cell r="A105">
            <v>671</v>
          </cell>
          <cell r="B105" t="str">
            <v xml:space="preserve">Cunetas revestidas en concreto </v>
          </cell>
          <cell r="C105">
            <v>671</v>
          </cell>
          <cell r="D105" t="str">
            <v>M3</v>
          </cell>
        </row>
        <row r="106">
          <cell r="A106">
            <v>672</v>
          </cell>
          <cell r="B106" t="str">
            <v xml:space="preserve">Bordillos de concreto </v>
          </cell>
          <cell r="C106">
            <v>672</v>
          </cell>
          <cell r="D106" t="str">
            <v>Ml</v>
          </cell>
        </row>
        <row r="107">
          <cell r="A107">
            <v>673</v>
          </cell>
          <cell r="B107" t="str">
            <v xml:space="preserve">Subdrenes con geotextil y material granular </v>
          </cell>
          <cell r="C107">
            <v>673</v>
          </cell>
          <cell r="D107" t="str">
            <v>M3</v>
          </cell>
        </row>
        <row r="108">
          <cell r="A108">
            <v>674</v>
          </cell>
          <cell r="B108" t="str">
            <v>Drenes horizontales en taludes</v>
          </cell>
          <cell r="C108">
            <v>674</v>
          </cell>
          <cell r="D108" t="str">
            <v>Ml</v>
          </cell>
        </row>
        <row r="109">
          <cell r="A109">
            <v>680</v>
          </cell>
          <cell r="B109" t="str">
            <v>Tierra armada</v>
          </cell>
          <cell r="C109">
            <v>680</v>
          </cell>
          <cell r="D109" t="str">
            <v>M3</v>
          </cell>
        </row>
        <row r="110">
          <cell r="A110">
            <v>681</v>
          </cell>
          <cell r="B110" t="str">
            <v xml:space="preserve">Gaviones </v>
          </cell>
          <cell r="C110">
            <v>681</v>
          </cell>
          <cell r="D110" t="str">
            <v>M3</v>
          </cell>
        </row>
        <row r="111">
          <cell r="A111">
            <v>682</v>
          </cell>
          <cell r="B111" t="str">
            <v>Colchogaviones</v>
          </cell>
          <cell r="C111">
            <v>682</v>
          </cell>
          <cell r="D111" t="str">
            <v>M3</v>
          </cell>
        </row>
        <row r="112">
          <cell r="A112">
            <v>690</v>
          </cell>
          <cell r="B112" t="str">
            <v>Impermeabilización de estructuras</v>
          </cell>
          <cell r="C112">
            <v>690</v>
          </cell>
          <cell r="D112" t="str">
            <v>M2</v>
          </cell>
        </row>
        <row r="113">
          <cell r="A113" t="str">
            <v>VII</v>
          </cell>
        </row>
        <row r="114">
          <cell r="A114">
            <v>700</v>
          </cell>
          <cell r="B114" t="str">
            <v>Líneas de demarcación y marcas viales</v>
          </cell>
          <cell r="C114">
            <v>700</v>
          </cell>
          <cell r="D114" t="str">
            <v>Ml</v>
          </cell>
        </row>
        <row r="115">
          <cell r="A115">
            <v>701</v>
          </cell>
          <cell r="B115" t="str">
            <v>Tachas reflectivas</v>
          </cell>
          <cell r="C115">
            <v>701</v>
          </cell>
          <cell r="D115" t="str">
            <v>Und</v>
          </cell>
        </row>
        <row r="116">
          <cell r="A116">
            <v>710</v>
          </cell>
          <cell r="B116" t="str">
            <v>Señales verticales de tránsito</v>
          </cell>
          <cell r="C116">
            <v>710</v>
          </cell>
          <cell r="D116" t="str">
            <v>Und</v>
          </cell>
        </row>
        <row r="117">
          <cell r="A117">
            <v>720</v>
          </cell>
          <cell r="B117" t="str">
            <v>Postes de referencia</v>
          </cell>
          <cell r="C117">
            <v>720</v>
          </cell>
          <cell r="D117" t="str">
            <v>Und</v>
          </cell>
        </row>
        <row r="118">
          <cell r="A118">
            <v>730</v>
          </cell>
          <cell r="B118" t="str">
            <v xml:space="preserve">Defensas metálicas </v>
          </cell>
          <cell r="C118">
            <v>730</v>
          </cell>
          <cell r="D118" t="str">
            <v>Ml</v>
          </cell>
        </row>
        <row r="119">
          <cell r="A119">
            <v>731</v>
          </cell>
          <cell r="B119" t="str">
            <v>Defensas de concreto</v>
          </cell>
          <cell r="C119">
            <v>731</v>
          </cell>
          <cell r="D119" t="str">
            <v>Ml</v>
          </cell>
        </row>
        <row r="120">
          <cell r="A120">
            <v>740</v>
          </cell>
          <cell r="B120" t="str">
            <v xml:space="preserve">Captafaros </v>
          </cell>
          <cell r="C120">
            <v>740</v>
          </cell>
          <cell r="D120" t="str">
            <v>Und</v>
          </cell>
        </row>
        <row r="121">
          <cell r="A121">
            <v>741</v>
          </cell>
          <cell r="B121" t="str">
            <v>Delineadores de corona</v>
          </cell>
          <cell r="C121">
            <v>741</v>
          </cell>
          <cell r="D121" t="str">
            <v>Und</v>
          </cell>
        </row>
        <row r="122">
          <cell r="A122" t="str">
            <v>VIII</v>
          </cell>
        </row>
        <row r="123">
          <cell r="A123">
            <v>800</v>
          </cell>
          <cell r="B123" t="str">
            <v xml:space="preserve">Cercas de alambre </v>
          </cell>
          <cell r="C123">
            <v>800</v>
          </cell>
          <cell r="D123" t="str">
            <v>Ml</v>
          </cell>
        </row>
        <row r="124">
          <cell r="A124">
            <v>801</v>
          </cell>
          <cell r="B124" t="str">
            <v>Mantenimiento rutinario de vías</v>
          </cell>
          <cell r="C124">
            <v>801</v>
          </cell>
          <cell r="D124" t="str">
            <v>Ml</v>
          </cell>
        </row>
        <row r="125">
          <cell r="A125">
            <v>810</v>
          </cell>
          <cell r="B125" t="str">
            <v xml:space="preserve"> Protección vegetal de taludes</v>
          </cell>
          <cell r="C125">
            <v>810</v>
          </cell>
          <cell r="D125" t="str">
            <v>M2</v>
          </cell>
        </row>
        <row r="126">
          <cell r="A126">
            <v>811</v>
          </cell>
          <cell r="B126" t="str">
            <v xml:space="preserve"> Productos enrollados para control de erosión </v>
          </cell>
          <cell r="C126">
            <v>811</v>
          </cell>
          <cell r="D126" t="str">
            <v>M2</v>
          </cell>
        </row>
        <row r="127">
          <cell r="A127">
            <v>812</v>
          </cell>
          <cell r="B127" t="str">
            <v>Recubrimiento de taludes con malla y mortero</v>
          </cell>
          <cell r="C127">
            <v>812</v>
          </cell>
          <cell r="D127" t="str">
            <v>M2</v>
          </cell>
        </row>
        <row r="128">
          <cell r="A128" t="str">
            <v>IX</v>
          </cell>
        </row>
        <row r="129">
          <cell r="A129">
            <v>900</v>
          </cell>
          <cell r="B129" t="str">
            <v>Transporte de materiales provenientes de excavaciones y derrumbes</v>
          </cell>
          <cell r="C129">
            <v>900</v>
          </cell>
          <cell r="D129" t="str">
            <v>M3 - km</v>
          </cell>
        </row>
      </sheetData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il work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BASES"/>
      <sheetName val="items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e.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is"/>
      <sheetName val="Tablas"/>
      <sheetName val="Nomin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Datos"/>
    </sheetNames>
    <sheetDataSet>
      <sheetData sheetId="0" refreshError="1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Sheet1"/>
      <sheetName val="UNITARIOS GENERALES"/>
      <sheetName val="BASES"/>
      <sheetName val="MC SF GAVIONES"/>
      <sheetName val="PESOS"/>
      <sheetName val="civ_roma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Presupuesto"/>
      <sheetName val="List.Mat"/>
      <sheetName val="List.Equi"/>
      <sheetName val="List.M.Obra"/>
      <sheetName val="Unit"/>
      <sheetName val="PresuPDosPozos"/>
      <sheetName val="Summary"/>
      <sheetName val="UNITARIOS"/>
      <sheetName val="PE-02"/>
      <sheetName val="BASE"/>
      <sheetName val="PE_02"/>
      <sheetName val="DATOS GRAFICOS"/>
      <sheetName val="Estruc_ Tarif"/>
      <sheetName val="Listado"/>
      <sheetName val="BASE DATOS"/>
      <sheetName val="RECIBO FINAL"/>
      <sheetName val="Listas"/>
      <sheetName val="Desmonte y Limpieza"/>
      <sheetName val="7.12"/>
      <sheetName val="Tablas"/>
      <sheetName val="UNITARIOS GENERALES.xls"/>
      <sheetName val="letra"/>
      <sheetName val="5. MODIFICATORIA"/>
      <sheetName val="RECURSOS"/>
      <sheetName val="ANALISIS DE PRECIOS UNITARIOS"/>
      <sheetName val="CRA.MODI"/>
      <sheetName val="Anexo 13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Hoja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  <sheetName val="Modelo"/>
      <sheetName val="PU"/>
      <sheetName val="EYD 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.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_1_6&quot; (2)"/>
      <sheetName val="C_1_6&quot;"/>
      <sheetName val="INSUMOS"/>
      <sheetName val="Cuadr."/>
    </sheetNames>
    <sheetDataSet>
      <sheetData sheetId="0" refreshError="1"/>
      <sheetData sheetId="1" refreshError="1"/>
      <sheetData sheetId="2" refreshError="1"/>
      <sheetData sheetId="3" refreshError="1">
        <row r="26">
          <cell r="B26" t="str">
            <v>CUADRILLA TIPO 3</v>
          </cell>
          <cell r="L26">
            <v>168675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equeo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T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W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Presupuesto Consultoria"/>
      <sheetName val="A. Profesional "/>
      <sheetName val="B.Técnico-Tecnólogo"/>
      <sheetName val="C.Operario-Apoyo "/>
      <sheetName val="D. Equipos "/>
      <sheetName val="E. Ensayos de Laboratorio"/>
      <sheetName val="Factor Multiplicador dePersonal"/>
    </sheetNames>
    <sheetDataSet>
      <sheetData sheetId="0">
        <row r="1002">
          <cell r="Z1002">
            <v>1</v>
          </cell>
          <cell r="AA1002">
            <v>1689000</v>
          </cell>
        </row>
        <row r="1003">
          <cell r="Z1003">
            <v>2</v>
          </cell>
          <cell r="AA1003">
            <v>1700000</v>
          </cell>
        </row>
        <row r="1004">
          <cell r="Z1004">
            <v>3</v>
          </cell>
          <cell r="AA1004">
            <v>2810000</v>
          </cell>
        </row>
        <row r="1005">
          <cell r="Z1005">
            <v>4</v>
          </cell>
          <cell r="AA1005">
            <v>3429000</v>
          </cell>
        </row>
        <row r="1006">
          <cell r="Z1006">
            <v>5</v>
          </cell>
          <cell r="AA1006">
            <v>4810000</v>
          </cell>
        </row>
        <row r="1007">
          <cell r="Z1007">
            <v>6</v>
          </cell>
          <cell r="AA1007">
            <v>6225000</v>
          </cell>
        </row>
        <row r="1008">
          <cell r="Z1008">
            <v>7</v>
          </cell>
          <cell r="AA1008">
            <v>3000000</v>
          </cell>
        </row>
        <row r="1009">
          <cell r="Z1009">
            <v>8</v>
          </cell>
          <cell r="AA1009">
            <v>4134000.0000000005</v>
          </cell>
        </row>
        <row r="1010">
          <cell r="Z1010">
            <v>9</v>
          </cell>
          <cell r="AA1010">
            <v>4718000</v>
          </cell>
        </row>
        <row r="1011">
          <cell r="Z1011">
            <v>10</v>
          </cell>
          <cell r="AA1011">
            <v>5640000</v>
          </cell>
        </row>
        <row r="1012">
          <cell r="Z1012">
            <v>11</v>
          </cell>
          <cell r="AA1012">
            <v>3962000</v>
          </cell>
        </row>
        <row r="1013">
          <cell r="Z1013">
            <v>12</v>
          </cell>
          <cell r="AA1013">
            <v>4834000</v>
          </cell>
        </row>
        <row r="1014">
          <cell r="Z1014">
            <v>13</v>
          </cell>
          <cell r="AA1014">
            <v>5311000</v>
          </cell>
        </row>
        <row r="1015">
          <cell r="Z1015">
            <v>14</v>
          </cell>
          <cell r="AA1015">
            <v>6377000</v>
          </cell>
        </row>
        <row r="1016">
          <cell r="Z1016">
            <v>15</v>
          </cell>
          <cell r="AA1016">
            <v>4492000</v>
          </cell>
        </row>
        <row r="1017">
          <cell r="Z1017">
            <v>16</v>
          </cell>
          <cell r="AA1017">
            <v>5294000</v>
          </cell>
        </row>
        <row r="1018">
          <cell r="Z1018">
            <v>17</v>
          </cell>
          <cell r="AA1018">
            <v>6084000</v>
          </cell>
        </row>
        <row r="1019">
          <cell r="Z1019">
            <v>18</v>
          </cell>
          <cell r="AA1019">
            <v>7000000</v>
          </cell>
        </row>
        <row r="1020">
          <cell r="Z1020">
            <v>19</v>
          </cell>
          <cell r="AA1020">
            <v>5172000</v>
          </cell>
        </row>
        <row r="1021">
          <cell r="Z1021">
            <v>20</v>
          </cell>
          <cell r="AA1021">
            <v>6098000</v>
          </cell>
        </row>
        <row r="1022">
          <cell r="Z1022">
            <v>21</v>
          </cell>
          <cell r="AA1022">
            <v>7275000</v>
          </cell>
        </row>
        <row r="1023">
          <cell r="Z1023">
            <v>22</v>
          </cell>
          <cell r="AA1023">
            <v>8898000</v>
          </cell>
        </row>
        <row r="1024">
          <cell r="Z1024">
            <v>23</v>
          </cell>
          <cell r="AA1024">
            <v>5946000</v>
          </cell>
        </row>
        <row r="1025">
          <cell r="Z1025">
            <v>24</v>
          </cell>
          <cell r="AA1025">
            <v>7009000</v>
          </cell>
        </row>
        <row r="1026">
          <cell r="Z1026">
            <v>25</v>
          </cell>
          <cell r="AA1026">
            <v>8616000</v>
          </cell>
        </row>
        <row r="1027">
          <cell r="Z1027">
            <v>26</v>
          </cell>
          <cell r="AA1027">
            <v>9540000</v>
          </cell>
        </row>
        <row r="1028">
          <cell r="Z1028">
            <v>27</v>
          </cell>
          <cell r="AA1028">
            <v>7184000</v>
          </cell>
        </row>
        <row r="1029">
          <cell r="Z1029">
            <v>28</v>
          </cell>
          <cell r="AA1029">
            <v>9020000</v>
          </cell>
        </row>
        <row r="1030">
          <cell r="Z1030">
            <v>29</v>
          </cell>
          <cell r="AA1030">
            <v>10500000</v>
          </cell>
        </row>
        <row r="1031">
          <cell r="Z1031">
            <v>30</v>
          </cell>
          <cell r="AA1031">
            <v>11859000</v>
          </cell>
        </row>
        <row r="1032">
          <cell r="Z1032">
            <v>31</v>
          </cell>
          <cell r="AA1032">
            <v>9000000</v>
          </cell>
        </row>
        <row r="1033">
          <cell r="Z1033">
            <v>32</v>
          </cell>
          <cell r="AA1033">
            <v>10640000</v>
          </cell>
        </row>
        <row r="1034">
          <cell r="Z1034">
            <v>33</v>
          </cell>
          <cell r="AA1034">
            <v>12038000</v>
          </cell>
        </row>
        <row r="1035">
          <cell r="Z1035">
            <v>34</v>
          </cell>
          <cell r="AA1035">
            <v>13250000</v>
          </cell>
        </row>
        <row r="1036">
          <cell r="Z1036">
            <v>35</v>
          </cell>
          <cell r="AA1036">
            <v>10994000</v>
          </cell>
        </row>
        <row r="1037">
          <cell r="Z1037">
            <v>36</v>
          </cell>
          <cell r="AA1037">
            <v>12775000</v>
          </cell>
        </row>
        <row r="1038">
          <cell r="Z1038">
            <v>37</v>
          </cell>
          <cell r="AA1038">
            <v>14415000</v>
          </cell>
        </row>
        <row r="1039">
          <cell r="Z1039">
            <v>38</v>
          </cell>
          <cell r="AA1039">
            <v>15450000</v>
          </cell>
        </row>
        <row r="1043">
          <cell r="Z1043">
            <v>12</v>
          </cell>
          <cell r="AA1043">
            <v>3625000</v>
          </cell>
        </row>
        <row r="1044">
          <cell r="Z1044">
            <v>11</v>
          </cell>
          <cell r="AA1044">
            <v>3000000</v>
          </cell>
        </row>
        <row r="1045">
          <cell r="Z1045">
            <v>10</v>
          </cell>
          <cell r="AA1045">
            <v>3017000</v>
          </cell>
        </row>
        <row r="1046">
          <cell r="Z1046">
            <v>9</v>
          </cell>
          <cell r="AA1046">
            <v>2320000</v>
          </cell>
        </row>
        <row r="1047">
          <cell r="Z1047">
            <v>8</v>
          </cell>
          <cell r="AA1047">
            <v>2412500</v>
          </cell>
        </row>
        <row r="1048">
          <cell r="Z1048">
            <v>7</v>
          </cell>
          <cell r="AA1048">
            <v>1900000</v>
          </cell>
        </row>
        <row r="1049">
          <cell r="Z1049">
            <v>6</v>
          </cell>
          <cell r="AA1049">
            <v>3725000</v>
          </cell>
        </row>
        <row r="1050">
          <cell r="Z1050">
            <v>5</v>
          </cell>
          <cell r="AA1050">
            <v>2888000</v>
          </cell>
        </row>
        <row r="1051">
          <cell r="Z1051">
            <v>4</v>
          </cell>
          <cell r="AA1051">
            <v>3159000</v>
          </cell>
        </row>
        <row r="1052">
          <cell r="Z1052">
            <v>3</v>
          </cell>
          <cell r="AA1052">
            <v>2000000</v>
          </cell>
        </row>
        <row r="1053">
          <cell r="Z1053">
            <v>2</v>
          </cell>
          <cell r="AA1053">
            <v>2662000</v>
          </cell>
        </row>
        <row r="1054">
          <cell r="Z1054">
            <v>1</v>
          </cell>
          <cell r="AA1054">
            <v>1780000</v>
          </cell>
        </row>
        <row r="1058">
          <cell r="Z1058">
            <v>54</v>
          </cell>
          <cell r="AA1058">
            <v>2474000</v>
          </cell>
        </row>
        <row r="1059">
          <cell r="Z1059">
            <v>53</v>
          </cell>
          <cell r="AA1059">
            <v>2190000</v>
          </cell>
        </row>
        <row r="1060">
          <cell r="Z1060">
            <v>52</v>
          </cell>
          <cell r="AA1060">
            <v>2040000</v>
          </cell>
        </row>
        <row r="1061">
          <cell r="Z1061">
            <v>51</v>
          </cell>
          <cell r="AA1061">
            <v>1706000</v>
          </cell>
        </row>
        <row r="1062">
          <cell r="Z1062">
            <v>50</v>
          </cell>
          <cell r="AA1062">
            <v>1703000</v>
          </cell>
        </row>
        <row r="1063">
          <cell r="Z1063">
            <v>49</v>
          </cell>
          <cell r="AA1063">
            <v>1383000</v>
          </cell>
        </row>
        <row r="1064">
          <cell r="Z1064">
            <v>48</v>
          </cell>
          <cell r="AA1064">
            <v>2515000</v>
          </cell>
        </row>
        <row r="1065">
          <cell r="Z1065">
            <v>47</v>
          </cell>
          <cell r="AA1065">
            <v>2800000</v>
          </cell>
        </row>
        <row r="1066">
          <cell r="Z1066">
            <v>46</v>
          </cell>
          <cell r="AA1066">
            <v>2578000</v>
          </cell>
        </row>
        <row r="1067">
          <cell r="Z1067">
            <v>45</v>
          </cell>
          <cell r="AA1067">
            <v>2770000</v>
          </cell>
        </row>
        <row r="1068">
          <cell r="Z1068">
            <v>44</v>
          </cell>
          <cell r="AA1068">
            <v>2069999.9999999998</v>
          </cell>
        </row>
        <row r="1069">
          <cell r="Z1069">
            <v>43</v>
          </cell>
          <cell r="AA1069">
            <v>2470000</v>
          </cell>
        </row>
        <row r="1070">
          <cell r="Z1070">
            <v>42</v>
          </cell>
          <cell r="AA1070">
            <v>2060000</v>
          </cell>
        </row>
        <row r="1071">
          <cell r="Z1071">
            <v>41</v>
          </cell>
          <cell r="AA1071">
            <v>2435000</v>
          </cell>
        </row>
        <row r="1072">
          <cell r="Z1072">
            <v>40</v>
          </cell>
          <cell r="AA1072">
            <v>2420000</v>
          </cell>
        </row>
        <row r="1073">
          <cell r="Z1073">
            <v>39</v>
          </cell>
          <cell r="AA1073">
            <v>2016000</v>
          </cell>
        </row>
        <row r="1074">
          <cell r="Z1074">
            <v>38</v>
          </cell>
          <cell r="AA1074">
            <v>2049999.9999999998</v>
          </cell>
        </row>
        <row r="1075">
          <cell r="Z1075">
            <v>37</v>
          </cell>
          <cell r="AA1075">
            <v>2350000</v>
          </cell>
        </row>
        <row r="1076">
          <cell r="Z1076">
            <v>36</v>
          </cell>
          <cell r="AA1076">
            <v>1920000</v>
          </cell>
        </row>
        <row r="1077">
          <cell r="Z1077">
            <v>35</v>
          </cell>
          <cell r="AA1077">
            <v>2410000</v>
          </cell>
        </row>
        <row r="1078">
          <cell r="Z1078">
            <v>34</v>
          </cell>
          <cell r="AA1078">
            <v>1702000</v>
          </cell>
        </row>
        <row r="1079">
          <cell r="Z1079">
            <v>33</v>
          </cell>
          <cell r="AA1079">
            <v>2017000</v>
          </cell>
        </row>
        <row r="1080">
          <cell r="Z1080">
            <v>32</v>
          </cell>
          <cell r="AA1080">
            <v>1680000</v>
          </cell>
        </row>
        <row r="1081">
          <cell r="Z1081">
            <v>31</v>
          </cell>
          <cell r="AA1081">
            <v>1900000</v>
          </cell>
        </row>
        <row r="1082">
          <cell r="Z1082">
            <v>30</v>
          </cell>
          <cell r="AA1082">
            <v>1950000</v>
          </cell>
        </row>
        <row r="1083">
          <cell r="Z1083">
            <v>29</v>
          </cell>
          <cell r="AA1083">
            <v>1680000</v>
          </cell>
        </row>
        <row r="1084">
          <cell r="Z1084">
            <v>28</v>
          </cell>
          <cell r="AA1084">
            <v>1700000</v>
          </cell>
        </row>
        <row r="1085">
          <cell r="Z1085">
            <v>27</v>
          </cell>
          <cell r="AA1085">
            <v>2125000</v>
          </cell>
        </row>
        <row r="1086">
          <cell r="Z1086">
            <v>26</v>
          </cell>
          <cell r="AA1086">
            <v>1600000</v>
          </cell>
        </row>
        <row r="1087">
          <cell r="Z1087">
            <v>25</v>
          </cell>
          <cell r="AA1087">
            <v>2073999.9999999998</v>
          </cell>
        </row>
        <row r="1088">
          <cell r="Z1088">
            <v>24</v>
          </cell>
          <cell r="AA1088">
            <v>1500000</v>
          </cell>
        </row>
        <row r="1089">
          <cell r="Z1089">
            <v>23</v>
          </cell>
          <cell r="AA1089">
            <v>1700000</v>
          </cell>
        </row>
        <row r="1090">
          <cell r="Z1090">
            <v>22</v>
          </cell>
          <cell r="AA1090">
            <v>1400000</v>
          </cell>
        </row>
        <row r="1091">
          <cell r="Z1091">
            <v>21</v>
          </cell>
          <cell r="AA1091">
            <v>1680000</v>
          </cell>
        </row>
        <row r="1092">
          <cell r="Z1092">
            <v>20</v>
          </cell>
          <cell r="AA1092">
            <v>1667000</v>
          </cell>
        </row>
        <row r="1093">
          <cell r="Z1093">
            <v>19</v>
          </cell>
          <cell r="AA1093">
            <v>1500000</v>
          </cell>
        </row>
        <row r="1094">
          <cell r="Z1094">
            <v>18</v>
          </cell>
          <cell r="AA1094">
            <v>1588000</v>
          </cell>
        </row>
        <row r="1095">
          <cell r="Z1095">
            <v>17</v>
          </cell>
          <cell r="AA1095">
            <v>1373000</v>
          </cell>
        </row>
        <row r="1096">
          <cell r="Z1096">
            <v>16</v>
          </cell>
          <cell r="AA1096">
            <v>1838000</v>
          </cell>
        </row>
        <row r="1097">
          <cell r="Z1097">
            <v>15</v>
          </cell>
          <cell r="AA1097">
            <v>1575000</v>
          </cell>
        </row>
        <row r="1098">
          <cell r="Z1098">
            <v>14</v>
          </cell>
          <cell r="AA1098">
            <v>1350000</v>
          </cell>
        </row>
        <row r="1099">
          <cell r="Z1099">
            <v>13</v>
          </cell>
          <cell r="AA1099">
            <v>1150000</v>
          </cell>
        </row>
        <row r="1100">
          <cell r="Z1100">
            <v>12</v>
          </cell>
          <cell r="AA1100">
            <v>1377000</v>
          </cell>
        </row>
        <row r="1101">
          <cell r="Z1101">
            <v>11</v>
          </cell>
          <cell r="AA1101">
            <v>1196000</v>
          </cell>
        </row>
        <row r="1102">
          <cell r="Z1102">
            <v>10</v>
          </cell>
          <cell r="AA1102">
            <v>1358000</v>
          </cell>
        </row>
        <row r="1103">
          <cell r="Z1103">
            <v>9</v>
          </cell>
          <cell r="AA1103">
            <v>1200000</v>
          </cell>
        </row>
        <row r="1104">
          <cell r="Z1104">
            <v>8</v>
          </cell>
          <cell r="AA1104">
            <v>1100000</v>
          </cell>
        </row>
        <row r="1105">
          <cell r="Z1105">
            <v>7</v>
          </cell>
          <cell r="AA1105">
            <v>1008999.9999999999</v>
          </cell>
        </row>
        <row r="1106">
          <cell r="Z1106">
            <v>6</v>
          </cell>
          <cell r="AA1106">
            <v>1281000</v>
          </cell>
        </row>
        <row r="1107">
          <cell r="Z1107">
            <v>5</v>
          </cell>
          <cell r="AA1107">
            <v>1051000</v>
          </cell>
        </row>
        <row r="1108">
          <cell r="Z1108">
            <v>4</v>
          </cell>
          <cell r="AA1108">
            <v>1200000</v>
          </cell>
        </row>
        <row r="1109">
          <cell r="Z1109">
            <v>3</v>
          </cell>
          <cell r="AA1109">
            <v>864000</v>
          </cell>
        </row>
        <row r="1110">
          <cell r="Z1110">
            <v>2</v>
          </cell>
          <cell r="AA1110">
            <v>975000</v>
          </cell>
        </row>
        <row r="1111">
          <cell r="Z1111">
            <v>1</v>
          </cell>
          <cell r="AA1111">
            <v>864000</v>
          </cell>
        </row>
        <row r="1116">
          <cell r="Z1116">
            <v>1</v>
          </cell>
          <cell r="AA1116">
            <v>98000</v>
          </cell>
          <cell r="AB1116">
            <v>2937000</v>
          </cell>
        </row>
        <row r="1117">
          <cell r="Z1117">
            <v>2</v>
          </cell>
          <cell r="AA1117">
            <v>250000</v>
          </cell>
          <cell r="AB1117">
            <v>6050000</v>
          </cell>
        </row>
        <row r="1118">
          <cell r="Z1118">
            <v>3</v>
          </cell>
          <cell r="AA1118">
            <v>168000</v>
          </cell>
          <cell r="AB1118">
            <v>3885000</v>
          </cell>
        </row>
        <row r="1119">
          <cell r="Z1119">
            <v>4</v>
          </cell>
          <cell r="AA1119">
            <v>100000</v>
          </cell>
          <cell r="AB1119">
            <v>3000000</v>
          </cell>
        </row>
        <row r="1120">
          <cell r="Z1120">
            <v>5</v>
          </cell>
          <cell r="AA1120">
            <v>200000</v>
          </cell>
          <cell r="AB1120">
            <v>6000000</v>
          </cell>
        </row>
        <row r="1121">
          <cell r="Z1121">
            <v>6</v>
          </cell>
          <cell r="AA1121">
            <v>463000</v>
          </cell>
          <cell r="AB1121">
            <v>12000000</v>
          </cell>
        </row>
        <row r="1122">
          <cell r="Z1122">
            <v>7</v>
          </cell>
          <cell r="AA1122">
            <v>64000</v>
          </cell>
          <cell r="AB1122">
            <v>1775000</v>
          </cell>
        </row>
        <row r="1123">
          <cell r="Z1123">
            <v>8</v>
          </cell>
          <cell r="AA1123">
            <v>71000</v>
          </cell>
          <cell r="AB1123">
            <v>1500000</v>
          </cell>
        </row>
        <row r="1124">
          <cell r="Z1124">
            <v>9</v>
          </cell>
          <cell r="AA1124">
            <v>20000</v>
          </cell>
          <cell r="AB1124">
            <v>475000</v>
          </cell>
        </row>
        <row r="1125">
          <cell r="Z1125">
            <v>10</v>
          </cell>
          <cell r="AA1125">
            <v>20000</v>
          </cell>
          <cell r="AB1125">
            <v>425000</v>
          </cell>
        </row>
        <row r="1126">
          <cell r="Z1126">
            <v>11</v>
          </cell>
          <cell r="AA1126">
            <v>198000</v>
          </cell>
          <cell r="AB1126">
            <v>5581000</v>
          </cell>
        </row>
        <row r="1127">
          <cell r="Z1127">
            <v>12</v>
          </cell>
          <cell r="AA1127">
            <v>228000</v>
          </cell>
          <cell r="AB1127">
            <v>6600000</v>
          </cell>
        </row>
        <row r="1128">
          <cell r="Z1128">
            <v>13</v>
          </cell>
          <cell r="AA1128">
            <v>357000</v>
          </cell>
          <cell r="AB1128">
            <v>9029000</v>
          </cell>
        </row>
        <row r="1129">
          <cell r="Z1129">
            <v>14</v>
          </cell>
          <cell r="AA1129">
            <v>809000</v>
          </cell>
          <cell r="AB1129">
            <v>21000000</v>
          </cell>
        </row>
        <row r="1130">
          <cell r="Z1130">
            <v>15</v>
          </cell>
          <cell r="AA1130">
            <v>1016999.9999999999</v>
          </cell>
          <cell r="AB1130">
            <v>29125000</v>
          </cell>
        </row>
        <row r="1131">
          <cell r="Z1131">
            <v>16</v>
          </cell>
          <cell r="AA1131">
            <v>1200000</v>
          </cell>
          <cell r="AB1131">
            <v>36000000</v>
          </cell>
        </row>
        <row r="1134">
          <cell r="AA1134" t="str">
            <v>Día</v>
          </cell>
        </row>
        <row r="1135">
          <cell r="AA1135" t="str">
            <v>Mes</v>
          </cell>
        </row>
        <row r="1139">
          <cell r="Z1139">
            <v>1</v>
          </cell>
          <cell r="AA1139" t="str">
            <v>Humedad natural</v>
          </cell>
          <cell r="AB1139" t="str">
            <v>un</v>
          </cell>
          <cell r="AC1139">
            <v>10800</v>
          </cell>
        </row>
        <row r="1140">
          <cell r="Z1140">
            <v>2</v>
          </cell>
          <cell r="AA1140" t="str">
            <v>Peso unitario por desplazamiento</v>
          </cell>
          <cell r="AB1140" t="str">
            <v>un</v>
          </cell>
          <cell r="AC1140">
            <v>26900</v>
          </cell>
        </row>
        <row r="1141">
          <cell r="Z1141">
            <v>3</v>
          </cell>
          <cell r="AA1141" t="str">
            <v>Peso unitario por peso y volumen</v>
          </cell>
          <cell r="AB1141" t="str">
            <v>un</v>
          </cell>
          <cell r="AC1141">
            <v>20100</v>
          </cell>
        </row>
        <row r="1142">
          <cell r="Z1142">
            <v>4</v>
          </cell>
          <cell r="AA1142" t="str">
            <v>Peso específico suelos finos por picnómetro</v>
          </cell>
          <cell r="AB1142" t="str">
            <v>un</v>
          </cell>
          <cell r="AC1142">
            <v>49000</v>
          </cell>
        </row>
        <row r="1143">
          <cell r="Z1143">
            <v>5</v>
          </cell>
          <cell r="AA1143" t="str">
            <v>Granulométria por tamizado con Lavado</v>
          </cell>
          <cell r="AB1143" t="str">
            <v>un</v>
          </cell>
          <cell r="AC1143">
            <v>55400.000000000007</v>
          </cell>
        </row>
        <row r="1144">
          <cell r="Z1144">
            <v>6</v>
          </cell>
          <cell r="AA1144" t="str">
            <v>Granulometria por tamizado sin lavado</v>
          </cell>
          <cell r="AB1144" t="str">
            <v>un</v>
          </cell>
          <cell r="AC1144">
            <v>53900</v>
          </cell>
        </row>
        <row r="1145">
          <cell r="Z1145">
            <v>7</v>
          </cell>
          <cell r="AA1145" t="str">
            <v>Granulometria por Hidrometro</v>
          </cell>
          <cell r="AB1145" t="str">
            <v>un</v>
          </cell>
          <cell r="AC1145">
            <v>111000.00000000001</v>
          </cell>
        </row>
        <row r="1146">
          <cell r="Z1146">
            <v>8</v>
          </cell>
          <cell r="AA1146" t="str">
            <v>Lavado sobre tamiz No 200</v>
          </cell>
          <cell r="AB1146" t="str">
            <v>un</v>
          </cell>
          <cell r="AC1146">
            <v>40000</v>
          </cell>
        </row>
        <row r="1147">
          <cell r="Z1147">
            <v>9</v>
          </cell>
          <cell r="AA1147" t="str">
            <v>Limites de consistencia (liquido y plastico) y humedad</v>
          </cell>
          <cell r="AB1147" t="str">
            <v>un</v>
          </cell>
          <cell r="AC1147">
            <v>50000</v>
          </cell>
        </row>
        <row r="1148">
          <cell r="Z1148">
            <v>10</v>
          </cell>
          <cell r="AA1148" t="str">
            <v>Limite de contraccion</v>
          </cell>
          <cell r="AB1148" t="str">
            <v>un</v>
          </cell>
          <cell r="AC1148">
            <v>50000</v>
          </cell>
        </row>
        <row r="1149">
          <cell r="Z1149">
            <v>11</v>
          </cell>
          <cell r="AA1149" t="str">
            <v>Contenido de materia organica por ignicion</v>
          </cell>
          <cell r="AB1149" t="str">
            <v>un</v>
          </cell>
          <cell r="AC1149">
            <v>73800</v>
          </cell>
        </row>
        <row r="1150">
          <cell r="Z1150">
            <v>12</v>
          </cell>
          <cell r="AA1150" t="str">
            <v>Compactación Próctor modificado o normal. Suelos finos o granulares</v>
          </cell>
          <cell r="AB1150" t="str">
            <v>un</v>
          </cell>
          <cell r="AC1150">
            <v>99800</v>
          </cell>
        </row>
        <row r="1151">
          <cell r="Z1151">
            <v>13</v>
          </cell>
          <cell r="AA1151" t="str">
            <v>Densidades en el terreno. Metodo del cono y la arena (en Bogota, no incluye transporte)</v>
          </cell>
          <cell r="AB1151" t="str">
            <v>un</v>
          </cell>
          <cell r="AC1151">
            <v>58399.999999999993</v>
          </cell>
        </row>
        <row r="1152">
          <cell r="Z1152">
            <v>14</v>
          </cell>
          <cell r="AA1152" t="str">
            <v>Permeabilidad, Cabeza constante en suelos granulares, con lecturas de piezometro para cada densidad (max. 2m)</v>
          </cell>
          <cell r="AB1152" t="str">
            <v>un</v>
          </cell>
          <cell r="AC1152">
            <v>259000</v>
          </cell>
        </row>
        <row r="1153">
          <cell r="Z1153">
            <v>15</v>
          </cell>
          <cell r="AA1153" t="str">
            <v>Permeabilidad, cabeza variable ó constante, suelos granulares o finos, en molde proctor (incluye preparacion de muestra)</v>
          </cell>
          <cell r="AB1153" t="str">
            <v>un</v>
          </cell>
          <cell r="AC1153">
            <v>279300</v>
          </cell>
        </row>
        <row r="1154">
          <cell r="Z1154">
            <v>16</v>
          </cell>
          <cell r="AA1154" t="str">
            <v>Ensayo de percolacion</v>
          </cell>
          <cell r="AB1154" t="str">
            <v>un</v>
          </cell>
          <cell r="AC1154">
            <v>178500</v>
          </cell>
        </row>
        <row r="1155">
          <cell r="Z1155">
            <v>17</v>
          </cell>
          <cell r="AA1155" t="str">
            <v>Consolidacion rapida con descarga, incluye grafica e.vs.log esf.</v>
          </cell>
          <cell r="AB1155" t="str">
            <v>un</v>
          </cell>
          <cell r="AC1155">
            <v>280000</v>
          </cell>
        </row>
        <row r="1156">
          <cell r="Z1156">
            <v>18</v>
          </cell>
          <cell r="AA1156" t="str">
            <v>Consolidacion lenta con descarga, incluye grafica e.vs.log esf y cv.vs.log esf</v>
          </cell>
          <cell r="AB1156" t="str">
            <v>un</v>
          </cell>
          <cell r="AC1156">
            <v>350000</v>
          </cell>
        </row>
        <row r="1157">
          <cell r="Z1157">
            <v>19</v>
          </cell>
          <cell r="AA1157" t="str">
            <v>Consolidacion lenta doble etapa carga, incluye grafica e.vs.log esf y cv.vs.log CSF</v>
          </cell>
          <cell r="AB1157" t="str">
            <v>un</v>
          </cell>
          <cell r="AC1157">
            <v>479300</v>
          </cell>
        </row>
        <row r="1158">
          <cell r="Z1158">
            <v>20</v>
          </cell>
          <cell r="AA1158" t="str">
            <v>Expansion libre en consolidometro o controlada en consolidometro ó presion de expansion en aparato de lambe o en consolidometro</v>
          </cell>
          <cell r="AB1158" t="str">
            <v>un</v>
          </cell>
          <cell r="AC1158">
            <v>179000</v>
          </cell>
        </row>
        <row r="1159">
          <cell r="Z1159">
            <v>21</v>
          </cell>
          <cell r="AA1159" t="str">
            <v>Expansion controlada en consolidometro</v>
          </cell>
          <cell r="AB1159" t="str">
            <v>un</v>
          </cell>
          <cell r="AC1159">
            <v>168600</v>
          </cell>
        </row>
        <row r="1160">
          <cell r="Z1160">
            <v>22</v>
          </cell>
          <cell r="AA1160" t="str">
            <v>Expansion libre en consolidometro</v>
          </cell>
          <cell r="AB1160" t="str">
            <v>un</v>
          </cell>
          <cell r="AC1160">
            <v>118000</v>
          </cell>
        </row>
        <row r="1161">
          <cell r="Z1161">
            <v>23</v>
          </cell>
          <cell r="AA1161" t="str">
            <v>Potencial de expansion en aparato de Lambe</v>
          </cell>
          <cell r="AB1161" t="str">
            <v>un</v>
          </cell>
          <cell r="AC1161">
            <v>244499.99999999997</v>
          </cell>
        </row>
        <row r="1162">
          <cell r="Z1162">
            <v>24</v>
          </cell>
          <cell r="AA1162" t="str">
            <v>Penetrometro manual</v>
          </cell>
          <cell r="AB1162" t="str">
            <v>un</v>
          </cell>
          <cell r="AC1162">
            <v>15000</v>
          </cell>
        </row>
        <row r="1163">
          <cell r="Z1163">
            <v>25</v>
          </cell>
          <cell r="AA1163" t="str">
            <v>Veleta de Laboratorio</v>
          </cell>
          <cell r="AB1163" t="str">
            <v>un</v>
          </cell>
          <cell r="AC1163">
            <v>15000</v>
          </cell>
        </row>
        <row r="1164">
          <cell r="Z1164">
            <v>26</v>
          </cell>
          <cell r="AA1164" t="str">
            <v>CBR- Muestra inalterada con humedad natural, por punto</v>
          </cell>
          <cell r="AB1164" t="str">
            <v>un</v>
          </cell>
          <cell r="AC1164">
            <v>100600</v>
          </cell>
        </row>
        <row r="1165">
          <cell r="Z1165">
            <v>27</v>
          </cell>
          <cell r="AA1165" t="str">
            <v>CBR- Muestra inalterada con inmersion, por punto</v>
          </cell>
          <cell r="AB1165" t="str">
            <v>un</v>
          </cell>
          <cell r="AC1165">
            <v>106700</v>
          </cell>
        </row>
        <row r="1166">
          <cell r="Z1166">
            <v>28</v>
          </cell>
          <cell r="AA1166" t="str">
            <v>CBR- Muestra inalterada con humedad natural e inmersion, por punto</v>
          </cell>
          <cell r="AB1166" t="str">
            <v>un</v>
          </cell>
          <cell r="AC1166">
            <v>150000</v>
          </cell>
        </row>
        <row r="1167">
          <cell r="Z1167">
            <v>29</v>
          </cell>
          <cell r="AA1167" t="str">
            <v>CBR- Material granular - metodo i. siete puntos, sin inmersion</v>
          </cell>
          <cell r="AB1167" t="str">
            <v>un</v>
          </cell>
          <cell r="AC1167">
            <v>300000</v>
          </cell>
        </row>
        <row r="1168">
          <cell r="Z1168">
            <v>30</v>
          </cell>
          <cell r="AA1168" t="str">
            <v>CBR- Material cohesio - metodo ii. Nueve puntos, con inmersion</v>
          </cell>
          <cell r="AB1168" t="str">
            <v>un</v>
          </cell>
          <cell r="AC1168">
            <v>497499.99999999994</v>
          </cell>
        </row>
        <row r="1169">
          <cell r="Z1169">
            <v>31</v>
          </cell>
          <cell r="AA1169" t="str">
            <v>CD - No consolidado No drenado, tiempo de falla hasta 2 horas</v>
          </cell>
          <cell r="AB1169" t="str">
            <v>un</v>
          </cell>
          <cell r="AC1169">
            <v>430999.99999999994</v>
          </cell>
        </row>
        <row r="1170">
          <cell r="Z1170">
            <v>32</v>
          </cell>
          <cell r="AA1170" t="str">
            <v>CD - Consolidado No drenado, fallado en 2 horas</v>
          </cell>
          <cell r="AB1170" t="str">
            <v>un</v>
          </cell>
          <cell r="AC1170">
            <v>579500</v>
          </cell>
        </row>
        <row r="1171">
          <cell r="Z1171">
            <v>33</v>
          </cell>
          <cell r="AA1171" t="str">
            <v>CD - Consolidado, Drenado, tiempo de falla en 5 horas</v>
          </cell>
          <cell r="AB1171" t="str">
            <v>un</v>
          </cell>
          <cell r="AC1171">
            <v>834000</v>
          </cell>
        </row>
        <row r="1172">
          <cell r="Z1172">
            <v>34</v>
          </cell>
          <cell r="AA1172" t="str">
            <v>CD - Precortado, resistencia residual por cada ciclo (con preparacion de muestra y saturacion 24 horas)</v>
          </cell>
          <cell r="AB1172" t="str">
            <v>un</v>
          </cell>
          <cell r="AC1172">
            <v>284800</v>
          </cell>
        </row>
        <row r="1173">
          <cell r="Z1173">
            <v>35</v>
          </cell>
          <cell r="AA1173" t="str">
            <v>CD - suelos NO cohesivos Consolidado  -Drenado (tres ptos)</v>
          </cell>
          <cell r="AB1173" t="str">
            <v>un</v>
          </cell>
          <cell r="AC1173">
            <v>413000</v>
          </cell>
        </row>
        <row r="1174">
          <cell r="Z1174">
            <v>36</v>
          </cell>
          <cell r="AA1174" t="str">
            <v>CD - Suelos cohesivos No consolidado No Drenado UU (tres ptos)</v>
          </cell>
          <cell r="AB1174" t="str">
            <v>un</v>
          </cell>
          <cell r="AC1174">
            <v>273000</v>
          </cell>
        </row>
        <row r="1175">
          <cell r="Z1175">
            <v>37</v>
          </cell>
          <cell r="AA1175" t="str">
            <v>CD - Suelos cohesivos Consolidado No Drenado CU (tres ptos)</v>
          </cell>
          <cell r="AB1175" t="str">
            <v>un</v>
          </cell>
          <cell r="AC1175">
            <v>494900</v>
          </cell>
        </row>
        <row r="1176">
          <cell r="Z1176">
            <v>38</v>
          </cell>
          <cell r="AA1176" t="str">
            <v>Dterminacion de resistencia al corte: metodo del corte directo en suelos cohesivos Consolidado Drenado CD (tres ptos)</v>
          </cell>
          <cell r="AB1176" t="str">
            <v>un</v>
          </cell>
          <cell r="AC1176">
            <v>1650000</v>
          </cell>
        </row>
        <row r="1177">
          <cell r="Z1177">
            <v>39</v>
          </cell>
          <cell r="AA1177" t="str">
            <v>Parametros de resitencia del suelo mediante compresion triaxial: Compresion triaxial estatica No Consolidado No Drenado UU (tres ptos)</v>
          </cell>
          <cell r="AB1177" t="str">
            <v>un</v>
          </cell>
          <cell r="AC1177">
            <v>531000</v>
          </cell>
        </row>
        <row r="1178">
          <cell r="Z1178">
            <v>40</v>
          </cell>
          <cell r="AA1178" t="str">
            <v>Parametros de resitencia del suelo mediante compresion triaxial: Compresion triaxial estatica Consolidado No Drenado CU (tres ptos)</v>
          </cell>
          <cell r="AB1178" t="str">
            <v>un</v>
          </cell>
          <cell r="AC1178">
            <v>871000.00000000012</v>
          </cell>
        </row>
        <row r="1179">
          <cell r="Z1179">
            <v>41</v>
          </cell>
          <cell r="AA1179" t="str">
            <v>Modulo resilente de suelos de subrasante (granulares o cohesivos)</v>
          </cell>
          <cell r="AB1179" t="str">
            <v>un</v>
          </cell>
          <cell r="AC1179">
            <v>788500</v>
          </cell>
        </row>
        <row r="1180">
          <cell r="Z1180">
            <v>42</v>
          </cell>
          <cell r="AA1180" t="str">
            <v>Compresion triaxial ciclica (un pto,incluye consolidacion, saturando la muestra)</v>
          </cell>
          <cell r="AB1180" t="str">
            <v>un</v>
          </cell>
          <cell r="AC1180">
            <v>1146800</v>
          </cell>
        </row>
        <row r="1181">
          <cell r="Z1181">
            <v>43</v>
          </cell>
          <cell r="AA1181" t="str">
            <v>Compresión Inconfinada (tabala, curva CSF - def. Humedad, peso unitario y preparacion de muestra)</v>
          </cell>
          <cell r="AB1181" t="str">
            <v>un</v>
          </cell>
          <cell r="AC1181">
            <v>123500.00000000001</v>
          </cell>
        </row>
        <row r="1182">
          <cell r="Z1182">
            <v>44</v>
          </cell>
          <cell r="AA1182" t="str">
            <v>Compresion triaxial en suelos arcillosos no consolidado no drenado (por pto)</v>
          </cell>
          <cell r="AB1182" t="str">
            <v>un</v>
          </cell>
          <cell r="AC1182">
            <v>423600</v>
          </cell>
        </row>
        <row r="1183">
          <cell r="Z1183">
            <v>45</v>
          </cell>
          <cell r="AA1183" t="str">
            <v>Compresion triaxial en suelos arcillosos consolidado no drenado midiendo presion de poros (por pto)</v>
          </cell>
          <cell r="AB1183" t="str">
            <v>un</v>
          </cell>
          <cell r="AC1183">
            <v>789000</v>
          </cell>
        </row>
        <row r="1184">
          <cell r="Z1184">
            <v>46</v>
          </cell>
          <cell r="AA1184" t="str">
            <v>Compresiopn triaxial en suelos arcillosos Consolidado Drenado (por pto)</v>
          </cell>
          <cell r="AB1184" t="str">
            <v>un</v>
          </cell>
          <cell r="AC1184">
            <v>977000</v>
          </cell>
        </row>
        <row r="1185">
          <cell r="Z1185">
            <v>47</v>
          </cell>
          <cell r="AA1185" t="str">
            <v>Compresion triaxial en suelos arenosos Consolidado Drenado</v>
          </cell>
          <cell r="AB1185" t="str">
            <v>un</v>
          </cell>
          <cell r="AC1185">
            <v>550000</v>
          </cell>
        </row>
        <row r="1186">
          <cell r="Z1186">
            <v>48</v>
          </cell>
          <cell r="AA1186" t="str">
            <v>Medicion de velocidad de onda de cortante o de compresion por medio del Bender Element</v>
          </cell>
          <cell r="AB1186" t="str">
            <v>un</v>
          </cell>
          <cell r="AC1186">
            <v>384800</v>
          </cell>
        </row>
        <row r="1187">
          <cell r="Z1187">
            <v>49</v>
          </cell>
          <cell r="AA1187" t="str">
            <v>Compresion triaxial ciclica con Bender (un pto incluye consolidacion saturando la muestra)</v>
          </cell>
          <cell r="AB1187" t="str">
            <v>un</v>
          </cell>
          <cell r="AC1187">
            <v>1309000</v>
          </cell>
        </row>
        <row r="1188">
          <cell r="Z1188">
            <v>50</v>
          </cell>
          <cell r="AA1188" t="str">
            <v>Rocas - Rotura de granos</v>
          </cell>
          <cell r="AB1188" t="str">
            <v>un</v>
          </cell>
          <cell r="AC1188">
            <v>50500</v>
          </cell>
        </row>
        <row r="1189">
          <cell r="Z1189">
            <v>51</v>
          </cell>
          <cell r="AA1189" t="str">
            <v>Dureza de Rocas con el martillo dSchmidt (10 lecturas)</v>
          </cell>
          <cell r="AB1189" t="str">
            <v>un</v>
          </cell>
          <cell r="AC1189">
            <v>100000</v>
          </cell>
        </row>
        <row r="1190">
          <cell r="Z1190">
            <v>52</v>
          </cell>
          <cell r="AA1190" t="str">
            <v>Carga puntual en rocas (10 fragmentos, no incluye trituracion)</v>
          </cell>
          <cell r="AB1190" t="str">
            <v>un</v>
          </cell>
          <cell r="AC1190">
            <v>91000</v>
          </cell>
        </row>
        <row r="1191">
          <cell r="Z1191">
            <v>53</v>
          </cell>
          <cell r="AA1191" t="str">
            <v>Desleimiento - durabilidad de rocas (metodo del I S R M)</v>
          </cell>
          <cell r="AB1191" t="str">
            <v>un</v>
          </cell>
          <cell r="AC1191">
            <v>101299.99999999999</v>
          </cell>
        </row>
        <row r="1192">
          <cell r="Z1192">
            <v>54</v>
          </cell>
          <cell r="AA1192" t="str">
            <v>Fracturamiento de arena</v>
          </cell>
          <cell r="AB1192" t="str">
            <v>un</v>
          </cell>
          <cell r="AC1192">
            <v>97500</v>
          </cell>
        </row>
        <row r="1193">
          <cell r="Z1193">
            <v>55</v>
          </cell>
          <cell r="AA1193" t="str">
            <v>Indices de forma y fracturacion en rocas</v>
          </cell>
          <cell r="AB1193" t="str">
            <v>un</v>
          </cell>
          <cell r="AC1193">
            <v>153500</v>
          </cell>
        </row>
        <row r="1194">
          <cell r="Z1194">
            <v>56</v>
          </cell>
          <cell r="AA1194" t="str">
            <v>Rocas-Tension indirecta metodo brasilero</v>
          </cell>
          <cell r="AB1194" t="str">
            <v>un</v>
          </cell>
          <cell r="AC1194">
            <v>65000</v>
          </cell>
        </row>
        <row r="1195">
          <cell r="Z1195">
            <v>57</v>
          </cell>
          <cell r="AA1195" t="str">
            <v>Compresion simple en rocas con valor maximo y peso unitario</v>
          </cell>
          <cell r="AB1195" t="str">
            <v>un</v>
          </cell>
          <cell r="AC1195">
            <v>110000.00000000001</v>
          </cell>
        </row>
        <row r="1196">
          <cell r="Z1196">
            <v>58</v>
          </cell>
          <cell r="AA1196" t="str">
            <v>Compresion simple en rocas con medida de deformacion axial (tabla, curva esfuerzo-deformacion y peso unitario)</v>
          </cell>
          <cell r="AB1196" t="str">
            <v>un</v>
          </cell>
          <cell r="AC1196">
            <v>280000</v>
          </cell>
        </row>
        <row r="1197">
          <cell r="Z1197">
            <v>59</v>
          </cell>
          <cell r="AA1197" t="str">
            <v>Compresion simple con medida de deformacion axial y lateral (modulo de elasticidad, ralacion de poisson, tabla, grafica CSF - def. y peso unitario)</v>
          </cell>
          <cell r="AB1197" t="str">
            <v>un</v>
          </cell>
          <cell r="AC1197">
            <v>434999.99999999994</v>
          </cell>
        </row>
        <row r="1198">
          <cell r="Z1198">
            <v>60</v>
          </cell>
          <cell r="AA1198" t="str">
            <v>Compresion triaxial con deformimetros electricos (por pto)</v>
          </cell>
          <cell r="AB1198" t="str">
            <v>un</v>
          </cell>
          <cell r="AC1198">
            <v>966000</v>
          </cell>
        </row>
        <row r="1199">
          <cell r="Z1199">
            <v>61</v>
          </cell>
          <cell r="AA1199" t="str">
            <v>Ultrasonido en rocas</v>
          </cell>
          <cell r="AB1199" t="str">
            <v>un</v>
          </cell>
          <cell r="AC1199">
            <v>150000</v>
          </cell>
        </row>
        <row r="1200">
          <cell r="Z1200">
            <v>62</v>
          </cell>
          <cell r="AA1200" t="str">
            <v>CD - rocas blandas, resistencia residual (con preparacion de muestra, saturadas y consolidada no drenada)</v>
          </cell>
          <cell r="AB1200" t="str">
            <v>un</v>
          </cell>
          <cell r="AC1200">
            <v>262500</v>
          </cell>
        </row>
        <row r="1201">
          <cell r="Z1201">
            <v>63</v>
          </cell>
          <cell r="AA1201" t="str">
            <v>Extraccion de nucleos en rocas-diametro NX y relacion L/D aprox. 2,5</v>
          </cell>
          <cell r="AB1201" t="str">
            <v>un</v>
          </cell>
          <cell r="AC1201">
            <v>200000</v>
          </cell>
        </row>
        <row r="1202">
          <cell r="Z1202">
            <v>64</v>
          </cell>
          <cell r="AA1202" t="str">
            <v>Prepacion de rocas para ensayo de corte directo (por pto)</v>
          </cell>
          <cell r="AB1202" t="str">
            <v>un</v>
          </cell>
          <cell r="AC1202">
            <v>84500</v>
          </cell>
        </row>
        <row r="1203">
          <cell r="Z1203">
            <v>65</v>
          </cell>
          <cell r="AA1203" t="str">
            <v>Peso especifico en asfalto solido</v>
          </cell>
          <cell r="AB1203" t="str">
            <v>un</v>
          </cell>
          <cell r="AC1203">
            <v>38400</v>
          </cell>
        </row>
        <row r="1204">
          <cell r="Z1204">
            <v>66</v>
          </cell>
          <cell r="AA1204" t="str">
            <v>Ductilidad o penetracion o flotacion o punto de ablandamiento en asfaltos</v>
          </cell>
          <cell r="AB1204" t="str">
            <v>un</v>
          </cell>
          <cell r="AC1204">
            <v>90000</v>
          </cell>
        </row>
        <row r="1205">
          <cell r="Z1205">
            <v>67</v>
          </cell>
          <cell r="AA1205" t="str">
            <v>Punto de llama asfalto liquido</v>
          </cell>
          <cell r="AB1205" t="str">
            <v>un</v>
          </cell>
          <cell r="AC1205">
            <v>65000</v>
          </cell>
        </row>
        <row r="1206">
          <cell r="Z1206">
            <v>68</v>
          </cell>
          <cell r="AA1206" t="str">
            <v>Perdidas por calentamiento en asfaltos</v>
          </cell>
          <cell r="AB1206" t="str">
            <v>un</v>
          </cell>
          <cell r="AC1206">
            <v>286000</v>
          </cell>
        </row>
        <row r="1207">
          <cell r="Z1207">
            <v>69</v>
          </cell>
          <cell r="AA1207" t="str">
            <v>Indice de penetracion en asfalto (por pto)</v>
          </cell>
          <cell r="AB1207" t="str">
            <v>un</v>
          </cell>
          <cell r="AC1207">
            <v>63300</v>
          </cell>
        </row>
        <row r="1208">
          <cell r="Z1208">
            <v>70</v>
          </cell>
          <cell r="AA1208" t="str">
            <v>Viscosidad Brookfield a 2 temperaturas</v>
          </cell>
          <cell r="AB1208" t="str">
            <v>un</v>
          </cell>
          <cell r="AC1208">
            <v>231999.99999999997</v>
          </cell>
        </row>
        <row r="1209">
          <cell r="Z1209">
            <v>71</v>
          </cell>
          <cell r="AA1209" t="str">
            <v>Curva geologica</v>
          </cell>
          <cell r="AB1209" t="str">
            <v>un</v>
          </cell>
          <cell r="AC1209">
            <v>505999.99999999994</v>
          </cell>
        </row>
        <row r="1210">
          <cell r="Z1210">
            <v>72</v>
          </cell>
          <cell r="AA1210" t="str">
            <v>Contenido de asfalto en mezclas</v>
          </cell>
          <cell r="AB1210" t="str">
            <v>un</v>
          </cell>
          <cell r="AC1210">
            <v>119800</v>
          </cell>
        </row>
        <row r="1211">
          <cell r="Z1211">
            <v>73</v>
          </cell>
          <cell r="AA1211" t="str">
            <v>Recuperacion de asfalto utilizando rota vapor (incluye pruebas de penetracion, punto de ablandamiento y ductilidad, sobre el asfalto recuperado)</v>
          </cell>
          <cell r="AB1211" t="str">
            <v>un</v>
          </cell>
          <cell r="AC1211">
            <v>445300.00000000006</v>
          </cell>
        </row>
        <row r="1212">
          <cell r="Z1212">
            <v>74</v>
          </cell>
          <cell r="AA1212" t="str">
            <v>Adherencia en bandeja de mezclas asfalticas</v>
          </cell>
          <cell r="AB1212" t="str">
            <v>un</v>
          </cell>
          <cell r="AC1212">
            <v>91000</v>
          </cell>
        </row>
        <row r="1213">
          <cell r="Z1213">
            <v>75</v>
          </cell>
          <cell r="AA1213" t="str">
            <v>Peso especifico metodo Rice (por cada contenido de asflato)</v>
          </cell>
          <cell r="AB1213" t="str">
            <v>un</v>
          </cell>
          <cell r="AC1213">
            <v>80900</v>
          </cell>
        </row>
        <row r="1214">
          <cell r="Z1214">
            <v>76</v>
          </cell>
          <cell r="AA1214" t="str">
            <v>Cubrimiento de los agregados con materiales asfalticos en presencia de agua</v>
          </cell>
          <cell r="AB1214" t="str">
            <v>un</v>
          </cell>
          <cell r="AC1214">
            <v>130000</v>
          </cell>
        </row>
        <row r="1215">
          <cell r="Z1215">
            <v>77</v>
          </cell>
          <cell r="AA1215" t="str">
            <v>Peso unitario briqueta o bloque - mezclas asfalticas</v>
          </cell>
          <cell r="AB1215" t="str">
            <v>un</v>
          </cell>
          <cell r="AC1215">
            <v>26000</v>
          </cell>
        </row>
        <row r="1216">
          <cell r="Z1216">
            <v>78</v>
          </cell>
          <cell r="AA1216" t="str">
            <v>Estabilidad y flujo Marshall una briqueta - mezclas asfalticas</v>
          </cell>
          <cell r="AB1216" t="str">
            <v>un</v>
          </cell>
          <cell r="AC1216">
            <v>45000</v>
          </cell>
        </row>
        <row r="1217">
          <cell r="Z1217">
            <v>79</v>
          </cell>
          <cell r="AA1217" t="str">
            <v>Preparacion de una briqueta - mezclas asfalticas</v>
          </cell>
          <cell r="AB1217" t="str">
            <v>un</v>
          </cell>
          <cell r="AC1217">
            <v>56499.999999999993</v>
          </cell>
        </row>
        <row r="1218">
          <cell r="Z1218">
            <v>80</v>
          </cell>
          <cell r="AA1218" t="str">
            <v>Diseño Marshall de concreto asfaltico</v>
          </cell>
          <cell r="AB1218" t="str">
            <v>un</v>
          </cell>
          <cell r="AC1218">
            <v>847000.00000000012</v>
          </cell>
        </row>
        <row r="1219">
          <cell r="Z1219">
            <v>81</v>
          </cell>
          <cell r="AA1219" t="str">
            <v>inmersion compresion en mezclas asfalticas</v>
          </cell>
          <cell r="AB1219" t="str">
            <v>un</v>
          </cell>
          <cell r="AC1219">
            <v>842500.00000000012</v>
          </cell>
        </row>
        <row r="1220">
          <cell r="Z1220">
            <v>82</v>
          </cell>
          <cell r="AA1220" t="str">
            <v>Extraccion de nucleo de pavimento asfaltico (no incluye transporte)</v>
          </cell>
          <cell r="AB1220" t="str">
            <v>un</v>
          </cell>
          <cell r="AC1220">
            <v>130000</v>
          </cell>
        </row>
        <row r="1221">
          <cell r="Z1221">
            <v>83</v>
          </cell>
          <cell r="AA1221" t="str">
            <v>Granulometria de material asfaltico recuperado</v>
          </cell>
          <cell r="AB1221" t="str">
            <v>un</v>
          </cell>
          <cell r="AC1221">
            <v>62000</v>
          </cell>
        </row>
        <row r="1222">
          <cell r="Z1222">
            <v>84</v>
          </cell>
          <cell r="AA1222" t="str">
            <v>FWD (incluye logistica para la toma de datos e informe con deflexiones corregidas por carga y temperatura</v>
          </cell>
          <cell r="AB1222" t="str">
            <v>Dia</v>
          </cell>
          <cell r="AC1222">
            <v>4950000</v>
          </cell>
        </row>
        <row r="1223">
          <cell r="Z1223">
            <v>85</v>
          </cell>
          <cell r="AA1223" t="str">
            <v>Georadar (incluye logistica para la toma de datos e informe co9n interpretacion de espesores)</v>
          </cell>
          <cell r="AB1223" t="str">
            <v>Dia</v>
          </cell>
          <cell r="AC1223">
            <v>7984000</v>
          </cell>
        </row>
        <row r="1224">
          <cell r="Z1224">
            <v>86</v>
          </cell>
          <cell r="AA1224" t="str">
            <v>Determinación de propiedades físicas de agregados. Pruebas físicas de muestra de grava o arena, incluye: granulometría, peso específico, absorción, pesos volumétricos suelto y varillado, materia orgánica y pérdida por lavado</v>
          </cell>
          <cell r="AB1224" t="str">
            <v>un</v>
          </cell>
          <cell r="AC1224">
            <v>288200</v>
          </cell>
        </row>
        <row r="1225">
          <cell r="Z1225">
            <v>87</v>
          </cell>
          <cell r="AA1225" t="str">
            <v xml:space="preserve">Prueba de abrasión, maquina de los ángeles. </v>
          </cell>
          <cell r="AB1225" t="str">
            <v>un</v>
          </cell>
          <cell r="AC1225">
            <v>99000</v>
          </cell>
        </row>
        <row r="1226">
          <cell r="Z1226">
            <v>88</v>
          </cell>
          <cell r="AA1226" t="str">
            <v xml:space="preserve">Límites de consistencia y contracción lineal. </v>
          </cell>
          <cell r="AB1226" t="str">
            <v>un</v>
          </cell>
          <cell r="AC1226">
            <v>50700</v>
          </cell>
        </row>
        <row r="1227">
          <cell r="Z1227">
            <v>89</v>
          </cell>
          <cell r="AA1227" t="str">
            <v xml:space="preserve">Equivalentes de arena. </v>
          </cell>
          <cell r="AB1227" t="str">
            <v>un</v>
          </cell>
          <cell r="AC1227">
            <v>63300</v>
          </cell>
        </row>
        <row r="1228">
          <cell r="Z1228">
            <v>90</v>
          </cell>
          <cell r="AA1228" t="str">
            <v xml:space="preserve">Coeficiente de forma. </v>
          </cell>
          <cell r="AB1228" t="str">
            <v>un</v>
          </cell>
          <cell r="AC1228">
            <v>150000</v>
          </cell>
        </row>
        <row r="1229">
          <cell r="Z1229">
            <v>91</v>
          </cell>
          <cell r="AA1229" t="str">
            <v xml:space="preserve">Partículas planas y alargadas. </v>
          </cell>
          <cell r="AB1229" t="str">
            <v>un</v>
          </cell>
          <cell r="AC1229">
            <v>90100</v>
          </cell>
        </row>
        <row r="1230">
          <cell r="Z1230">
            <v>92</v>
          </cell>
          <cell r="AA1230" t="str">
            <v xml:space="preserve">Efecto de materia orgánica. </v>
          </cell>
          <cell r="AB1230" t="str">
            <v>un</v>
          </cell>
          <cell r="AC1230">
            <v>90000</v>
          </cell>
        </row>
        <row r="1231">
          <cell r="Z1231">
            <v>93</v>
          </cell>
          <cell r="AA1231" t="str">
            <v xml:space="preserve">Análisis Petrográficos. </v>
          </cell>
          <cell r="AB1231" t="str">
            <v>un</v>
          </cell>
          <cell r="AC1231">
            <v>714000</v>
          </cell>
        </row>
        <row r="1232">
          <cell r="Z1232">
            <v>94</v>
          </cell>
          <cell r="AA1232" t="str">
            <v>Determinación del contenido de sales solubles en agua (cloruros y sulfatos).</v>
          </cell>
          <cell r="AB1232" t="str">
            <v>un</v>
          </cell>
          <cell r="AC1232">
            <v>150000</v>
          </cell>
        </row>
        <row r="1233">
          <cell r="Z1233">
            <v>95</v>
          </cell>
          <cell r="AA1233" t="str">
            <v xml:space="preserve">Reactividad potencial (Método Químico). </v>
          </cell>
          <cell r="AB1233" t="str">
            <v>un</v>
          </cell>
          <cell r="AC1233">
            <v>135000</v>
          </cell>
        </row>
        <row r="1234">
          <cell r="Z1234">
            <v>96</v>
          </cell>
          <cell r="AA1234" t="str">
            <v xml:space="preserve">Reactividad potencial (Método de las barras de mortero). </v>
          </cell>
          <cell r="AB1234" t="str">
            <v>un</v>
          </cell>
          <cell r="AC1234">
            <v>350000</v>
          </cell>
        </row>
        <row r="1235">
          <cell r="Z1235">
            <v>97</v>
          </cell>
          <cell r="AA1235" t="str">
            <v xml:space="preserve">Intemperismo acelerado. </v>
          </cell>
          <cell r="AB1235" t="str">
            <v>un</v>
          </cell>
          <cell r="AC1235">
            <v>250000</v>
          </cell>
        </row>
        <row r="1236">
          <cell r="Z1236">
            <v>98</v>
          </cell>
          <cell r="AA1236" t="str">
            <v xml:space="preserve">Determinación de grumos de arcilla y partículas deleznables. </v>
          </cell>
          <cell r="AB1236" t="str">
            <v>un</v>
          </cell>
          <cell r="AC1236">
            <v>75400</v>
          </cell>
        </row>
        <row r="1237">
          <cell r="Z1237">
            <v>99</v>
          </cell>
          <cell r="AA1237" t="str">
            <v xml:space="preserve">Determinación de partículas ligeras. </v>
          </cell>
          <cell r="AB1237" t="str">
            <v>un</v>
          </cell>
          <cell r="AC1237">
            <v>67100</v>
          </cell>
        </row>
        <row r="1238">
          <cell r="Z1238">
            <v>100</v>
          </cell>
          <cell r="AA1238" t="str">
            <v xml:space="preserve">Determinación del contenido de aire. </v>
          </cell>
          <cell r="AB1238" t="str">
            <v>un</v>
          </cell>
          <cell r="AC1238">
            <v>120000</v>
          </cell>
        </row>
        <row r="1239">
          <cell r="Z1239">
            <v>101</v>
          </cell>
          <cell r="AA1239" t="str">
            <v>Muestreo de Agua ACEITES Y GRASAS (Incluye personal para toma de muestras, equipos, tecnicos que instalaran los equipos, desplazamientos, analisis de laboratorio, informe final)</v>
          </cell>
          <cell r="AB1239" t="str">
            <v>Punto</v>
          </cell>
          <cell r="AC1239">
            <v>139000</v>
          </cell>
        </row>
        <row r="1240">
          <cell r="Z1240">
            <v>102</v>
          </cell>
          <cell r="AA1240" t="str">
            <v>Muestreo de Agua DEMANDA QUIMICA DE OXIGENO (Incluye personal para toma de muestras, equipos, tecnicos que instalaran los equipos, desplazamientos, analisis de laboratorio, informe final)</v>
          </cell>
          <cell r="AB1240" t="str">
            <v>Punto</v>
          </cell>
          <cell r="AC1240">
            <v>126000</v>
          </cell>
        </row>
        <row r="1241">
          <cell r="Z1241">
            <v>103</v>
          </cell>
          <cell r="AA1241" t="str">
            <v>Muestreo de Agua DEMANDA BIOLOGICA DE OXIGENO - DBO (Incluye personal para toma de muestras, equipos, tecnicos que instalaran los equipos, desplazamientos, analisis de laboratorio, informe final)</v>
          </cell>
          <cell r="AB1241" t="str">
            <v>Punto</v>
          </cell>
          <cell r="AC1241">
            <v>222200</v>
          </cell>
        </row>
        <row r="1242">
          <cell r="Z1242">
            <v>104</v>
          </cell>
          <cell r="AA1242" t="str">
            <v>Muestreo de Agua OXIGENO DISUELTO (Incluye personal para toma de muestras, equipos, tecnicos que instalaran los equipos, desplazamientos, analisis de laboratorio, informe final)</v>
          </cell>
          <cell r="AB1242" t="str">
            <v>Punto</v>
          </cell>
          <cell r="AC1242">
            <v>85000</v>
          </cell>
        </row>
        <row r="1243">
          <cell r="Z1243">
            <v>105</v>
          </cell>
          <cell r="AA1243" t="str">
            <v>Muestreo de Agua SOLIDOS DISUELTOS (Incluye personal para toma de muestras, equipos, tecnicos que instalaran los equipos, desplazamientos, analisis de laboratorio, informe final)</v>
          </cell>
          <cell r="AB1243" t="str">
            <v>Punto</v>
          </cell>
          <cell r="AC1243">
            <v>73300</v>
          </cell>
        </row>
        <row r="1244">
          <cell r="Z1244">
            <v>106</v>
          </cell>
          <cell r="AA1244" t="str">
            <v>Muestreo de Agua SOLIDOS SEDIMENTABLES (Incluye personal para toma de muestras, equipos, tecnicos que instalaran los equipos, desplazamientos, analisis de laboratorio, informe final)</v>
          </cell>
          <cell r="AB1244" t="str">
            <v>Punto</v>
          </cell>
          <cell r="AC1244">
            <v>76300</v>
          </cell>
        </row>
        <row r="1245">
          <cell r="Z1245">
            <v>107</v>
          </cell>
          <cell r="AA1245" t="str">
            <v>Muestreo de Agua TURBIEDAD (Incluye personal para toma de muestras, equipos, tecnicos que instalaran los equipos, desplazamientos, analisis de laboratorio, informe final)</v>
          </cell>
          <cell r="AB1245" t="str">
            <v>Punto</v>
          </cell>
          <cell r="AC1245">
            <v>67300</v>
          </cell>
        </row>
        <row r="1246">
          <cell r="Z1246">
            <v>108</v>
          </cell>
          <cell r="AA1246" t="str">
            <v>Muestreo de Agua PH (Incluye personal para toma de muestras, equipos, tecnicos que instalaran los equipos, desplazamientos, analisis de laboratorio, informe final)</v>
          </cell>
          <cell r="AB1246" t="str">
            <v>Punto</v>
          </cell>
          <cell r="AC1246">
            <v>62000</v>
          </cell>
        </row>
        <row r="1247">
          <cell r="Z1247">
            <v>109</v>
          </cell>
          <cell r="AA1247" t="str">
            <v>Muestreo de Agua SOLIDOS SUSPENDIDOS TOTALES (Incluye personal para toma de muestras, equipos, tecnicos que instalaran los equipos, desplazamientos, analisis de laboratorio, informe final)</v>
          </cell>
          <cell r="AB1247" t="str">
            <v>Punto</v>
          </cell>
          <cell r="AC1247">
            <v>76300</v>
          </cell>
        </row>
        <row r="1248">
          <cell r="Z1248">
            <v>110</v>
          </cell>
          <cell r="AA1248" t="str">
            <v>Muestreo PUNTUAL de Agua (Incluye personal para toma de muestras, equipos, tecnicos que instalaran los equipos, desplazamientos, analisis de laboratorio, informe final)</v>
          </cell>
          <cell r="AB1248" t="str">
            <v>Punto</v>
          </cell>
          <cell r="AC1248">
            <v>782800</v>
          </cell>
        </row>
        <row r="1249">
          <cell r="Z1249">
            <v>111</v>
          </cell>
          <cell r="AA1249" t="str">
            <v>Muestreo COMPUESTO de Agua (Incluye personal para toma de muestras, equipos, tecnicos que instalaran los equipos, desplazamientos, analisis de laboratorio, informe final)</v>
          </cell>
          <cell r="AB1249" t="str">
            <v>Punto</v>
          </cell>
          <cell r="AC1249">
            <v>1132800</v>
          </cell>
        </row>
        <row r="1250">
          <cell r="Z1250">
            <v>112</v>
          </cell>
          <cell r="AA1250" t="str">
            <v>Muestreo de Ruido en dos periodos (diurno y nocturno) en día laboral y festivo. (Incluye personal para toma de muestras, equipos, tecnicos para toma de muestras, desplazamientos, informe final). No tiene limite de puntos de muestreo.</v>
          </cell>
          <cell r="AB1250" t="str">
            <v>Muestreo</v>
          </cell>
          <cell r="AC1250">
            <v>5100000</v>
          </cell>
        </row>
        <row r="1251">
          <cell r="Z1251">
            <v>113</v>
          </cell>
          <cell r="AA1251" t="str">
            <v>Mapa de Ruido</v>
          </cell>
          <cell r="AB1251" t="str">
            <v>Mapa</v>
          </cell>
          <cell r="AC1251">
            <v>5100000</v>
          </cell>
        </row>
        <row r="1252">
          <cell r="Z1252">
            <v>114</v>
          </cell>
          <cell r="AA1252" t="str">
            <v>Muestreo de Aire (por dia-por estacion) PM10 - 1 estacion (Incluye personal para toma de muestras, equipos, tecnicos que instalaran los equipos, desplazamientos, analisis de laboratorio, informe final)</v>
          </cell>
          <cell r="AB1252" t="str">
            <v>Muestra / Dia</v>
          </cell>
          <cell r="AC1252">
            <v>846000.00000000012</v>
          </cell>
        </row>
        <row r="1253">
          <cell r="Z1253">
            <v>115</v>
          </cell>
          <cell r="AA1253" t="str">
            <v>Muestreo de Aire (por dia-por estacion) TSP - 1 estacion (Incluye personal para toma de muestras, equipos, tecnicos que instalaran los equipos, desplazamientos, analisis de laboratorio, informe final)</v>
          </cell>
          <cell r="AB1253" t="str">
            <v>Muestra / Dia</v>
          </cell>
          <cell r="AC1253">
            <v>1500000</v>
          </cell>
        </row>
        <row r="1254">
          <cell r="Z1254">
            <v>116</v>
          </cell>
          <cell r="AA1254" t="str">
            <v>Muestreo de Aire (por dia-por estacion) CO - 1 estacion (Incluye personal para toma de muestras, equipos, tecnicos que instalaran los equipos, desplazamientos, analisis de laboratorio, informe final)</v>
          </cell>
          <cell r="AB1254" t="str">
            <v>Muestra / Dia</v>
          </cell>
          <cell r="AC1254">
            <v>151900</v>
          </cell>
        </row>
        <row r="1255">
          <cell r="Z1255">
            <v>117</v>
          </cell>
          <cell r="AA1255" t="str">
            <v>Muestreo de Aire (por dia-por estacion) NOx - 1 estacion (Incluye personal para toma de muestras, equipos, tecnicos que instalaran los equipos, desplazamientos, analisis de laboratorio, informe final)</v>
          </cell>
          <cell r="AB1255" t="str">
            <v>Muestra / Dia</v>
          </cell>
          <cell r="AC1255">
            <v>409999.99999999994</v>
          </cell>
        </row>
        <row r="1256">
          <cell r="Z1256">
            <v>118</v>
          </cell>
          <cell r="AA1256" t="str">
            <v>Muestreo de Aire (por dia-por estacion) SOx - 1 estacion (Incluye personal para toma de muestras, equipos, tecnicos que instalaran los equipos, desplazamientos, analisis de laboratorio, informe final)</v>
          </cell>
          <cell r="AB1256" t="str">
            <v>Muestra / Dia</v>
          </cell>
          <cell r="AC1256">
            <v>640000</v>
          </cell>
        </row>
        <row r="1257">
          <cell r="Z1257">
            <v>119</v>
          </cell>
          <cell r="AA1257" t="str">
            <v>Modelacion de contaminantes (modelo avalado por EPA)</v>
          </cell>
          <cell r="AB1257" t="str">
            <v>Modelo</v>
          </cell>
          <cell r="AC1257">
            <v>3500000</v>
          </cell>
        </row>
        <row r="1258">
          <cell r="Z1258">
            <v>120</v>
          </cell>
          <cell r="AA1258" t="str">
            <v>Estimacion de resistencia del concreto con esclerometro</v>
          </cell>
          <cell r="AB1258" t="str">
            <v>un</v>
          </cell>
          <cell r="AC1258">
            <v>33800</v>
          </cell>
        </row>
        <row r="1259">
          <cell r="Z1259">
            <v>121</v>
          </cell>
          <cell r="AA1259" t="str">
            <v>Medicion de espesor de elementos metalicos por ultrasonido</v>
          </cell>
          <cell r="AB1259" t="str">
            <v>un</v>
          </cell>
          <cell r="AC1259">
            <v>81100</v>
          </cell>
        </row>
        <row r="1260">
          <cell r="Z1260">
            <v>122</v>
          </cell>
          <cell r="AA1260" t="str">
            <v>Deteccion de refuerzo con PS20</v>
          </cell>
          <cell r="AB1260" t="str">
            <v>Dia</v>
          </cell>
          <cell r="AC1260">
            <v>228300</v>
          </cell>
        </row>
        <row r="1261">
          <cell r="Z1261">
            <v>123</v>
          </cell>
          <cell r="AA1261" t="str">
            <v>Deteccion de l refuerzo utilizando FERROSCAN (lectura por elemento)</v>
          </cell>
          <cell r="AB1261" t="str">
            <v>un</v>
          </cell>
          <cell r="AC1261">
            <v>226500</v>
          </cell>
        </row>
        <row r="1262">
          <cell r="Z1262">
            <v>124</v>
          </cell>
          <cell r="AA1262" t="str">
            <v>Deteccion de l refuerzo utilizando FERROSCAN (por dia)</v>
          </cell>
          <cell r="AB1262" t="str">
            <v>Dia</v>
          </cell>
          <cell r="AC1262">
            <v>567000</v>
          </cell>
        </row>
        <row r="1263">
          <cell r="Z1263">
            <v>125</v>
          </cell>
          <cell r="AA1263" t="str">
            <v>Profundidad de carbonatacion</v>
          </cell>
          <cell r="AB1263" t="str">
            <v>un</v>
          </cell>
          <cell r="AC1263">
            <v>29099.999999999996</v>
          </cell>
        </row>
        <row r="1264">
          <cell r="Z1264">
            <v>126</v>
          </cell>
          <cell r="AA1264" t="str">
            <v>Extraccion de nucleos de concreto (Ø= 2",3", 4" y 6")</v>
          </cell>
          <cell r="AB1264" t="str">
            <v>un</v>
          </cell>
          <cell r="AC1264">
            <v>180000</v>
          </cell>
        </row>
        <row r="1265">
          <cell r="Z1265">
            <v>127</v>
          </cell>
          <cell r="AA1265" t="str">
            <v>Extraccion de nucleos de concreto asfaltico (Ø= 2",3", 4" y 6")</v>
          </cell>
          <cell r="AB1265" t="str">
            <v>un</v>
          </cell>
          <cell r="AC1265">
            <v>85000</v>
          </cell>
        </row>
        <row r="1266">
          <cell r="Z1266">
            <v>128</v>
          </cell>
          <cell r="AA1266" t="str">
            <v>Relleno de hueco nucleo extraido</v>
          </cell>
          <cell r="AB1266" t="str">
            <v>un</v>
          </cell>
          <cell r="AC1266">
            <v>70100</v>
          </cell>
        </row>
        <row r="1267">
          <cell r="Z1267">
            <v>129</v>
          </cell>
          <cell r="AA1267" t="str">
            <v>Regatas para deteccion de refuerzo</v>
          </cell>
          <cell r="AB1267" t="str">
            <v>ml</v>
          </cell>
          <cell r="AC1267">
            <v>60000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MANO_OBRA"/>
      <sheetName val="MANO_OBRA1"/>
    </sheetNames>
    <sheetDataSet>
      <sheetData sheetId="0">
        <row r="2">
          <cell r="B2">
            <v>0</v>
          </cell>
        </row>
      </sheetData>
      <sheetData sheetId="1">
        <row r="2">
          <cell r="B2">
            <v>0</v>
          </cell>
        </row>
      </sheetData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GENERALIDADES "/>
      <sheetName val="Info-Portaf"/>
      <sheetName val="Datos"/>
      <sheetName val="precios-básicos2002"/>
      <sheetName val="ITEMS"/>
      <sheetName val="Formular"/>
      <sheetName val="Recursos"/>
      <sheetName val="210.2.2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Hoja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FIBRA ÓPTICA"/>
      <sheetName val="TARIFAS"/>
      <sheetName val="Personalizar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Ventas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todos"/>
      <sheetName val="LISTADO OBRAS"/>
      <sheetName val="Dto Equipos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Datos-Gráfic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LISTADO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F DO 2004"/>
      <sheetName val="TF MT2006"/>
      <sheetName val="C OF"/>
      <sheetName val="C CAMP"/>
      <sheetName val="UT"/>
      <sheetName val="Datos"/>
      <sheetName val="Presup"/>
      <sheetName val="AIU"/>
      <sheetName val="Insum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">
          <cell r="A5" t="str">
            <v>CODIGO</v>
          </cell>
        </row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1000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  <row r="104">
          <cell r="A104" t="str">
            <v>CODIGO</v>
          </cell>
          <cell r="B104" t="str">
            <v>DESCRIPCION</v>
          </cell>
          <cell r="C104" t="str">
            <v>JORNAL</v>
          </cell>
          <cell r="D104" t="str">
            <v>PRESTACIONES</v>
          </cell>
          <cell r="E104" t="str">
            <v xml:space="preserve">JORNAL TOTAL </v>
          </cell>
        </row>
        <row r="105">
          <cell r="A105" t="str">
            <v>O0001</v>
          </cell>
          <cell r="B105" t="str">
            <v>CUADRILLA AA (Oficial + Ayudante)</v>
          </cell>
          <cell r="C105">
            <v>97782</v>
          </cell>
          <cell r="D105">
            <v>1</v>
          </cell>
          <cell r="E105">
            <v>97782</v>
          </cell>
        </row>
        <row r="106">
          <cell r="A106" t="str">
            <v>O0002</v>
          </cell>
          <cell r="B106" t="str">
            <v>AYUDANTE A</v>
          </cell>
          <cell r="C106">
            <v>37332</v>
          </cell>
          <cell r="D106">
            <v>1</v>
          </cell>
          <cell r="E106">
            <v>37332</v>
          </cell>
        </row>
        <row r="107">
          <cell r="A107" t="str">
            <v>O0011</v>
          </cell>
          <cell r="B107" t="str">
            <v>MAMPOSTERIA CUADRILLA</v>
          </cell>
          <cell r="C107">
            <v>16000</v>
          </cell>
          <cell r="D107">
            <v>1</v>
          </cell>
          <cell r="E107">
            <v>16000</v>
          </cell>
        </row>
        <row r="108">
          <cell r="A108" t="str">
            <v>O0020</v>
          </cell>
          <cell r="B108" t="str">
            <v>CUADRILLA CC (Oficial + Ayudante)</v>
          </cell>
          <cell r="C108">
            <v>112450</v>
          </cell>
          <cell r="D108">
            <v>1</v>
          </cell>
          <cell r="E108">
            <v>112450</v>
          </cell>
        </row>
        <row r="109">
          <cell r="A109" t="str">
            <v>O0021</v>
          </cell>
          <cell r="B109" t="str">
            <v>ORNAMENTADOR</v>
          </cell>
          <cell r="C109">
            <v>21000</v>
          </cell>
          <cell r="D109">
            <v>1</v>
          </cell>
          <cell r="E109">
            <v>21000</v>
          </cell>
        </row>
        <row r="110">
          <cell r="A110" t="str">
            <v>O0023</v>
          </cell>
          <cell r="B110" t="str">
            <v>EBANISTERIA</v>
          </cell>
          <cell r="C110">
            <v>14000</v>
          </cell>
          <cell r="D110">
            <v>1</v>
          </cell>
          <cell r="E110">
            <v>14000</v>
          </cell>
        </row>
        <row r="111">
          <cell r="A111" t="str">
            <v>O0026</v>
          </cell>
          <cell r="B111" t="str">
            <v>CARPINTERO</v>
          </cell>
          <cell r="C111">
            <v>17000</v>
          </cell>
          <cell r="D111">
            <v>1</v>
          </cell>
          <cell r="E111">
            <v>17000</v>
          </cell>
        </row>
        <row r="112">
          <cell r="A112" t="str">
            <v>O0027</v>
          </cell>
          <cell r="B112" t="str">
            <v>ELECTRICA</v>
          </cell>
          <cell r="C112">
            <v>20000</v>
          </cell>
          <cell r="D112">
            <v>1</v>
          </cell>
          <cell r="E112">
            <v>20000</v>
          </cell>
        </row>
        <row r="113">
          <cell r="A113" t="str">
            <v>O0035</v>
          </cell>
          <cell r="B113" t="str">
            <v>TUBERO</v>
          </cell>
          <cell r="C113">
            <v>18000</v>
          </cell>
          <cell r="D113">
            <v>1</v>
          </cell>
          <cell r="E113">
            <v>18000</v>
          </cell>
        </row>
        <row r="114">
          <cell r="A114" t="str">
            <v>O0050</v>
          </cell>
          <cell r="B114" t="str">
            <v>COMISION DE TOPOGRAFIA</v>
          </cell>
          <cell r="C114">
            <v>14000</v>
          </cell>
          <cell r="D114">
            <v>1</v>
          </cell>
          <cell r="E114">
            <v>14000</v>
          </cell>
        </row>
        <row r="115">
          <cell r="A115" t="str">
            <v>O0053</v>
          </cell>
          <cell r="B115" t="str">
            <v xml:space="preserve">METALICA </v>
          </cell>
          <cell r="C115">
            <v>18000</v>
          </cell>
          <cell r="D115">
            <v>1</v>
          </cell>
          <cell r="E115">
            <v>18000</v>
          </cell>
        </row>
        <row r="116">
          <cell r="A116" t="str">
            <v>O9999</v>
          </cell>
        </row>
        <row r="121">
          <cell r="A121" t="str">
            <v>CODIGO</v>
          </cell>
          <cell r="B121" t="str">
            <v>INSUMO</v>
          </cell>
          <cell r="C121" t="str">
            <v>UNIDAD</v>
          </cell>
          <cell r="D121" t="str">
            <v>VALOR</v>
          </cell>
          <cell r="E121" t="str">
            <v>PROVEEDOR</v>
          </cell>
        </row>
        <row r="122">
          <cell r="A122" t="str">
            <v>T0001</v>
          </cell>
          <cell r="B122" t="str">
            <v>TRANSPORTE ESCOMBROS</v>
          </cell>
          <cell r="C122" t="str">
            <v>M3-KM</v>
          </cell>
          <cell r="D122">
            <v>570</v>
          </cell>
        </row>
        <row r="123">
          <cell r="A123" t="str">
            <v>T0002</v>
          </cell>
          <cell r="B123" t="str">
            <v>TRANSPORTE DE PETREOS</v>
          </cell>
          <cell r="C123" t="str">
            <v>M3-KM</v>
          </cell>
          <cell r="D123">
            <v>530</v>
          </cell>
        </row>
        <row r="124">
          <cell r="A124" t="str">
            <v>T0003</v>
          </cell>
          <cell r="B124" t="str">
            <v>TRANSPORTE LADRILLO</v>
          </cell>
          <cell r="C124" t="str">
            <v>UND</v>
          </cell>
          <cell r="D124">
            <v>50</v>
          </cell>
        </row>
        <row r="125">
          <cell r="A125" t="str">
            <v>T9999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UADRILL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1.3"/>
      <sheetName val="Programación"/>
      <sheetName val="Presupuesto (2)"/>
      <sheetName val="Presupuesto "/>
      <sheetName val="8.3"/>
      <sheetName val="9.2"/>
      <sheetName val="12.2"/>
      <sheetName val="12.3"/>
      <sheetName val="13.1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TRANSPORTE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terventoria"/>
      <sheetName val="Preacta N°5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DES"/>
      <sheetName val="Ba Da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MATERIALES ELECTRICOS"/>
      <sheetName val="BASICOS"/>
      <sheetName val="CANTIDADES"/>
      <sheetName val="MO"/>
      <sheetName val="HERR"/>
      <sheetName val="INDIRECTOS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Informe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General"/>
      <sheetName val="HHxACT"/>
      <sheetName val="HHxACT (2)"/>
      <sheetName val="RESUMEN PROYECTO"/>
      <sheetName val="RESUMEN ESP"/>
      <sheetName val="RESUMEN (2)"/>
      <sheetName val="ANX 1 RESUMEN GENERAL (2)"/>
      <sheetName val="OBRAS SEBASTOPOL "/>
      <sheetName val="OBRAS SANTA ROSA  (2)"/>
      <sheetName val="OBRAS SANTA ROSA"/>
      <sheetName val="Proyecc 30-Nov-12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MUNICACIONES"/>
      <sheetName val="CONTROL COMUNICAC"/>
      <sheetName val="\Users\JoseGabriel\Downloads\Ví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APU BASICOS"/>
      <sheetName val="CANTIDADES Y PRECIOS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Obras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Concreto G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4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F-3 ACTA COMPROMISO"/>
      <sheetName val="APu1"/>
      <sheetName val="APu2"/>
      <sheetName val="APu3"/>
      <sheetName val="APu4"/>
      <sheetName val="FACTOR PRESTACIONAL 2008"/>
      <sheetName val="SALARIO CELADOR 2008"/>
      <sheetName val="TARIFAS DIARIO OFICIAL 2008"/>
      <sheetName val="COSTOS OFICINA"/>
      <sheetName val="COSTOS CAMPAMENTO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OFERTA ECON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UTILIDAD"/>
      <sheetName val="ANALISIS BASICOS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SUM"/>
      <sheetName val="IN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A6" t="str">
            <v>TOPÓGRAFO</v>
          </cell>
        </row>
      </sheetData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/>
      <sheetData sheetId="226"/>
      <sheetData sheetId="227"/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5">
          <cell r="A5" t="str">
            <v>Desperdicio</v>
          </cell>
        </row>
      </sheetData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>
        <row r="1">
          <cell r="A1" t="str">
            <v>ABRAZADERA DE SALIDA TIPO 1</v>
          </cell>
        </row>
      </sheetData>
      <sheetData sheetId="574" refreshError="1"/>
      <sheetData sheetId="575">
        <row r="51">
          <cell r="D51">
            <v>698</v>
          </cell>
        </row>
      </sheetData>
      <sheetData sheetId="576" refreshError="1"/>
      <sheetData sheetId="577" refreshError="1"/>
      <sheetData sheetId="578">
        <row r="33">
          <cell r="C33">
            <v>0.77967625899280601</v>
          </cell>
        </row>
      </sheetData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>
        <row r="33">
          <cell r="C33">
            <v>0.77967625899280601</v>
          </cell>
        </row>
      </sheetData>
      <sheetData sheetId="589"/>
      <sheetData sheetId="590"/>
      <sheetData sheetId="591"/>
      <sheetData sheetId="592">
        <row r="2">
          <cell r="A2" t="str">
            <v>ACTA No</v>
          </cell>
        </row>
      </sheetData>
      <sheetData sheetId="593"/>
      <sheetData sheetId="594"/>
      <sheetData sheetId="595"/>
      <sheetData sheetId="596">
        <row r="1">
          <cell r="B1" t="str">
            <v>CTO-102-2002</v>
          </cell>
        </row>
      </sheetData>
      <sheetData sheetId="597">
        <row r="5">
          <cell r="E5" t="str">
            <v>CANTIDAD</v>
          </cell>
        </row>
      </sheetData>
      <sheetData sheetId="598">
        <row r="5">
          <cell r="E5" t="str">
            <v>CANTIDAD</v>
          </cell>
        </row>
      </sheetData>
      <sheetData sheetId="599"/>
      <sheetData sheetId="600">
        <row r="50">
          <cell r="H50">
            <v>971</v>
          </cell>
        </row>
      </sheetData>
      <sheetData sheetId="601">
        <row r="50">
          <cell r="H50">
            <v>1192</v>
          </cell>
        </row>
      </sheetData>
      <sheetData sheetId="602"/>
      <sheetData sheetId="603"/>
      <sheetData sheetId="604">
        <row r="33">
          <cell r="C33">
            <v>0.77967625899280601</v>
          </cell>
        </row>
      </sheetData>
      <sheetData sheetId="605"/>
      <sheetData sheetId="606">
        <row r="4">
          <cell r="B4" t="str">
            <v xml:space="preserve"> Bisagra Pivotante </v>
          </cell>
        </row>
      </sheetData>
      <sheetData sheetId="607"/>
      <sheetData sheetId="608"/>
      <sheetData sheetId="609"/>
      <sheetData sheetId="610">
        <row r="1">
          <cell r="B1" t="str">
            <v>CTO-102-2002</v>
          </cell>
        </row>
      </sheetData>
      <sheetData sheetId="611"/>
      <sheetData sheetId="612">
        <row r="1">
          <cell r="B1" t="str">
            <v>CTO-102-2002</v>
          </cell>
        </row>
      </sheetData>
      <sheetData sheetId="613"/>
      <sheetData sheetId="614">
        <row r="33">
          <cell r="C33">
            <v>0.77967625899280601</v>
          </cell>
        </row>
      </sheetData>
      <sheetData sheetId="615"/>
      <sheetData sheetId="616">
        <row r="1">
          <cell r="A1" t="str">
            <v>1P</v>
          </cell>
        </row>
      </sheetData>
      <sheetData sheetId="617">
        <row r="50">
          <cell r="H50">
            <v>1192</v>
          </cell>
        </row>
      </sheetData>
      <sheetData sheetId="618"/>
      <sheetData sheetId="619">
        <row r="168">
          <cell r="D168">
            <v>10046</v>
          </cell>
        </row>
      </sheetData>
      <sheetData sheetId="620">
        <row r="51">
          <cell r="D51">
            <v>698</v>
          </cell>
        </row>
      </sheetData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>
        <row r="4">
          <cell r="B4" t="str">
            <v xml:space="preserve"> Bisagra Pivotante </v>
          </cell>
        </row>
      </sheetData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>
        <row r="33">
          <cell r="C33">
            <v>0.77967625899280601</v>
          </cell>
        </row>
      </sheetData>
      <sheetData sheetId="641"/>
      <sheetData sheetId="642">
        <row r="52">
          <cell r="H52">
            <v>117768</v>
          </cell>
        </row>
      </sheetData>
      <sheetData sheetId="643"/>
      <sheetData sheetId="644"/>
      <sheetData sheetId="645">
        <row r="52">
          <cell r="H52">
            <v>117768</v>
          </cell>
        </row>
      </sheetData>
      <sheetData sheetId="646"/>
      <sheetData sheetId="647">
        <row r="1">
          <cell r="A1" t="str">
            <v>ABRAZADERA DE SALIDA TIPO 1</v>
          </cell>
        </row>
      </sheetData>
      <sheetData sheetId="648">
        <row r="33">
          <cell r="C33">
            <v>0.77967625899280601</v>
          </cell>
        </row>
      </sheetData>
      <sheetData sheetId="649"/>
      <sheetData sheetId="650"/>
      <sheetData sheetId="651">
        <row r="33">
          <cell r="C33">
            <v>0.77967625899280601</v>
          </cell>
        </row>
      </sheetData>
      <sheetData sheetId="652"/>
      <sheetData sheetId="653"/>
      <sheetData sheetId="654"/>
      <sheetData sheetId="655"/>
      <sheetData sheetId="656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>
        <row r="1">
          <cell r="B1" t="str">
            <v>CTO-102-2002</v>
          </cell>
        </row>
      </sheetData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 refreshError="1"/>
      <sheetData sheetId="906">
        <row r="33">
          <cell r="G33">
            <v>0.59504299999999999</v>
          </cell>
        </row>
      </sheetData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>
        <row r="168">
          <cell r="D168">
            <v>0.16</v>
          </cell>
        </row>
      </sheetData>
      <sheetData sheetId="940"/>
      <sheetData sheetId="941">
        <row r="7">
          <cell r="B7">
            <v>1</v>
          </cell>
        </row>
      </sheetData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>
        <row r="1">
          <cell r="A1" t="str">
            <v>INSTITUTO NACIONAL DE VIAS</v>
          </cell>
        </row>
      </sheetData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>
        <row r="1">
          <cell r="A1" t="str">
            <v>INSTITUTO NACIONAL DE VIAS</v>
          </cell>
        </row>
      </sheetData>
      <sheetData sheetId="1005" refreshError="1"/>
      <sheetData sheetId="1006" refreshError="1"/>
      <sheetData sheetId="1007" refreshError="1"/>
      <sheetData sheetId="1008">
        <row r="5">
          <cell r="E5" t="str">
            <v>CANTIDAD</v>
          </cell>
        </row>
      </sheetData>
      <sheetData sheetId="1009">
        <row r="5">
          <cell r="E5" t="str">
            <v>CANTIDAD</v>
          </cell>
        </row>
      </sheetData>
      <sheetData sheetId="1010">
        <row r="5">
          <cell r="E5" t="str">
            <v>CANTIDAD</v>
          </cell>
        </row>
      </sheetData>
      <sheetData sheetId="1011">
        <row r="5">
          <cell r="E5" t="str">
            <v>CANTIDAD</v>
          </cell>
        </row>
      </sheetData>
      <sheetData sheetId="1012">
        <row r="5">
          <cell r="E5" t="str">
            <v>CANTIDAD</v>
          </cell>
        </row>
      </sheetData>
      <sheetData sheetId="1013">
        <row r="5">
          <cell r="E5" t="str">
            <v>CANTIDAD</v>
          </cell>
        </row>
      </sheetData>
      <sheetData sheetId="1014">
        <row r="5">
          <cell r="E5" t="str">
            <v>CANTIDAD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/>
      <sheetData sheetId="1547"/>
      <sheetData sheetId="1548"/>
      <sheetData sheetId="1549"/>
      <sheetData sheetId="1550"/>
      <sheetData sheetId="1551"/>
      <sheetData sheetId="1552">
        <row r="8">
          <cell r="A8">
            <v>2.1</v>
          </cell>
        </row>
      </sheetData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>
        <row r="168">
          <cell r="D168">
            <v>0.16</v>
          </cell>
        </row>
      </sheetData>
      <sheetData sheetId="1713"/>
      <sheetData sheetId="1714">
        <row r="7">
          <cell r="B7">
            <v>1</v>
          </cell>
        </row>
      </sheetData>
      <sheetData sheetId="1715">
        <row r="33">
          <cell r="G33">
            <v>0.59504299999999999</v>
          </cell>
        </row>
      </sheetData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>
        <row r="8">
          <cell r="A8">
            <v>2.1</v>
          </cell>
        </row>
      </sheetData>
      <sheetData sheetId="2425">
        <row r="8">
          <cell r="A8">
            <v>3.1</v>
          </cell>
        </row>
      </sheetData>
      <sheetData sheetId="2426"/>
      <sheetData sheetId="2427"/>
      <sheetData sheetId="2428"/>
      <sheetData sheetId="2429"/>
      <sheetData sheetId="2430"/>
      <sheetData sheetId="2431">
        <row r="3">
          <cell r="A3">
            <v>1</v>
          </cell>
        </row>
      </sheetData>
      <sheetData sheetId="2432"/>
      <sheetData sheetId="2433"/>
      <sheetData sheetId="2434"/>
      <sheetData sheetId="2435"/>
      <sheetData sheetId="2436"/>
      <sheetData sheetId="2437"/>
      <sheetData sheetId="2438">
        <row r="1">
          <cell r="A1" t="str">
            <v>LISTADO DE INSUMOS GENERAL</v>
          </cell>
        </row>
      </sheetData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>
        <row r="8">
          <cell r="A8">
            <v>2.1</v>
          </cell>
        </row>
      </sheetData>
      <sheetData sheetId="2455">
        <row r="8">
          <cell r="A8">
            <v>3.1</v>
          </cell>
        </row>
      </sheetData>
      <sheetData sheetId="2456"/>
      <sheetData sheetId="2457"/>
      <sheetData sheetId="2458">
        <row r="1">
          <cell r="A1" t="str">
            <v>ITEM</v>
          </cell>
        </row>
      </sheetData>
      <sheetData sheetId="2459">
        <row r="1">
          <cell r="A1" t="str">
            <v>EQUIPO</v>
          </cell>
        </row>
      </sheetData>
      <sheetData sheetId="2460">
        <row r="1">
          <cell r="A1" t="str">
            <v>ADMINISTRACION</v>
          </cell>
        </row>
      </sheetData>
      <sheetData sheetId="2461">
        <row r="3">
          <cell r="A3">
            <v>1</v>
          </cell>
        </row>
      </sheetData>
      <sheetData sheetId="2462"/>
      <sheetData sheetId="2463"/>
      <sheetData sheetId="2464"/>
      <sheetData sheetId="2465"/>
      <sheetData sheetId="2466"/>
      <sheetData sheetId="2467"/>
      <sheetData sheetId="2468">
        <row r="1">
          <cell r="A1" t="str">
            <v>LISTADO DE INSUMOS GENERAL</v>
          </cell>
        </row>
      </sheetData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>
        <row r="8">
          <cell r="A8">
            <v>2.1</v>
          </cell>
        </row>
      </sheetData>
      <sheetData sheetId="2489">
        <row r="8">
          <cell r="A8">
            <v>3.1</v>
          </cell>
        </row>
      </sheetData>
      <sheetData sheetId="2490">
        <row r="1">
          <cell r="A1" t="str">
            <v>ITEM</v>
          </cell>
        </row>
      </sheetData>
      <sheetData sheetId="2491">
        <row r="1">
          <cell r="A1" t="str">
            <v>EQUIPO</v>
          </cell>
        </row>
      </sheetData>
      <sheetData sheetId="2492">
        <row r="1">
          <cell r="A1" t="str">
            <v>ADMINISTRACION</v>
          </cell>
        </row>
      </sheetData>
      <sheetData sheetId="2493"/>
      <sheetData sheetId="2494"/>
      <sheetData sheetId="2495">
        <row r="3">
          <cell r="A3">
            <v>1</v>
          </cell>
        </row>
      </sheetData>
      <sheetData sheetId="2496"/>
      <sheetData sheetId="2497"/>
      <sheetData sheetId="2498">
        <row r="1">
          <cell r="A1" t="str">
            <v>ITEM</v>
          </cell>
        </row>
      </sheetData>
      <sheetData sheetId="2499">
        <row r="1">
          <cell r="A1" t="str">
            <v>EQUIPO</v>
          </cell>
        </row>
      </sheetData>
      <sheetData sheetId="2500">
        <row r="1">
          <cell r="A1" t="str">
            <v>ADMINISTRACION</v>
          </cell>
        </row>
      </sheetData>
      <sheetData sheetId="2501" refreshError="1"/>
      <sheetData sheetId="2502">
        <row r="1">
          <cell r="A1" t="str">
            <v>LISTADO DE INSUMOS GENERAL</v>
          </cell>
        </row>
      </sheetData>
      <sheetData sheetId="2503" refreshError="1"/>
      <sheetData sheetId="2504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>
        <row r="1">
          <cell r="A1" t="str">
            <v>INSTITUTO NACIONAL DE VIAS</v>
          </cell>
        </row>
      </sheetData>
      <sheetData sheetId="2712"/>
      <sheetData sheetId="2713" refreshError="1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/>
      <sheetData sheetId="2767"/>
      <sheetData sheetId="2768"/>
      <sheetData sheetId="2769"/>
      <sheetData sheetId="2770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/>
      <sheetData sheetId="2810"/>
      <sheetData sheetId="2811" refreshError="1"/>
      <sheetData sheetId="2812" refreshError="1"/>
      <sheetData sheetId="2813" refreshError="1"/>
      <sheetData sheetId="2814" refreshError="1"/>
      <sheetData sheetId="2815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/>
      <sheetData sheetId="2834">
        <row r="1">
          <cell r="A1" t="str">
            <v>EQUIPO</v>
          </cell>
        </row>
      </sheetData>
      <sheetData sheetId="2835">
        <row r="1">
          <cell r="A1" t="str">
            <v>ADMINISTRACION</v>
          </cell>
        </row>
      </sheetData>
      <sheetData sheetId="2836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>
        <row r="4">
          <cell r="B4">
            <v>12880</v>
          </cell>
        </row>
      </sheetData>
      <sheetData sheetId="2984"/>
      <sheetData sheetId="2985"/>
      <sheetData sheetId="2986"/>
      <sheetData sheetId="2987"/>
      <sheetData sheetId="2988">
        <row r="5">
          <cell r="E5" t="str">
            <v>CANTIDAD</v>
          </cell>
        </row>
      </sheetData>
      <sheetData sheetId="2989">
        <row r="5">
          <cell r="E5" t="str">
            <v>CANTIDAD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>
        <row r="5">
          <cell r="A5" t="str">
            <v>Desperdicio</v>
          </cell>
        </row>
      </sheetData>
      <sheetData sheetId="3002">
        <row r="7">
          <cell r="A7" t="str">
            <v>Herramientas Menores</v>
          </cell>
        </row>
      </sheetData>
      <sheetData sheetId="3003"/>
      <sheetData sheetId="3004">
        <row r="18">
          <cell r="C18">
            <v>7000</v>
          </cell>
        </row>
      </sheetData>
      <sheetData sheetId="3005"/>
      <sheetData sheetId="3006"/>
      <sheetData sheetId="3007"/>
      <sheetData sheetId="3008"/>
      <sheetData sheetId="3009"/>
      <sheetData sheetId="3010">
        <row r="21">
          <cell r="G21" t="b">
            <v>0</v>
          </cell>
        </row>
      </sheetData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 refreshError="1"/>
      <sheetData sheetId="3022"/>
      <sheetData sheetId="3023" refreshError="1"/>
      <sheetData sheetId="3024"/>
      <sheetData sheetId="3025"/>
      <sheetData sheetId="3026"/>
      <sheetData sheetId="3027"/>
      <sheetData sheetId="3028"/>
      <sheetData sheetId="3029" refreshError="1"/>
      <sheetData sheetId="3030" refreshError="1"/>
      <sheetData sheetId="3031"/>
      <sheetData sheetId="3032"/>
      <sheetData sheetId="3033" refreshError="1"/>
      <sheetData sheetId="3034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>
        <row r="18">
          <cell r="C18">
            <v>7000</v>
          </cell>
        </row>
      </sheetData>
      <sheetData sheetId="3052"/>
      <sheetData sheetId="3053"/>
      <sheetData sheetId="3054"/>
      <sheetData sheetId="3055" refreshError="1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 refreshError="1"/>
      <sheetData sheetId="3072"/>
      <sheetData sheetId="3073" refreshError="1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 refreshError="1"/>
      <sheetData sheetId="3084" refreshError="1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 refreshError="1"/>
      <sheetData sheetId="3104" refreshError="1"/>
      <sheetData sheetId="3105"/>
      <sheetData sheetId="3106"/>
      <sheetData sheetId="3107"/>
      <sheetData sheetId="3108"/>
      <sheetData sheetId="3109"/>
      <sheetData sheetId="3110"/>
      <sheetData sheetId="3111" refreshError="1"/>
      <sheetData sheetId="3112" refreshError="1"/>
      <sheetData sheetId="3113" refreshError="1"/>
      <sheetData sheetId="3114"/>
      <sheetData sheetId="3115" refreshError="1"/>
      <sheetData sheetId="3116" refreshError="1"/>
      <sheetData sheetId="3117"/>
      <sheetData sheetId="3118" refreshError="1"/>
      <sheetData sheetId="3119" refreshError="1"/>
      <sheetData sheetId="3120" refreshError="1"/>
      <sheetData sheetId="3121" refreshError="1"/>
      <sheetData sheetId="3122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/>
      <sheetData sheetId="3296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>
        <row r="36">
          <cell r="G36">
            <v>310000.00000097335</v>
          </cell>
        </row>
      </sheetData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>
        <row r="5">
          <cell r="E5" t="str">
            <v>CANTIDAD</v>
          </cell>
        </row>
      </sheetData>
      <sheetData sheetId="3644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>
        <row r="1">
          <cell r="A1" t="str">
            <v>EQUIPO</v>
          </cell>
        </row>
      </sheetData>
      <sheetData sheetId="4191">
        <row r="1">
          <cell r="A1" t="str">
            <v>ADMINISTRACION</v>
          </cell>
        </row>
      </sheetData>
      <sheetData sheetId="4192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/>
      <sheetData sheetId="4218" refreshError="1"/>
      <sheetData sheetId="4219" refreshError="1"/>
      <sheetData sheetId="4220" refreshError="1"/>
      <sheetData sheetId="4221" refreshError="1"/>
      <sheetData sheetId="4222"/>
      <sheetData sheetId="4223"/>
      <sheetData sheetId="4224">
        <row r="7">
          <cell r="B7">
            <v>0.1</v>
          </cell>
        </row>
      </sheetData>
      <sheetData sheetId="4225">
        <row r="7">
          <cell r="B7">
            <v>0.1</v>
          </cell>
        </row>
      </sheetData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>
        <row r="1">
          <cell r="A1" t="str">
            <v>EQUIPO</v>
          </cell>
        </row>
      </sheetData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>
        <row r="1">
          <cell r="A1" t="str">
            <v>INSTITUTO NACIONAL DE VIAS</v>
          </cell>
        </row>
      </sheetData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/>
      <sheetData sheetId="4308"/>
      <sheetData sheetId="4309"/>
      <sheetData sheetId="4310" refreshError="1"/>
      <sheetData sheetId="4311" refreshError="1"/>
      <sheetData sheetId="4312"/>
      <sheetData sheetId="4313"/>
      <sheetData sheetId="4314"/>
      <sheetData sheetId="4315"/>
      <sheetData sheetId="4316"/>
      <sheetData sheetId="4317" refreshError="1"/>
      <sheetData sheetId="4318"/>
      <sheetData sheetId="4319"/>
      <sheetData sheetId="4320"/>
      <sheetData sheetId="4321"/>
      <sheetData sheetId="4322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/>
      <sheetData sheetId="4460">
        <row r="6">
          <cell r="A6" t="str">
            <v>TOPÓGRAFO</v>
          </cell>
        </row>
      </sheetData>
      <sheetData sheetId="4461"/>
      <sheetData sheetId="4462">
        <row r="5">
          <cell r="E5" t="str">
            <v>CANTIDAD</v>
          </cell>
        </row>
      </sheetData>
      <sheetData sheetId="4463">
        <row r="5">
          <cell r="E5" t="str">
            <v>CANTIDAD</v>
          </cell>
        </row>
      </sheetData>
      <sheetData sheetId="4464">
        <row r="5">
          <cell r="E5" t="str">
            <v>CANTIDAD</v>
          </cell>
        </row>
      </sheetData>
      <sheetData sheetId="4465">
        <row r="5">
          <cell r="E5" t="str">
            <v>CANTIDAD</v>
          </cell>
        </row>
      </sheetData>
      <sheetData sheetId="4466">
        <row r="5">
          <cell r="E5" t="str">
            <v>CANTIDAD</v>
          </cell>
        </row>
      </sheetData>
      <sheetData sheetId="4467">
        <row r="5">
          <cell r="E5" t="str">
            <v>CANTIDAD</v>
          </cell>
        </row>
      </sheetData>
      <sheetData sheetId="4468">
        <row r="5">
          <cell r="E5" t="str">
            <v>CANTIDAD</v>
          </cell>
        </row>
      </sheetData>
      <sheetData sheetId="4469">
        <row r="5">
          <cell r="E5" t="str">
            <v>CANTIDAD</v>
          </cell>
        </row>
      </sheetData>
      <sheetData sheetId="4470">
        <row r="5">
          <cell r="E5" t="str">
            <v>CANTIDAD</v>
          </cell>
        </row>
      </sheetData>
      <sheetData sheetId="4471">
        <row r="5">
          <cell r="E5" t="str">
            <v>CANTIDAD</v>
          </cell>
        </row>
      </sheetData>
      <sheetData sheetId="4472">
        <row r="5">
          <cell r="E5" t="str">
            <v>CANTIDAD</v>
          </cell>
        </row>
      </sheetData>
      <sheetData sheetId="4473">
        <row r="5">
          <cell r="E5" t="str">
            <v>CANTIDAD</v>
          </cell>
        </row>
      </sheetData>
      <sheetData sheetId="4474">
        <row r="5">
          <cell r="E5" t="str">
            <v>CANTIDAD</v>
          </cell>
        </row>
      </sheetData>
      <sheetData sheetId="4475">
        <row r="5">
          <cell r="E5" t="str">
            <v>CANTIDAD</v>
          </cell>
        </row>
      </sheetData>
      <sheetData sheetId="4476">
        <row r="5">
          <cell r="E5" t="str">
            <v>CANTIDAD</v>
          </cell>
        </row>
      </sheetData>
      <sheetData sheetId="4477">
        <row r="5">
          <cell r="E5" t="str">
            <v>CANTIDAD</v>
          </cell>
        </row>
      </sheetData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>
        <row r="1">
          <cell r="A1" t="str">
            <v>INSTITUTO NACIONAL DE VIAS</v>
          </cell>
        </row>
      </sheetData>
      <sheetData sheetId="4487"/>
      <sheetData sheetId="4488">
        <row r="1">
          <cell r="A1" t="str">
            <v>INSTITUTO NACIONAL DE VIAS</v>
          </cell>
        </row>
      </sheetData>
      <sheetData sheetId="4489"/>
      <sheetData sheetId="4490"/>
      <sheetData sheetId="4491"/>
      <sheetData sheetId="4492"/>
      <sheetData sheetId="4493"/>
      <sheetData sheetId="4494">
        <row r="1">
          <cell r="A1" t="str">
            <v>INSTITUTO NACIONAL DE VIAS</v>
          </cell>
        </row>
      </sheetData>
      <sheetData sheetId="4495"/>
      <sheetData sheetId="4496">
        <row r="1">
          <cell r="A1" t="str">
            <v>INSTITUTO NACIONAL DE VIAS</v>
          </cell>
        </row>
      </sheetData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>
        <row r="1">
          <cell r="A1" t="str">
            <v>EQUIPO</v>
          </cell>
        </row>
      </sheetData>
      <sheetData sheetId="4580">
        <row r="1">
          <cell r="A1" t="str">
            <v>ADMINISTRACION</v>
          </cell>
        </row>
      </sheetData>
      <sheetData sheetId="4581">
        <row r="1">
          <cell r="A1" t="str">
            <v>EQUIPO</v>
          </cell>
        </row>
      </sheetData>
      <sheetData sheetId="4582">
        <row r="1">
          <cell r="A1" t="str">
            <v>ADMINISTRACION</v>
          </cell>
        </row>
      </sheetData>
      <sheetData sheetId="4583">
        <row r="1">
          <cell r="A1" t="str">
            <v>EQUIPO</v>
          </cell>
        </row>
      </sheetData>
      <sheetData sheetId="4584">
        <row r="1">
          <cell r="A1" t="str">
            <v>ADMINISTRACION</v>
          </cell>
        </row>
      </sheetData>
      <sheetData sheetId="4585">
        <row r="1">
          <cell r="A1" t="str">
            <v>EQUIPO</v>
          </cell>
        </row>
      </sheetData>
      <sheetData sheetId="4586">
        <row r="1">
          <cell r="A1" t="str">
            <v>ADMINISTRACION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>
        <row r="1">
          <cell r="A1" t="str">
            <v>ITEM</v>
          </cell>
        </row>
      </sheetData>
      <sheetData sheetId="4624">
        <row r="1">
          <cell r="A1" t="str">
            <v>EQUIPO</v>
          </cell>
        </row>
      </sheetData>
      <sheetData sheetId="4625">
        <row r="1">
          <cell r="A1" t="str">
            <v>ITEM</v>
          </cell>
        </row>
      </sheetData>
      <sheetData sheetId="4626">
        <row r="1">
          <cell r="A1" t="str">
            <v>EQUIPO</v>
          </cell>
        </row>
      </sheetData>
      <sheetData sheetId="4627">
        <row r="1">
          <cell r="A1" t="str">
            <v>ITEM</v>
          </cell>
        </row>
      </sheetData>
      <sheetData sheetId="4628">
        <row r="1">
          <cell r="A1" t="str">
            <v>EQUIPO</v>
          </cell>
        </row>
      </sheetData>
      <sheetData sheetId="4629">
        <row r="1">
          <cell r="A1" t="str">
            <v>ADMINISTRACION</v>
          </cell>
        </row>
      </sheetData>
      <sheetData sheetId="4630">
        <row r="1">
          <cell r="A1" t="str">
            <v>EQUIPO</v>
          </cell>
        </row>
      </sheetData>
      <sheetData sheetId="4631">
        <row r="1">
          <cell r="A1" t="str">
            <v>ADMINISTRACION</v>
          </cell>
        </row>
      </sheetData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>
        <row r="16">
          <cell r="A16" t="str">
            <v>ABONO 10-30-10</v>
          </cell>
        </row>
      </sheetData>
      <sheetData sheetId="4673"/>
      <sheetData sheetId="4674">
        <row r="16">
          <cell r="A16" t="str">
            <v>ABONO 10-30-10</v>
          </cell>
        </row>
      </sheetData>
      <sheetData sheetId="4675"/>
      <sheetData sheetId="4676">
        <row r="16">
          <cell r="A16" t="str">
            <v>ABONO 10-30-10</v>
          </cell>
        </row>
      </sheetData>
      <sheetData sheetId="4677"/>
      <sheetData sheetId="4678">
        <row r="16">
          <cell r="A16" t="str">
            <v>ABONO 10-30-10</v>
          </cell>
        </row>
      </sheetData>
      <sheetData sheetId="4679">
        <row r="6">
          <cell r="A6" t="str">
            <v>TOPÓGRAFO</v>
          </cell>
        </row>
      </sheetData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 refreshError="1"/>
      <sheetData sheetId="4696" refreshError="1"/>
      <sheetData sheetId="4697"/>
      <sheetData sheetId="4698" refreshError="1"/>
      <sheetData sheetId="4699" refreshError="1"/>
      <sheetData sheetId="4700" refreshError="1"/>
      <sheetData sheetId="4701"/>
      <sheetData sheetId="4702" refreshError="1"/>
      <sheetData sheetId="4703"/>
      <sheetData sheetId="4704"/>
      <sheetData sheetId="4705"/>
      <sheetData sheetId="4706"/>
      <sheetData sheetId="4707">
        <row r="1">
          <cell r="C1">
            <v>0.2</v>
          </cell>
        </row>
      </sheetData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/>
      <sheetData sheetId="4789" refreshError="1"/>
      <sheetData sheetId="4790">
        <row r="1">
          <cell r="B1" t="str">
            <v>CTO-102-2002</v>
          </cell>
        </row>
      </sheetData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>
        <row r="2">
          <cell r="A2" t="str">
            <v>ACTA No</v>
          </cell>
        </row>
      </sheetData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>
        <row r="2">
          <cell r="A2" t="str">
            <v>ACTA No</v>
          </cell>
        </row>
      </sheetData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>
        <row r="33">
          <cell r="C33">
            <v>0.77967625899280601</v>
          </cell>
        </row>
      </sheetData>
      <sheetData sheetId="4825"/>
      <sheetData sheetId="4826"/>
      <sheetData sheetId="4827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/>
      <sheetData sheetId="4863"/>
      <sheetData sheetId="4864"/>
      <sheetData sheetId="4865">
        <row r="1">
          <cell r="A1" t="str">
            <v>ITEM</v>
          </cell>
        </row>
      </sheetData>
      <sheetData sheetId="4866">
        <row r="1">
          <cell r="A1" t="str">
            <v>ADMINISTRACION</v>
          </cell>
        </row>
      </sheetData>
      <sheetData sheetId="4867"/>
      <sheetData sheetId="4868"/>
      <sheetData sheetId="4869"/>
      <sheetData sheetId="4870"/>
      <sheetData sheetId="4871"/>
      <sheetData sheetId="4872" refreshError="1"/>
      <sheetData sheetId="4873" refreshError="1"/>
      <sheetData sheetId="4874"/>
      <sheetData sheetId="4875"/>
      <sheetData sheetId="4876">
        <row r="1">
          <cell r="A1" t="str">
            <v>ITEM</v>
          </cell>
        </row>
      </sheetData>
      <sheetData sheetId="4877">
        <row r="1">
          <cell r="A1" t="str">
            <v>EQUIPO</v>
          </cell>
        </row>
      </sheetData>
      <sheetData sheetId="4878">
        <row r="1">
          <cell r="A1" t="str">
            <v>ADMINISTRACION</v>
          </cell>
        </row>
      </sheetData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 refreshError="1"/>
      <sheetData sheetId="4949" refreshError="1"/>
      <sheetData sheetId="4950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/>
      <sheetData sheetId="4986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/>
      <sheetData sheetId="5055"/>
      <sheetData sheetId="5056" refreshError="1"/>
      <sheetData sheetId="5057" refreshError="1"/>
      <sheetData sheetId="5058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>
        <row r="1">
          <cell r="A1" t="str">
            <v>EQUIPO</v>
          </cell>
        </row>
      </sheetData>
      <sheetData sheetId="5098">
        <row r="1">
          <cell r="A1" t="str">
            <v>ADMINISTRACION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/>
      <sheetData sheetId="5122"/>
      <sheetData sheetId="5123" refreshError="1"/>
      <sheetData sheetId="5124"/>
      <sheetData sheetId="5125" refreshError="1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1">
          <cell r="A1" t="str">
            <v>ITEM</v>
          </cell>
        </row>
      </sheetData>
      <sheetData sheetId="5137">
        <row r="1">
          <cell r="A1" t="str">
            <v>EQUIPO</v>
          </cell>
        </row>
      </sheetData>
      <sheetData sheetId="5138">
        <row r="1">
          <cell r="A1" t="str">
            <v>ADMINISTRACION</v>
          </cell>
        </row>
      </sheetData>
      <sheetData sheetId="5139">
        <row r="1">
          <cell r="A1" t="str">
            <v>INSTITUTO NACIONAL DE VIAS</v>
          </cell>
        </row>
      </sheetData>
      <sheetData sheetId="5140" refreshError="1"/>
      <sheetData sheetId="5141" refreshError="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/>
      <sheetData sheetId="5221"/>
      <sheetData sheetId="5222"/>
      <sheetData sheetId="5223"/>
      <sheetData sheetId="5224"/>
      <sheetData sheetId="5225"/>
      <sheetData sheetId="5226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/>
      <sheetData sheetId="5251"/>
      <sheetData sheetId="5252"/>
      <sheetData sheetId="5253" refreshError="1"/>
      <sheetData sheetId="5254">
        <row r="525">
          <cell r="K525">
            <v>1695.87</v>
          </cell>
        </row>
      </sheetData>
      <sheetData sheetId="5255">
        <row r="525">
          <cell r="K525">
            <v>3577.94</v>
          </cell>
        </row>
      </sheetData>
      <sheetData sheetId="5256">
        <row r="525">
          <cell r="K525">
            <v>5147.76</v>
          </cell>
        </row>
      </sheetData>
      <sheetData sheetId="5257">
        <row r="525">
          <cell r="K525">
            <v>4940.1099999999997</v>
          </cell>
        </row>
      </sheetData>
      <sheetData sheetId="5258">
        <row r="526">
          <cell r="K526">
            <v>695.98</v>
          </cell>
        </row>
      </sheetData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/>
      <sheetData sheetId="5291"/>
      <sheetData sheetId="5292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>
        <row r="36">
          <cell r="G36">
            <v>271000.00000162207</v>
          </cell>
        </row>
      </sheetData>
      <sheetData sheetId="5655">
        <row r="33">
          <cell r="G33">
            <v>283000.00002693152</v>
          </cell>
        </row>
      </sheetData>
      <sheetData sheetId="5656">
        <row r="33">
          <cell r="G33">
            <v>290000.00000013626</v>
          </cell>
        </row>
      </sheetData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/>
      <sheetData sheetId="5739"/>
      <sheetData sheetId="5740">
        <row r="1">
          <cell r="W1" t="str">
            <v>TR0001</v>
          </cell>
        </row>
      </sheetData>
      <sheetData sheetId="5741"/>
      <sheetData sheetId="5742"/>
      <sheetData sheetId="5743"/>
      <sheetData sheetId="5744"/>
      <sheetData sheetId="5745"/>
      <sheetData sheetId="5746"/>
      <sheetData sheetId="5747">
        <row r="2">
          <cell r="C2">
            <v>2</v>
          </cell>
        </row>
      </sheetData>
      <sheetData sheetId="5748"/>
      <sheetData sheetId="5749">
        <row r="5">
          <cell r="G5">
            <v>1</v>
          </cell>
        </row>
      </sheetData>
      <sheetData sheetId="5750"/>
      <sheetData sheetId="5751" refreshError="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 refreshError="1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>
        <row r="9">
          <cell r="E9">
            <v>19.379681052981429</v>
          </cell>
        </row>
      </sheetData>
      <sheetData sheetId="5775">
        <row r="9">
          <cell r="E9">
            <v>19.372852455375334</v>
          </cell>
        </row>
      </sheetData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/>
      <sheetData sheetId="5897">
        <row r="8">
          <cell r="E8">
            <v>1939047</v>
          </cell>
        </row>
      </sheetData>
      <sheetData sheetId="5898"/>
      <sheetData sheetId="5899"/>
      <sheetData sheetId="5900"/>
      <sheetData sheetId="5901"/>
      <sheetData sheetId="5902"/>
      <sheetData sheetId="5903"/>
      <sheetData sheetId="5904" refreshError="1"/>
      <sheetData sheetId="5905"/>
      <sheetData sheetId="5906" refreshError="1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 refreshError="1"/>
      <sheetData sheetId="5927">
        <row r="1">
          <cell r="A1" t="str">
            <v>Name</v>
          </cell>
        </row>
      </sheetData>
      <sheetData sheetId="5928"/>
      <sheetData sheetId="5929"/>
      <sheetData sheetId="5930"/>
      <sheetData sheetId="5931"/>
      <sheetData sheetId="5932"/>
      <sheetData sheetId="5933"/>
      <sheetData sheetId="5934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/>
      <sheetData sheetId="6008"/>
      <sheetData sheetId="6009" refreshError="1"/>
      <sheetData sheetId="6010"/>
      <sheetData sheetId="6011" refreshError="1"/>
      <sheetData sheetId="6012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/>
      <sheetData sheetId="6023"/>
      <sheetData sheetId="6024"/>
      <sheetData sheetId="6025"/>
      <sheetData sheetId="6026">
        <row r="1">
          <cell r="C1">
            <v>0.2</v>
          </cell>
        </row>
      </sheetData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/>
      <sheetData sheetId="6052"/>
      <sheetData sheetId="6053"/>
      <sheetData sheetId="6054"/>
      <sheetData sheetId="6055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/>
      <sheetData sheetId="6113"/>
      <sheetData sheetId="6114">
        <row r="1">
          <cell r="A1" t="str">
            <v>ITEM</v>
          </cell>
        </row>
      </sheetData>
      <sheetData sheetId="6115">
        <row r="1">
          <cell r="A1" t="str">
            <v>ADMINISTRACION</v>
          </cell>
        </row>
      </sheetData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/>
      <sheetData sheetId="6222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/>
      <sheetData sheetId="6298"/>
      <sheetData sheetId="6299" refreshError="1"/>
      <sheetData sheetId="6300" refreshError="1"/>
      <sheetData sheetId="6301">
        <row r="1">
          <cell r="A1" t="str">
            <v>INSTITUTO NACIONAL DE VIAS</v>
          </cell>
        </row>
      </sheetData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>
        <row r="1">
          <cell r="A1" t="str">
            <v>INSTITUTO NACIONAL DE VIAS</v>
          </cell>
        </row>
      </sheetData>
      <sheetData sheetId="6341"/>
      <sheetData sheetId="6342"/>
      <sheetData sheetId="6343"/>
      <sheetData sheetId="6344"/>
      <sheetData sheetId="6345"/>
      <sheetData sheetId="6346"/>
      <sheetData sheetId="6347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 refreshError="1"/>
      <sheetData sheetId="6384" refreshError="1"/>
      <sheetData sheetId="6385">
        <row r="2">
          <cell r="A2" t="str">
            <v>ACTA No</v>
          </cell>
        </row>
      </sheetData>
      <sheetData sheetId="6386"/>
      <sheetData sheetId="6387"/>
      <sheetData sheetId="6388"/>
      <sheetData sheetId="6389"/>
      <sheetData sheetId="6390"/>
      <sheetData sheetId="6391"/>
      <sheetData sheetId="6392"/>
      <sheetData sheetId="6393">
        <row r="1">
          <cell r="A1" t="str">
            <v>Name</v>
          </cell>
        </row>
      </sheetData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>
        <row r="1">
          <cell r="A1" t="str">
            <v>Name</v>
          </cell>
        </row>
      </sheetData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>
        <row r="1">
          <cell r="A1" t="str">
            <v>INSTITUTO NACIONAL DE VIAS</v>
          </cell>
        </row>
      </sheetData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/>
      <sheetData sheetId="6564"/>
      <sheetData sheetId="6565">
        <row r="14">
          <cell r="D14">
            <v>38504</v>
          </cell>
        </row>
      </sheetData>
      <sheetData sheetId="6566"/>
      <sheetData sheetId="6567">
        <row r="14">
          <cell r="D14">
            <v>38504</v>
          </cell>
        </row>
      </sheetData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/>
      <sheetData sheetId="6879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/>
      <sheetData sheetId="6899"/>
      <sheetData sheetId="6900">
        <row r="2">
          <cell r="A2" t="str">
            <v>HOSPITAL HERNANDO MONCALEANO PERDOMO ETAPA 1</v>
          </cell>
        </row>
      </sheetData>
      <sheetData sheetId="6901"/>
      <sheetData sheetId="6902">
        <row r="2">
          <cell r="A2" t="str">
            <v>HOSPITAL HERNANDO MONCALEANO PERDOMO ETAPA 2 A</v>
          </cell>
        </row>
      </sheetData>
      <sheetData sheetId="6903">
        <row r="2">
          <cell r="A2" t="str">
            <v>HOSPITAL HERNANDO MONCALEANO PERDOMO ETAPA 2B</v>
          </cell>
        </row>
      </sheetData>
      <sheetData sheetId="6904"/>
      <sheetData sheetId="6905"/>
      <sheetData sheetId="6906"/>
      <sheetData sheetId="6907"/>
      <sheetData sheetId="6908"/>
      <sheetData sheetId="6909"/>
      <sheetData sheetId="6910" refreshError="1"/>
      <sheetData sheetId="6911"/>
      <sheetData sheetId="6912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/>
      <sheetData sheetId="7364" refreshError="1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/>
      <sheetData sheetId="7392" refreshError="1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 refreshError="1"/>
      <sheetData sheetId="7429" refreshError="1"/>
      <sheetData sheetId="7430" refreshError="1"/>
      <sheetData sheetId="7431"/>
      <sheetData sheetId="7432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/>
      <sheetData sheetId="7444" refreshError="1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 refreshError="1"/>
      <sheetData sheetId="7458" refreshError="1"/>
      <sheetData sheetId="7459" refreshError="1"/>
      <sheetData sheetId="7460" refreshError="1"/>
      <sheetData sheetId="7461"/>
      <sheetData sheetId="7462"/>
      <sheetData sheetId="7463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/>
      <sheetData sheetId="7488" refreshError="1"/>
      <sheetData sheetId="7489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/>
      <sheetData sheetId="7719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/>
      <sheetData sheetId="7726"/>
      <sheetData sheetId="7727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>
        <row r="10">
          <cell r="M10">
            <v>2.7679999999999998</v>
          </cell>
        </row>
      </sheetData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/>
      <sheetData sheetId="8121"/>
      <sheetData sheetId="8122"/>
      <sheetData sheetId="8123"/>
      <sheetData sheetId="8124"/>
      <sheetData sheetId="8125" refreshError="1"/>
      <sheetData sheetId="8126" refreshError="1"/>
      <sheetData sheetId="8127"/>
      <sheetData sheetId="8128"/>
      <sheetData sheetId="8129"/>
      <sheetData sheetId="8130"/>
      <sheetData sheetId="8131"/>
      <sheetData sheetId="8132"/>
      <sheetData sheetId="8133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/>
      <sheetData sheetId="8295" refreshError="1"/>
      <sheetData sheetId="8296" refreshError="1"/>
      <sheetData sheetId="8297" refreshError="1"/>
      <sheetData sheetId="8298" refreshError="1"/>
      <sheetData sheetId="8299"/>
      <sheetData sheetId="8300"/>
      <sheetData sheetId="8301"/>
      <sheetData sheetId="8302"/>
      <sheetData sheetId="8303">
        <row r="47">
          <cell r="H47">
            <v>17098.051632633331</v>
          </cell>
        </row>
      </sheetData>
      <sheetData sheetId="8304">
        <row r="47">
          <cell r="H47">
            <v>13407.454219619998</v>
          </cell>
        </row>
      </sheetData>
      <sheetData sheetId="8305">
        <row r="47">
          <cell r="H47">
            <v>13178.048204541665</v>
          </cell>
        </row>
      </sheetData>
      <sheetData sheetId="8306">
        <row r="47">
          <cell r="H47">
            <v>17098.051632633331</v>
          </cell>
        </row>
      </sheetData>
      <sheetData sheetId="8307">
        <row r="47">
          <cell r="H47">
            <v>13407.454219619998</v>
          </cell>
        </row>
      </sheetData>
      <sheetData sheetId="8308">
        <row r="47">
          <cell r="H47">
            <v>13178.048204541665</v>
          </cell>
        </row>
      </sheetData>
      <sheetData sheetId="8309">
        <row r="47">
          <cell r="H47">
            <v>19729.199486104168</v>
          </cell>
        </row>
      </sheetData>
      <sheetData sheetId="8310">
        <row r="47">
          <cell r="H47">
            <v>38405.002915416662</v>
          </cell>
        </row>
      </sheetData>
      <sheetData sheetId="8311">
        <row r="47">
          <cell r="H47">
            <v>41159.979021230996</v>
          </cell>
        </row>
      </sheetData>
      <sheetData sheetId="8312">
        <row r="47">
          <cell r="H47">
            <v>16020</v>
          </cell>
        </row>
      </sheetData>
      <sheetData sheetId="8313">
        <row r="47">
          <cell r="H47">
            <v>11675</v>
          </cell>
        </row>
      </sheetData>
      <sheetData sheetId="8314">
        <row r="47">
          <cell r="H47">
            <v>382683.1643235588</v>
          </cell>
        </row>
      </sheetData>
      <sheetData sheetId="8315">
        <row r="47">
          <cell r="H47">
            <v>27108.482479999999</v>
          </cell>
        </row>
      </sheetData>
      <sheetData sheetId="8316">
        <row r="47">
          <cell r="H47">
            <v>18945.0351992</v>
          </cell>
        </row>
      </sheetData>
      <sheetData sheetId="8317">
        <row r="47">
          <cell r="H47">
            <v>88016.225274879995</v>
          </cell>
        </row>
      </sheetData>
      <sheetData sheetId="8318">
        <row r="47">
          <cell r="H47">
            <v>11296.680928966078</v>
          </cell>
        </row>
      </sheetData>
      <sheetData sheetId="8319">
        <row r="47">
          <cell r="H47">
            <v>19660.483631249997</v>
          </cell>
        </row>
      </sheetData>
      <sheetData sheetId="8320">
        <row r="47">
          <cell r="H47">
            <v>19660.483631249997</v>
          </cell>
        </row>
      </sheetData>
      <sheetData sheetId="8321">
        <row r="47">
          <cell r="H47">
            <v>19660.483631249997</v>
          </cell>
        </row>
      </sheetData>
      <sheetData sheetId="8322">
        <row r="47">
          <cell r="H47">
            <v>39947.116768272004</v>
          </cell>
        </row>
      </sheetData>
      <sheetData sheetId="8323">
        <row r="47">
          <cell r="H47">
            <v>37450.421970255004</v>
          </cell>
        </row>
      </sheetData>
      <sheetData sheetId="8324">
        <row r="47">
          <cell r="H47">
            <v>5631.4338221939006</v>
          </cell>
        </row>
      </sheetData>
      <sheetData sheetId="8325">
        <row r="47">
          <cell r="H47">
            <v>29691.867138751997</v>
          </cell>
        </row>
      </sheetData>
      <sheetData sheetId="8326">
        <row r="47">
          <cell r="H47">
            <v>10601.359883464</v>
          </cell>
        </row>
      </sheetData>
      <sheetData sheetId="8327">
        <row r="47">
          <cell r="H47">
            <v>16440.07876665</v>
          </cell>
        </row>
      </sheetData>
      <sheetData sheetId="8328">
        <row r="47">
          <cell r="H47">
            <v>7502.6541280530009</v>
          </cell>
        </row>
      </sheetData>
      <sheetData sheetId="8329">
        <row r="47">
          <cell r="H47">
            <v>63269.394041350002</v>
          </cell>
        </row>
      </sheetData>
      <sheetData sheetId="8330">
        <row r="47">
          <cell r="H47">
            <v>38708.912732384997</v>
          </cell>
        </row>
      </sheetData>
      <sheetData sheetId="8331">
        <row r="47">
          <cell r="H47">
            <v>30140.654422727453</v>
          </cell>
        </row>
      </sheetData>
      <sheetData sheetId="8332">
        <row r="47">
          <cell r="H47">
            <v>39628.094655192057</v>
          </cell>
        </row>
      </sheetData>
      <sheetData sheetId="8333">
        <row r="47">
          <cell r="H47">
            <v>38729.542446049003</v>
          </cell>
        </row>
      </sheetData>
      <sheetData sheetId="8334">
        <row r="47">
          <cell r="H47">
            <v>7116.936965586</v>
          </cell>
        </row>
      </sheetData>
      <sheetData sheetId="8335">
        <row r="47">
          <cell r="H47">
            <v>9391.2743470000005</v>
          </cell>
        </row>
      </sheetData>
      <sheetData sheetId="8336">
        <row r="47">
          <cell r="H47">
            <v>8500.0189065630984</v>
          </cell>
        </row>
      </sheetData>
      <sheetData sheetId="8337">
        <row r="47">
          <cell r="H47">
            <v>32499.094423904498</v>
          </cell>
        </row>
      </sheetData>
      <sheetData sheetId="8338">
        <row r="47">
          <cell r="H47">
            <v>51817.028777055006</v>
          </cell>
        </row>
      </sheetData>
      <sheetData sheetId="8339">
        <row r="47">
          <cell r="H47">
            <v>55430.1575333</v>
          </cell>
        </row>
      </sheetData>
      <sheetData sheetId="8340">
        <row r="47">
          <cell r="H47">
            <v>25786.003498499998</v>
          </cell>
        </row>
      </sheetData>
      <sheetData sheetId="8341">
        <row r="47">
          <cell r="H47">
            <v>21993.806973733335</v>
          </cell>
        </row>
      </sheetData>
      <sheetData sheetId="8342"/>
      <sheetData sheetId="8343"/>
      <sheetData sheetId="8344"/>
      <sheetData sheetId="8345">
        <row r="47">
          <cell r="H47">
            <v>21941.348275</v>
          </cell>
        </row>
      </sheetData>
      <sheetData sheetId="8346">
        <row r="47">
          <cell r="H47">
            <v>576269.26239999989</v>
          </cell>
        </row>
      </sheetData>
      <sheetData sheetId="8347">
        <row r="48">
          <cell r="H48">
            <v>640370.66537874995</v>
          </cell>
        </row>
      </sheetData>
      <sheetData sheetId="8348">
        <row r="47">
          <cell r="H47">
            <v>21941.348275</v>
          </cell>
        </row>
      </sheetData>
      <sheetData sheetId="8349">
        <row r="47">
          <cell r="H47">
            <v>576269.26239999989</v>
          </cell>
        </row>
      </sheetData>
      <sheetData sheetId="8350">
        <row r="47">
          <cell r="H47">
            <v>9078.6352040999991</v>
          </cell>
        </row>
      </sheetData>
      <sheetData sheetId="8351">
        <row r="49">
          <cell r="H49">
            <v>83961.133243064003</v>
          </cell>
        </row>
      </sheetData>
      <sheetData sheetId="8352">
        <row r="47">
          <cell r="H47">
            <v>14670.136122054002</v>
          </cell>
        </row>
      </sheetData>
      <sheetData sheetId="8353">
        <row r="47">
          <cell r="H47">
            <v>9078.6352040999991</v>
          </cell>
        </row>
      </sheetData>
      <sheetData sheetId="8354">
        <row r="51">
          <cell r="H51">
            <v>117309.4992738</v>
          </cell>
        </row>
      </sheetData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 refreshError="1"/>
      <sheetData sheetId="948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Expo Terrestre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ACTUALIZADOS FERRASA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.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 Liquidacion de Obra por Tramos"/>
      <sheetName val="c2.5y2.6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Presup_Cancha"/>
      <sheetName val="REC-COD,"/>
      <sheetName val="SALARIOS"/>
      <sheetName val="APU NO PREVISTO"/>
      <sheetName val="PPTA (3)"/>
      <sheetName val="PPTA (2)"/>
      <sheetName val="PPTA"/>
      <sheetName val="Lp"/>
      <sheetName val="Requisición1"/>
      <sheetName val="2,2,6,1 Pilotes 0,30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LISTA DE PRECIO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062"/>
      <sheetName val="Listado"/>
      <sheetName val="mdo"/>
      <sheetName val="equip"/>
      <sheetName val="mat"/>
      <sheetName val="CIRCUITOS CODENSA"/>
      <sheetName val="5. ELECTRIC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materiales"/>
      <sheetName val="otros"/>
      <sheetName val="APU"/>
      <sheetName val="Bajadas"/>
      <sheetName val="NARIÑO"/>
      <sheetName val="OCTUBRE"/>
      <sheetName val="Summary"/>
      <sheetName val="CODCONST"/>
      <sheetName val="7.1.8.1.1"/>
      <sheetName val="Cuadr."/>
      <sheetName val="PUNITARIOS PARA 241201 2S.xls"/>
      <sheetName val="OBRAS SES"/>
      <sheetName val="TABLA_2008"/>
      <sheetName val="ESTADO_VÍA-CRIT_TECNICO"/>
      <sheetName val="ACTA MODIFICACIÓN CIVIL"/>
      <sheetName val="CONT_ADI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BALANCE"/>
      <sheetName val="ITEMS NO REVISTOS"/>
      <sheetName val="APU ELECTRICOS"/>
      <sheetName val="PERSONAL"/>
      <sheetName val="Tarifa MT"/>
      <sheetName val="Hoja2"/>
      <sheetName val="Excavación_Mat__Común_Estacione"/>
      <sheetName val="Demolición_Pavimento"/>
      <sheetName val="SUB_APU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EACTA Y CONTRATISTAS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Poblacion"/>
      <sheetName val="glvc"/>
      <sheetName val="CURVA"/>
      <sheetName val="DEST. MEDIOS"/>
      <sheetName val="COMBUASF"/>
      <sheetName val="BALCRUDO"/>
      <sheetName val="CARGASPROC."/>
      <sheetName val="G L P  FINAL"/>
      <sheetName val="BASE"/>
      <sheetName val="CHINCHINA FINAL . A CEROS"/>
      <sheetName val="Memoria de calculo"/>
      <sheetName val="Proveedores y acreedores"/>
      <sheetName val="c2_5y2_614"/>
      <sheetName val="costos oficina"/>
      <sheetName val="costos campamento"/>
      <sheetName val="días habiles 2015"/>
      <sheetName val="for 6"/>
      <sheetName val="Hoja3"/>
      <sheetName val="DATOS CONTRA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 refreshError="1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/>
      <sheetData sheetId="117">
        <row r="48">
          <cell r="E48">
            <v>0</v>
          </cell>
        </row>
      </sheetData>
      <sheetData sheetId="118"/>
      <sheetData sheetId="119"/>
      <sheetData sheetId="120" refreshError="1"/>
      <sheetData sheetId="121" refreshError="1"/>
      <sheetData sheetId="122" refreshError="1"/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>
        <row r="48">
          <cell r="E48">
            <v>0</v>
          </cell>
        </row>
      </sheetData>
      <sheetData sheetId="186"/>
      <sheetData sheetId="187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>
        <row r="48">
          <cell r="E48">
            <v>0</v>
          </cell>
        </row>
      </sheetData>
      <sheetData sheetId="317" refreshError="1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rEqpBasica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rofesional"/>
      <sheetName val="B. Técnico - Tecnólogo"/>
      <sheetName val="C. Operario - Apoyo Gestion"/>
      <sheetName val="D. Equipos"/>
      <sheetName val="E. Ensayos de Laboratorio"/>
    </sheetNames>
    <sheetDataSet>
      <sheetData sheetId="0" refreshError="1">
        <row r="3">
          <cell r="M3">
            <v>26049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/>
      <sheetData sheetId="1">
        <row r="52">
          <cell r="B52" t="str">
            <v>ANTICIPO</v>
          </cell>
        </row>
        <row r="53">
          <cell r="A53">
            <v>1</v>
          </cell>
          <cell r="B53" t="str">
            <v>ACTA No.01</v>
          </cell>
          <cell r="C53">
            <v>39064</v>
          </cell>
          <cell r="D53">
            <v>10832075</v>
          </cell>
        </row>
        <row r="54">
          <cell r="A54">
            <v>2</v>
          </cell>
          <cell r="B54" t="str">
            <v>ACTA No.02</v>
          </cell>
          <cell r="C54">
            <v>39095</v>
          </cell>
          <cell r="D54">
            <v>29997397</v>
          </cell>
        </row>
        <row r="55">
          <cell r="A55">
            <v>3</v>
          </cell>
          <cell r="B55" t="str">
            <v>ACTA No.03</v>
          </cell>
          <cell r="C55">
            <v>39126</v>
          </cell>
          <cell r="D55">
            <v>7385072</v>
          </cell>
        </row>
        <row r="56">
          <cell r="A56">
            <v>4</v>
          </cell>
          <cell r="B56" t="str">
            <v>ACTA No.04</v>
          </cell>
          <cell r="C56">
            <v>39154</v>
          </cell>
          <cell r="D56">
            <v>267153246</v>
          </cell>
        </row>
        <row r="57">
          <cell r="A57">
            <v>5</v>
          </cell>
          <cell r="B57" t="str">
            <v>ACTA No.05</v>
          </cell>
          <cell r="C57">
            <v>39185</v>
          </cell>
          <cell r="D57">
            <v>113998080</v>
          </cell>
        </row>
        <row r="58">
          <cell r="A58">
            <v>6</v>
          </cell>
          <cell r="B58" t="str">
            <v>ACTA No.06</v>
          </cell>
          <cell r="C58">
            <v>39215</v>
          </cell>
          <cell r="D58">
            <v>91886970</v>
          </cell>
        </row>
        <row r="59">
          <cell r="A59">
            <v>7</v>
          </cell>
          <cell r="B59" t="str">
            <v>ACTA No.07</v>
          </cell>
          <cell r="C59">
            <v>39246</v>
          </cell>
          <cell r="D59">
            <v>322219785</v>
          </cell>
        </row>
        <row r="60">
          <cell r="A60">
            <v>8</v>
          </cell>
          <cell r="B60" t="str">
            <v>ACTA No.08</v>
          </cell>
          <cell r="C60">
            <v>39276</v>
          </cell>
          <cell r="D60">
            <v>416282186</v>
          </cell>
        </row>
        <row r="61">
          <cell r="A61">
            <v>9</v>
          </cell>
          <cell r="B61" t="str">
            <v>ACTA No.09</v>
          </cell>
          <cell r="C61">
            <v>39307</v>
          </cell>
          <cell r="D61">
            <v>0</v>
          </cell>
        </row>
        <row r="62">
          <cell r="A62">
            <v>10</v>
          </cell>
          <cell r="B62" t="str">
            <v>ACTA No.10</v>
          </cell>
          <cell r="C62">
            <v>39338</v>
          </cell>
          <cell r="D62">
            <v>0</v>
          </cell>
        </row>
        <row r="63">
          <cell r="A63">
            <v>7</v>
          </cell>
          <cell r="B63" t="str">
            <v>ACTA No.08</v>
          </cell>
          <cell r="C63">
            <v>39276</v>
          </cell>
          <cell r="D63">
            <v>416282186</v>
          </cell>
        </row>
        <row r="64">
          <cell r="B64" t="str">
            <v>TOTALES</v>
          </cell>
          <cell r="D64">
            <v>1259754811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5"/>
  <sheetViews>
    <sheetView tabSelected="1" view="pageBreakPreview" topLeftCell="A43" zoomScale="54" zoomScaleNormal="54" zoomScaleSheetLayoutView="54" workbookViewId="0">
      <selection activeCell="P193" sqref="P193"/>
    </sheetView>
  </sheetViews>
  <sheetFormatPr baseColWidth="10" defaultColWidth="11.28515625" defaultRowHeight="16.5" customHeight="1" x14ac:dyDescent="0.25"/>
  <cols>
    <col min="1" max="1" width="4.85546875" style="20" customWidth="1"/>
    <col min="2" max="2" width="3" style="20" customWidth="1"/>
    <col min="3" max="3" width="8.140625" style="20" customWidth="1"/>
    <col min="4" max="4" width="14" style="20" customWidth="1"/>
    <col min="5" max="5" width="27.28515625" style="20" customWidth="1"/>
    <col min="6" max="6" width="19.28515625" style="20" customWidth="1"/>
    <col min="7" max="7" width="15.42578125" style="20" customWidth="1"/>
    <col min="8" max="8" width="56.85546875" style="20" customWidth="1"/>
    <col min="9" max="9" width="7.7109375" style="227" customWidth="1"/>
    <col min="10" max="10" width="13.140625" style="227" customWidth="1"/>
    <col min="11" max="11" width="21.140625" style="20" customWidth="1"/>
    <col min="12" max="12" width="16.5703125" style="227" customWidth="1"/>
    <col min="13" max="13" width="31.140625" style="20" customWidth="1"/>
    <col min="14" max="14" width="3.7109375" style="2" customWidth="1"/>
    <col min="15" max="15" width="4.140625" style="2" customWidth="1"/>
    <col min="16" max="16" width="29.7109375" style="2" customWidth="1"/>
    <col min="17" max="17" width="11.28515625" style="2" customWidth="1"/>
    <col min="18" max="16384" width="11.28515625" style="2"/>
  </cols>
  <sheetData>
    <row r="1" spans="1:16" customFormat="1" ht="15" x14ac:dyDescent="0.25">
      <c r="A1" s="14"/>
      <c r="B1" s="296" t="s">
        <v>140</v>
      </c>
      <c r="C1" s="296"/>
      <c r="D1" s="296"/>
      <c r="E1" s="296"/>
      <c r="F1" s="296"/>
      <c r="G1" s="296"/>
      <c r="H1" s="296"/>
      <c r="I1" s="200"/>
      <c r="J1" s="200"/>
      <c r="K1" s="14"/>
      <c r="L1" s="200"/>
      <c r="M1" s="14"/>
      <c r="N1" s="8"/>
      <c r="O1" s="8"/>
    </row>
    <row r="2" spans="1:16" customFormat="1" ht="15" x14ac:dyDescent="0.25">
      <c r="A2" s="14"/>
      <c r="B2" s="14" t="s">
        <v>141</v>
      </c>
      <c r="C2" s="14"/>
      <c r="D2" s="14"/>
      <c r="E2" s="14"/>
      <c r="F2" s="14"/>
      <c r="G2" s="14"/>
      <c r="H2" s="14"/>
      <c r="I2" s="200"/>
      <c r="J2" s="200"/>
      <c r="K2" s="14"/>
      <c r="L2" s="200"/>
      <c r="M2" s="14"/>
      <c r="N2" s="8"/>
      <c r="O2" s="8"/>
    </row>
    <row r="3" spans="1:16" customFormat="1" thickBot="1" x14ac:dyDescent="0.3">
      <c r="A3" s="14"/>
      <c r="B3" s="14"/>
      <c r="C3" s="14"/>
      <c r="D3" s="14"/>
      <c r="E3" s="14"/>
      <c r="F3" s="14"/>
      <c r="G3" s="14"/>
      <c r="H3" s="14"/>
      <c r="I3" s="200"/>
      <c r="J3" s="200"/>
      <c r="K3" s="14"/>
      <c r="L3" s="200"/>
      <c r="M3" s="14"/>
      <c r="N3" s="9"/>
      <c r="O3" s="9"/>
    </row>
    <row r="4" spans="1:16" customFormat="1" thickTop="1" x14ac:dyDescent="0.25">
      <c r="A4" s="14"/>
      <c r="B4" s="15"/>
      <c r="C4" s="16"/>
      <c r="D4" s="16"/>
      <c r="E4" s="16"/>
      <c r="F4" s="16"/>
      <c r="G4" s="16"/>
      <c r="H4" s="16"/>
      <c r="I4" s="201"/>
      <c r="J4" s="201"/>
      <c r="K4" s="16"/>
      <c r="L4" s="201"/>
      <c r="M4" s="16"/>
      <c r="N4" s="10"/>
      <c r="O4" s="9"/>
    </row>
    <row r="5" spans="1:16" customFormat="1" ht="15.75" x14ac:dyDescent="0.25">
      <c r="A5" s="14"/>
      <c r="B5" s="17"/>
      <c r="C5" s="294" t="s">
        <v>142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11"/>
      <c r="O5" s="9"/>
    </row>
    <row r="6" spans="1:16" customFormat="1" thickBot="1" x14ac:dyDescent="0.3">
      <c r="A6" s="14"/>
      <c r="B6" s="17"/>
      <c r="C6" s="295" t="s">
        <v>143</v>
      </c>
      <c r="D6" s="295"/>
      <c r="E6" s="295"/>
      <c r="F6" s="295"/>
      <c r="G6" s="295"/>
      <c r="H6" s="295"/>
      <c r="I6" s="295"/>
      <c r="J6" s="295"/>
      <c r="K6" s="295"/>
      <c r="L6" s="295"/>
      <c r="M6" s="295"/>
      <c r="N6" s="11"/>
      <c r="O6" s="9"/>
    </row>
    <row r="7" spans="1:16" customFormat="1" ht="15.75" x14ac:dyDescent="0.25">
      <c r="A7" s="14"/>
      <c r="B7" s="18"/>
      <c r="C7" s="297" t="s">
        <v>145</v>
      </c>
      <c r="D7" s="298"/>
      <c r="E7" s="299"/>
      <c r="F7" s="299"/>
      <c r="G7" s="299"/>
      <c r="H7" s="299"/>
      <c r="I7" s="299"/>
      <c r="J7" s="299"/>
      <c r="K7" s="299"/>
      <c r="L7" s="299"/>
      <c r="M7" s="300"/>
      <c r="N7" s="13"/>
      <c r="O7" s="12"/>
    </row>
    <row r="8" spans="1:16" customFormat="1" ht="25.5" customHeight="1" x14ac:dyDescent="0.25">
      <c r="A8" s="14"/>
      <c r="B8" s="19"/>
      <c r="C8" s="301"/>
      <c r="D8" s="302"/>
      <c r="E8" s="303"/>
      <c r="F8" s="303"/>
      <c r="G8" s="303"/>
      <c r="H8" s="303"/>
      <c r="I8" s="303"/>
      <c r="J8" s="303"/>
      <c r="K8" s="303"/>
      <c r="L8" s="303"/>
      <c r="M8" s="304"/>
      <c r="N8" s="11"/>
      <c r="O8" s="9"/>
    </row>
    <row r="9" spans="1:16" customFormat="1" ht="48.75" customHeight="1" x14ac:dyDescent="0.25">
      <c r="A9" s="14"/>
      <c r="B9" s="19"/>
      <c r="C9" s="315" t="s">
        <v>144</v>
      </c>
      <c r="D9" s="316"/>
      <c r="E9" s="316"/>
      <c r="F9" s="316"/>
      <c r="G9" s="316"/>
      <c r="H9" s="316"/>
      <c r="I9" s="316"/>
      <c r="J9" s="316"/>
      <c r="K9" s="316"/>
      <c r="L9" s="316"/>
      <c r="M9" s="317"/>
      <c r="N9" s="11"/>
      <c r="O9" s="9"/>
    </row>
    <row r="10" spans="1:16" ht="24" customHeight="1" thickBot="1" x14ac:dyDescent="0.35">
      <c r="A10" s="14"/>
      <c r="B10" s="19"/>
      <c r="C10" s="305"/>
      <c r="D10" s="306"/>
      <c r="E10" s="306"/>
      <c r="F10" s="306"/>
      <c r="G10" s="306"/>
      <c r="H10" s="306"/>
      <c r="I10" s="306"/>
      <c r="J10" s="306"/>
      <c r="K10" s="306"/>
      <c r="L10" s="306"/>
      <c r="M10" s="307"/>
      <c r="N10" s="11"/>
      <c r="O10" s="9"/>
      <c r="P10" s="1"/>
    </row>
    <row r="11" spans="1:16" ht="15" customHeight="1" x14ac:dyDescent="0.3">
      <c r="A11" s="14"/>
      <c r="B11" s="19"/>
      <c r="C11" s="308" t="s">
        <v>0</v>
      </c>
      <c r="D11" s="318" t="s">
        <v>148</v>
      </c>
      <c r="E11" s="310" t="s">
        <v>1</v>
      </c>
      <c r="F11" s="311"/>
      <c r="G11" s="312" t="s">
        <v>146</v>
      </c>
      <c r="H11" s="313"/>
      <c r="I11" s="312" t="s">
        <v>2</v>
      </c>
      <c r="J11" s="312" t="s">
        <v>131</v>
      </c>
      <c r="K11" s="39" t="s">
        <v>3</v>
      </c>
      <c r="L11" s="40" t="s">
        <v>4</v>
      </c>
      <c r="M11" s="41" t="s">
        <v>3</v>
      </c>
      <c r="N11" s="11"/>
      <c r="O11" s="9"/>
      <c r="P11" s="1"/>
    </row>
    <row r="12" spans="1:16" ht="35.25" customHeight="1" thickBot="1" x14ac:dyDescent="0.35">
      <c r="A12" s="14"/>
      <c r="B12" s="19"/>
      <c r="C12" s="309"/>
      <c r="D12" s="319"/>
      <c r="E12" s="42" t="s">
        <v>5</v>
      </c>
      <c r="F12" s="42" t="s">
        <v>149</v>
      </c>
      <c r="G12" s="314"/>
      <c r="H12" s="314"/>
      <c r="I12" s="314"/>
      <c r="J12" s="314"/>
      <c r="K12" s="43" t="s">
        <v>6</v>
      </c>
      <c r="L12" s="42" t="s">
        <v>7</v>
      </c>
      <c r="M12" s="44" t="s">
        <v>8</v>
      </c>
      <c r="N12" s="11"/>
      <c r="O12" s="9"/>
      <c r="P12" s="1"/>
    </row>
    <row r="13" spans="1:16" ht="17.25" customHeight="1" thickBot="1" x14ac:dyDescent="0.35">
      <c r="A13" s="14"/>
      <c r="B13" s="17"/>
      <c r="C13" s="322" t="s">
        <v>9</v>
      </c>
      <c r="D13" s="323"/>
      <c r="E13" s="72"/>
      <c r="F13" s="72"/>
      <c r="G13" s="290"/>
      <c r="H13" s="291"/>
      <c r="I13" s="291"/>
      <c r="J13" s="291"/>
      <c r="K13" s="73"/>
      <c r="L13" s="202"/>
      <c r="M13" s="75"/>
      <c r="N13" s="11"/>
      <c r="O13" s="9"/>
      <c r="P13" s="1"/>
    </row>
    <row r="14" spans="1:16" ht="21.75" customHeight="1" x14ac:dyDescent="0.3">
      <c r="A14" s="14"/>
      <c r="B14" s="19"/>
      <c r="C14" s="45">
        <v>1.01</v>
      </c>
      <c r="D14" s="62" t="s">
        <v>281</v>
      </c>
      <c r="E14" s="37" t="s">
        <v>170</v>
      </c>
      <c r="F14" s="38"/>
      <c r="G14" s="324" t="s">
        <v>10</v>
      </c>
      <c r="H14" s="324"/>
      <c r="I14" s="228" t="s">
        <v>11</v>
      </c>
      <c r="J14" s="247">
        <f>277</f>
        <v>277</v>
      </c>
      <c r="K14" s="52">
        <f>7755.37*1.25</f>
        <v>9694.2124999999996</v>
      </c>
      <c r="L14" s="203">
        <v>0</v>
      </c>
      <c r="M14" s="46">
        <f>+ROUND(K14*J14*(1+L14),2)</f>
        <v>2685296.86</v>
      </c>
      <c r="N14" s="11"/>
      <c r="O14" s="9"/>
      <c r="P14" s="1"/>
    </row>
    <row r="15" spans="1:16" ht="30" customHeight="1" x14ac:dyDescent="0.3">
      <c r="A15" s="14"/>
      <c r="B15" s="19"/>
      <c r="C15" s="47">
        <v>1.02</v>
      </c>
      <c r="D15" s="63" t="s">
        <v>282</v>
      </c>
      <c r="E15" s="21" t="s">
        <v>170</v>
      </c>
      <c r="F15" s="22"/>
      <c r="G15" s="277" t="s">
        <v>12</v>
      </c>
      <c r="H15" s="277"/>
      <c r="I15" s="229" t="s">
        <v>13</v>
      </c>
      <c r="J15" s="248">
        <f>100</f>
        <v>100</v>
      </c>
      <c r="K15" s="30">
        <f>46825.34*1.25</f>
        <v>58531.674999999996</v>
      </c>
      <c r="L15" s="204">
        <v>0.12</v>
      </c>
      <c r="M15" s="46">
        <f>+ROUND(K15*J15*(1+L15),2)</f>
        <v>6555547.5999999996</v>
      </c>
      <c r="N15" s="11"/>
      <c r="O15" s="9"/>
      <c r="P15" s="1"/>
    </row>
    <row r="16" spans="1:16" ht="21.75" customHeight="1" thickBot="1" x14ac:dyDescent="0.35">
      <c r="A16" s="14"/>
      <c r="B16" s="19"/>
      <c r="C16" s="35" t="s">
        <v>147</v>
      </c>
      <c r="D16" s="33"/>
      <c r="E16" s="32"/>
      <c r="F16" s="33"/>
      <c r="G16" s="34"/>
      <c r="H16" s="34"/>
      <c r="I16" s="230"/>
      <c r="J16" s="249"/>
      <c r="K16" s="31"/>
      <c r="L16" s="205"/>
      <c r="M16" s="67">
        <f>+ROUND(SUM(M14:M15),0)</f>
        <v>9240844</v>
      </c>
      <c r="N16" s="11"/>
      <c r="O16" s="9"/>
      <c r="P16" s="1"/>
    </row>
    <row r="17" spans="1:16" s="4" customFormat="1" ht="21.75" customHeight="1" thickBot="1" x14ac:dyDescent="0.35">
      <c r="A17" s="14"/>
      <c r="B17" s="17"/>
      <c r="C17" s="320" t="s">
        <v>14</v>
      </c>
      <c r="D17" s="321"/>
      <c r="E17" s="68"/>
      <c r="F17" s="68"/>
      <c r="G17" s="290"/>
      <c r="H17" s="291"/>
      <c r="I17" s="231"/>
      <c r="J17" s="250"/>
      <c r="K17" s="70"/>
      <c r="L17" s="206"/>
      <c r="M17" s="71"/>
      <c r="N17" s="11"/>
      <c r="O17" s="9"/>
      <c r="P17" s="3"/>
    </row>
    <row r="18" spans="1:16" ht="25.5" customHeight="1" x14ac:dyDescent="0.3">
      <c r="A18" s="14"/>
      <c r="B18" s="19"/>
      <c r="C18" s="187">
        <v>2.0099999999999998</v>
      </c>
      <c r="D18" s="196" t="s">
        <v>252</v>
      </c>
      <c r="E18" s="37" t="s">
        <v>170</v>
      </c>
      <c r="F18" s="189"/>
      <c r="G18" s="288" t="s">
        <v>229</v>
      </c>
      <c r="H18" s="288"/>
      <c r="I18" s="232" t="s">
        <v>16</v>
      </c>
      <c r="J18" s="251">
        <v>214.80423517397679</v>
      </c>
      <c r="K18" s="193">
        <f>70577.63*1.25</f>
        <v>88222.037500000006</v>
      </c>
      <c r="L18" s="207">
        <v>0</v>
      </c>
      <c r="M18" s="197">
        <f>+ROUND(K18*J18*(1+L18),2)</f>
        <v>18950467.289999999</v>
      </c>
      <c r="N18" s="11"/>
      <c r="O18" s="9"/>
      <c r="P18" s="1"/>
    </row>
    <row r="19" spans="1:16" ht="28.5" customHeight="1" x14ac:dyDescent="0.3">
      <c r="A19" s="14"/>
      <c r="B19" s="19"/>
      <c r="C19" s="23">
        <v>2.02</v>
      </c>
      <c r="D19" s="184" t="s">
        <v>17</v>
      </c>
      <c r="E19" s="21" t="s">
        <v>170</v>
      </c>
      <c r="F19" s="25"/>
      <c r="G19" s="277" t="s">
        <v>268</v>
      </c>
      <c r="H19" s="277"/>
      <c r="I19" s="233" t="s">
        <v>16</v>
      </c>
      <c r="J19" s="248">
        <v>35</v>
      </c>
      <c r="K19" s="30">
        <f>262919.32*1.25</f>
        <v>328649.15000000002</v>
      </c>
      <c r="L19" s="208">
        <v>0</v>
      </c>
      <c r="M19" s="59">
        <f t="shared" ref="M19:M87" si="0">+ROUND(K19*J19*(1+L19),2)</f>
        <v>11502720.25</v>
      </c>
      <c r="N19" s="11"/>
      <c r="O19" s="9"/>
      <c r="P19" s="1"/>
    </row>
    <row r="20" spans="1:16" ht="33" customHeight="1" x14ac:dyDescent="0.3">
      <c r="A20" s="14"/>
      <c r="B20" s="19"/>
      <c r="C20" s="23">
        <v>2.0299999999999998</v>
      </c>
      <c r="D20" s="184" t="s">
        <v>275</v>
      </c>
      <c r="E20" s="21" t="s">
        <v>170</v>
      </c>
      <c r="F20" s="25"/>
      <c r="G20" s="277" t="s">
        <v>18</v>
      </c>
      <c r="H20" s="277"/>
      <c r="I20" s="233" t="s">
        <v>16</v>
      </c>
      <c r="J20" s="248">
        <f>41.55</f>
        <v>41.55</v>
      </c>
      <c r="K20" s="30">
        <f>31742.33*1.25</f>
        <v>39677.912500000006</v>
      </c>
      <c r="L20" s="209">
        <v>0</v>
      </c>
      <c r="M20" s="59">
        <f t="shared" si="0"/>
        <v>1648617.26</v>
      </c>
      <c r="N20" s="11"/>
      <c r="O20" s="9"/>
      <c r="P20" s="1"/>
    </row>
    <row r="21" spans="1:16" ht="33" customHeight="1" x14ac:dyDescent="0.3">
      <c r="A21" s="14"/>
      <c r="B21" s="19"/>
      <c r="C21" s="23">
        <v>2.04</v>
      </c>
      <c r="D21" s="184" t="s">
        <v>19</v>
      </c>
      <c r="E21" s="21" t="s">
        <v>170</v>
      </c>
      <c r="F21" s="25"/>
      <c r="G21" s="277" t="s">
        <v>269</v>
      </c>
      <c r="H21" s="277"/>
      <c r="I21" s="233" t="s">
        <v>16</v>
      </c>
      <c r="J21" s="248">
        <f>57.11</f>
        <v>57.11</v>
      </c>
      <c r="K21" s="30">
        <f>119997.54*1.25</f>
        <v>149996.92499999999</v>
      </c>
      <c r="L21" s="209">
        <v>0</v>
      </c>
      <c r="M21" s="59">
        <f t="shared" si="0"/>
        <v>8566324.3900000006</v>
      </c>
      <c r="N21" s="11"/>
      <c r="O21" s="9"/>
      <c r="P21" s="1"/>
    </row>
    <row r="22" spans="1:16" ht="18.75" customHeight="1" x14ac:dyDescent="0.3">
      <c r="A22" s="14"/>
      <c r="B22" s="19"/>
      <c r="C22" s="23">
        <v>2.0499999999999998</v>
      </c>
      <c r="D22" s="184" t="s">
        <v>276</v>
      </c>
      <c r="E22" s="21" t="s">
        <v>170</v>
      </c>
      <c r="F22" s="25"/>
      <c r="G22" s="277" t="s">
        <v>20</v>
      </c>
      <c r="H22" s="277"/>
      <c r="I22" s="233" t="s">
        <v>11</v>
      </c>
      <c r="J22" s="248">
        <f>181.66</f>
        <v>181.66</v>
      </c>
      <c r="K22" s="30">
        <f>43122.13*1.25</f>
        <v>53902.662499999999</v>
      </c>
      <c r="L22" s="209">
        <v>0.12</v>
      </c>
      <c r="M22" s="59">
        <f t="shared" si="0"/>
        <v>10966992.59</v>
      </c>
      <c r="N22" s="11"/>
      <c r="O22" s="9"/>
      <c r="P22" s="1"/>
    </row>
    <row r="23" spans="1:16" ht="30" customHeight="1" x14ac:dyDescent="0.3">
      <c r="A23" s="14"/>
      <c r="B23" s="19"/>
      <c r="C23" s="23">
        <v>2.06</v>
      </c>
      <c r="D23" s="184" t="s">
        <v>277</v>
      </c>
      <c r="E23" s="21" t="s">
        <v>170</v>
      </c>
      <c r="F23" s="25"/>
      <c r="G23" s="277" t="s">
        <v>270</v>
      </c>
      <c r="H23" s="277"/>
      <c r="I23" s="233" t="s">
        <v>16</v>
      </c>
      <c r="J23" s="248">
        <f>45.69</f>
        <v>45.69</v>
      </c>
      <c r="K23" s="30">
        <f>918441.77*1.25</f>
        <v>1148052.2124999999</v>
      </c>
      <c r="L23" s="209">
        <v>0.12</v>
      </c>
      <c r="M23" s="59">
        <f t="shared" si="0"/>
        <v>58749046.259999998</v>
      </c>
      <c r="N23" s="11"/>
      <c r="O23" s="9"/>
      <c r="P23" s="1"/>
    </row>
    <row r="24" spans="1:16" ht="28.5" customHeight="1" x14ac:dyDescent="0.3">
      <c r="A24" s="14"/>
      <c r="B24" s="19"/>
      <c r="C24" s="23">
        <v>2.0699999999999998</v>
      </c>
      <c r="D24" s="184" t="s">
        <v>278</v>
      </c>
      <c r="E24" s="21" t="s">
        <v>170</v>
      </c>
      <c r="F24" s="25"/>
      <c r="G24" s="277" t="s">
        <v>271</v>
      </c>
      <c r="H24" s="277"/>
      <c r="I24" s="233" t="s">
        <v>16</v>
      </c>
      <c r="J24" s="248">
        <f>23.6</f>
        <v>23.6</v>
      </c>
      <c r="K24" s="30">
        <f>887643.35*1.25</f>
        <v>1109554.1875</v>
      </c>
      <c r="L24" s="209">
        <v>0.12</v>
      </c>
      <c r="M24" s="59">
        <f t="shared" si="0"/>
        <v>29327736.280000001</v>
      </c>
      <c r="N24" s="11"/>
      <c r="O24" s="9"/>
      <c r="P24" s="1"/>
    </row>
    <row r="25" spans="1:16" ht="30" customHeight="1" x14ac:dyDescent="0.3">
      <c r="A25" s="14"/>
      <c r="B25" s="19"/>
      <c r="C25" s="23">
        <v>2.08</v>
      </c>
      <c r="D25" s="184" t="s">
        <v>279</v>
      </c>
      <c r="E25" s="21" t="s">
        <v>170</v>
      </c>
      <c r="F25" s="25"/>
      <c r="G25" s="277" t="s">
        <v>21</v>
      </c>
      <c r="H25" s="277"/>
      <c r="I25" s="233" t="s">
        <v>16</v>
      </c>
      <c r="J25" s="248">
        <f>56.58</f>
        <v>56.58</v>
      </c>
      <c r="K25" s="30">
        <f>108189.3*1.25</f>
        <v>135236.625</v>
      </c>
      <c r="L25" s="209">
        <v>0</v>
      </c>
      <c r="M25" s="59">
        <f t="shared" si="0"/>
        <v>7651688.2400000002</v>
      </c>
      <c r="N25" s="11"/>
      <c r="O25" s="9"/>
      <c r="P25" s="1"/>
    </row>
    <row r="26" spans="1:16" ht="18" customHeight="1" x14ac:dyDescent="0.3">
      <c r="A26" s="14"/>
      <c r="B26" s="19"/>
      <c r="C26" s="23">
        <v>2.09</v>
      </c>
      <c r="D26" s="184" t="s">
        <v>264</v>
      </c>
      <c r="E26" s="21" t="s">
        <v>170</v>
      </c>
      <c r="F26" s="25"/>
      <c r="G26" s="277" t="s">
        <v>267</v>
      </c>
      <c r="H26" s="277"/>
      <c r="I26" s="233" t="s">
        <v>11</v>
      </c>
      <c r="J26" s="248">
        <f>276.61</f>
        <v>276.61</v>
      </c>
      <c r="K26" s="30">
        <f>87627.78*1.25</f>
        <v>109534.72500000001</v>
      </c>
      <c r="L26" s="209">
        <v>0.12</v>
      </c>
      <c r="M26" s="59">
        <f t="shared" si="0"/>
        <v>33934208.32</v>
      </c>
      <c r="N26" s="11"/>
      <c r="O26" s="9"/>
      <c r="P26" s="1"/>
    </row>
    <row r="27" spans="1:16" ht="18" customHeight="1" x14ac:dyDescent="0.3">
      <c r="A27" s="14"/>
      <c r="B27" s="19"/>
      <c r="C27" s="23">
        <v>2.1</v>
      </c>
      <c r="D27" s="184" t="s">
        <v>189</v>
      </c>
      <c r="E27" s="21" t="s">
        <v>170</v>
      </c>
      <c r="F27" s="25"/>
      <c r="G27" s="277" t="s">
        <v>22</v>
      </c>
      <c r="H27" s="277"/>
      <c r="I27" s="233" t="s">
        <v>23</v>
      </c>
      <c r="J27" s="248">
        <f>4830.61</f>
        <v>4830.6099999999997</v>
      </c>
      <c r="K27" s="30">
        <f>7675.05*1.25</f>
        <v>9593.8125</v>
      </c>
      <c r="L27" s="209">
        <v>0.12</v>
      </c>
      <c r="M27" s="59">
        <f t="shared" si="0"/>
        <v>51905242.590000004</v>
      </c>
      <c r="N27" s="11"/>
      <c r="O27" s="9"/>
      <c r="P27" s="1"/>
    </row>
    <row r="28" spans="1:16" ht="18" customHeight="1" x14ac:dyDescent="0.3">
      <c r="A28" s="14"/>
      <c r="B28" s="19"/>
      <c r="C28" s="23">
        <v>2.11</v>
      </c>
      <c r="D28" s="184" t="s">
        <v>173</v>
      </c>
      <c r="E28" s="21" t="s">
        <v>170</v>
      </c>
      <c r="F28" s="25"/>
      <c r="G28" s="277" t="s">
        <v>24</v>
      </c>
      <c r="H28" s="277"/>
      <c r="I28" s="233" t="s">
        <v>23</v>
      </c>
      <c r="J28" s="248">
        <f>1227.43</f>
        <v>1227.43</v>
      </c>
      <c r="K28" s="30">
        <f>6843.45*1.25</f>
        <v>8554.3125</v>
      </c>
      <c r="L28" s="209">
        <v>0.12</v>
      </c>
      <c r="M28" s="59">
        <f t="shared" si="0"/>
        <v>11759798.17</v>
      </c>
      <c r="N28" s="11"/>
      <c r="O28" s="9"/>
      <c r="P28" s="1"/>
    </row>
    <row r="29" spans="1:16" ht="33" customHeight="1" x14ac:dyDescent="0.3">
      <c r="A29" s="14"/>
      <c r="B29" s="19"/>
      <c r="C29" s="23">
        <v>2.12</v>
      </c>
      <c r="D29" s="184" t="s">
        <v>280</v>
      </c>
      <c r="E29" s="21" t="s">
        <v>170</v>
      </c>
      <c r="F29" s="25"/>
      <c r="G29" s="277" t="s">
        <v>272</v>
      </c>
      <c r="H29" s="277"/>
      <c r="I29" s="233" t="s">
        <v>23</v>
      </c>
      <c r="J29" s="248">
        <f>1126.08</f>
        <v>1126.08</v>
      </c>
      <c r="K29" s="30">
        <f>7423.82*1.25</f>
        <v>9279.7749999999996</v>
      </c>
      <c r="L29" s="209">
        <v>0.12</v>
      </c>
      <c r="M29" s="59">
        <f t="shared" si="0"/>
        <v>11703741.32</v>
      </c>
      <c r="N29" s="11"/>
      <c r="O29" s="9"/>
      <c r="P29" s="1"/>
    </row>
    <row r="30" spans="1:16" s="5" customFormat="1" ht="37.5" customHeight="1" x14ac:dyDescent="0.3">
      <c r="A30" s="14"/>
      <c r="B30" s="19"/>
      <c r="C30" s="23">
        <v>2.13</v>
      </c>
      <c r="D30" s="184" t="s">
        <v>25</v>
      </c>
      <c r="E30" s="21" t="s">
        <v>170</v>
      </c>
      <c r="F30" s="25"/>
      <c r="G30" s="277" t="s">
        <v>273</v>
      </c>
      <c r="H30" s="277"/>
      <c r="I30" s="233" t="s">
        <v>26</v>
      </c>
      <c r="J30" s="248">
        <f>8247.07</f>
        <v>8247.07</v>
      </c>
      <c r="K30" s="30">
        <f>2765.1*1.25</f>
        <v>3456.375</v>
      </c>
      <c r="L30" s="209">
        <v>0</v>
      </c>
      <c r="M30" s="59">
        <f t="shared" si="0"/>
        <v>28504966.57</v>
      </c>
      <c r="N30" s="11"/>
      <c r="O30" s="9"/>
      <c r="P30" s="1"/>
    </row>
    <row r="31" spans="1:16" ht="39.75" customHeight="1" x14ac:dyDescent="0.3">
      <c r="A31" s="14"/>
      <c r="B31" s="19"/>
      <c r="C31" s="23">
        <v>2.14</v>
      </c>
      <c r="D31" s="184" t="s">
        <v>27</v>
      </c>
      <c r="E31" s="21" t="s">
        <v>170</v>
      </c>
      <c r="F31" s="25"/>
      <c r="G31" s="277" t="s">
        <v>274</v>
      </c>
      <c r="H31" s="277"/>
      <c r="I31" s="233" t="s">
        <v>16</v>
      </c>
      <c r="J31" s="248">
        <f>33.24</f>
        <v>33.24</v>
      </c>
      <c r="K31" s="30">
        <f>15102.75*1.25</f>
        <v>18878.4375</v>
      </c>
      <c r="L31" s="208">
        <v>0</v>
      </c>
      <c r="M31" s="59">
        <f t="shared" si="0"/>
        <v>627519.26</v>
      </c>
      <c r="N31" s="11"/>
      <c r="O31" s="9"/>
      <c r="P31" s="1"/>
    </row>
    <row r="32" spans="1:16" ht="27" customHeight="1" thickBot="1" x14ac:dyDescent="0.35">
      <c r="A32" s="14"/>
      <c r="B32" s="19"/>
      <c r="C32" s="78" t="s">
        <v>147</v>
      </c>
      <c r="D32" s="53"/>
      <c r="E32" s="55"/>
      <c r="F32" s="53"/>
      <c r="G32" s="34"/>
      <c r="H32" s="34"/>
      <c r="I32" s="234"/>
      <c r="J32" s="249"/>
      <c r="K32" s="31"/>
      <c r="L32" s="210"/>
      <c r="M32" s="79">
        <f>+ROUND(SUM(M18:M31),0)</f>
        <v>285799069</v>
      </c>
      <c r="N32" s="11"/>
      <c r="O32" s="9"/>
      <c r="P32" s="1"/>
    </row>
    <row r="33" spans="1:16" s="4" customFormat="1" ht="21" customHeight="1" thickBot="1" x14ac:dyDescent="0.35">
      <c r="A33" s="14"/>
      <c r="B33" s="17"/>
      <c r="C33" s="81" t="s">
        <v>28</v>
      </c>
      <c r="D33" s="72"/>
      <c r="E33" s="72"/>
      <c r="F33" s="72"/>
      <c r="G33" s="290"/>
      <c r="H33" s="290"/>
      <c r="I33" s="202"/>
      <c r="J33" s="202"/>
      <c r="K33" s="74"/>
      <c r="L33" s="202"/>
      <c r="M33" s="75"/>
      <c r="N33" s="11"/>
      <c r="O33" s="9"/>
      <c r="P33" s="3"/>
    </row>
    <row r="34" spans="1:16" ht="33" customHeight="1" x14ac:dyDescent="0.3">
      <c r="A34" s="14"/>
      <c r="B34" s="17"/>
      <c r="C34" s="36">
        <v>3.01</v>
      </c>
      <c r="D34" s="64"/>
      <c r="E34" s="80"/>
      <c r="F34" s="64" t="s">
        <v>171</v>
      </c>
      <c r="G34" s="277" t="s">
        <v>29</v>
      </c>
      <c r="H34" s="277"/>
      <c r="I34" s="235" t="s">
        <v>16</v>
      </c>
      <c r="J34" s="252">
        <f>73.03</f>
        <v>73.03</v>
      </c>
      <c r="K34" s="65">
        <f>1645376.465*1.25</f>
        <v>2056720.58125</v>
      </c>
      <c r="L34" s="211">
        <v>0.12</v>
      </c>
      <c r="M34" s="66">
        <f t="shared" si="0"/>
        <v>168226580.53</v>
      </c>
      <c r="N34" s="11"/>
      <c r="O34" s="9"/>
      <c r="P34" s="1"/>
    </row>
    <row r="35" spans="1:16" ht="26.25" customHeight="1" x14ac:dyDescent="0.3">
      <c r="A35" s="14"/>
      <c r="B35" s="17"/>
      <c r="C35" s="23">
        <v>3.02</v>
      </c>
      <c r="D35" s="184" t="s">
        <v>283</v>
      </c>
      <c r="E35" s="21" t="s">
        <v>170</v>
      </c>
      <c r="F35" s="25"/>
      <c r="G35" s="277" t="s">
        <v>265</v>
      </c>
      <c r="H35" s="277"/>
      <c r="I35" s="233" t="s">
        <v>16</v>
      </c>
      <c r="J35" s="248">
        <f>98.39</f>
        <v>98.39</v>
      </c>
      <c r="K35" s="30">
        <f>1474380.2*1.25</f>
        <v>1842975.25</v>
      </c>
      <c r="L35" s="209">
        <v>0.12</v>
      </c>
      <c r="M35" s="59">
        <f t="shared" si="0"/>
        <v>203089975.03</v>
      </c>
      <c r="N35" s="11"/>
      <c r="O35" s="9"/>
      <c r="P35" s="1"/>
    </row>
    <row r="36" spans="1:16" ht="26.25" customHeight="1" x14ac:dyDescent="0.3">
      <c r="A36" s="14"/>
      <c r="B36" s="17"/>
      <c r="C36" s="23">
        <v>3.03</v>
      </c>
      <c r="D36" s="184" t="s">
        <v>263</v>
      </c>
      <c r="E36" s="21" t="s">
        <v>170</v>
      </c>
      <c r="F36" s="25"/>
      <c r="G36" s="277" t="s">
        <v>266</v>
      </c>
      <c r="H36" s="277"/>
      <c r="I36" s="233" t="s">
        <v>11</v>
      </c>
      <c r="J36" s="248">
        <f>786.9</f>
        <v>786.9</v>
      </c>
      <c r="K36" s="30">
        <f>209058.62*1.25</f>
        <v>261323.27499999999</v>
      </c>
      <c r="L36" s="209">
        <v>0.12</v>
      </c>
      <c r="M36" s="59">
        <f t="shared" si="0"/>
        <v>230311519.31</v>
      </c>
      <c r="N36" s="11"/>
      <c r="O36" s="9"/>
      <c r="P36" s="1"/>
    </row>
    <row r="37" spans="1:16" ht="26.25" customHeight="1" x14ac:dyDescent="0.3">
      <c r="A37" s="14"/>
      <c r="B37" s="17"/>
      <c r="C37" s="23">
        <v>3.04</v>
      </c>
      <c r="D37" s="184" t="s">
        <v>264</v>
      </c>
      <c r="E37" s="21" t="s">
        <v>170</v>
      </c>
      <c r="F37" s="25"/>
      <c r="G37" s="277" t="s">
        <v>267</v>
      </c>
      <c r="H37" s="277"/>
      <c r="I37" s="233" t="s">
        <v>11</v>
      </c>
      <c r="J37" s="248">
        <f>10.24</f>
        <v>10.24</v>
      </c>
      <c r="K37" s="30">
        <f>87627.78*1.25</f>
        <v>109534.72500000001</v>
      </c>
      <c r="L37" s="209">
        <v>0.12</v>
      </c>
      <c r="M37" s="59">
        <f t="shared" si="0"/>
        <v>1256231.8500000001</v>
      </c>
      <c r="N37" s="11"/>
      <c r="O37" s="9"/>
      <c r="P37" s="1"/>
    </row>
    <row r="38" spans="1:16" ht="26.25" customHeight="1" x14ac:dyDescent="0.3">
      <c r="A38" s="14"/>
      <c r="B38" s="17"/>
      <c r="C38" s="23">
        <v>3.05</v>
      </c>
      <c r="D38" s="184" t="s">
        <v>189</v>
      </c>
      <c r="E38" s="21" t="s">
        <v>170</v>
      </c>
      <c r="F38" s="25"/>
      <c r="G38" s="277" t="s">
        <v>22</v>
      </c>
      <c r="H38" s="277"/>
      <c r="I38" s="233" t="s">
        <v>23</v>
      </c>
      <c r="J38" s="248">
        <f>19299.13</f>
        <v>19299.13</v>
      </c>
      <c r="K38" s="30">
        <f>7675.05*1.25</f>
        <v>9593.8125</v>
      </c>
      <c r="L38" s="209">
        <v>0.12</v>
      </c>
      <c r="M38" s="59">
        <f t="shared" si="0"/>
        <v>207370502.78999999</v>
      </c>
      <c r="N38" s="11"/>
      <c r="O38" s="9"/>
      <c r="P38" s="1"/>
    </row>
    <row r="39" spans="1:16" ht="26.25" customHeight="1" x14ac:dyDescent="0.3">
      <c r="A39" s="14"/>
      <c r="B39" s="17"/>
      <c r="C39" s="23">
        <v>3.06</v>
      </c>
      <c r="D39" s="184" t="s">
        <v>173</v>
      </c>
      <c r="E39" s="21" t="s">
        <v>170</v>
      </c>
      <c r="F39" s="25"/>
      <c r="G39" s="277" t="s">
        <v>24</v>
      </c>
      <c r="H39" s="277"/>
      <c r="I39" s="233" t="s">
        <v>23</v>
      </c>
      <c r="J39" s="248">
        <f>21338.98</f>
        <v>21338.98</v>
      </c>
      <c r="K39" s="30">
        <f>6843.45*1.25</f>
        <v>8554.3125</v>
      </c>
      <c r="L39" s="209">
        <v>0.12</v>
      </c>
      <c r="M39" s="59">
        <f t="shared" si="0"/>
        <v>204445139.75</v>
      </c>
      <c r="N39" s="11"/>
      <c r="O39" s="9"/>
      <c r="P39" s="1"/>
    </row>
    <row r="40" spans="1:16" ht="26.25" customHeight="1" x14ac:dyDescent="0.3">
      <c r="A40" s="14"/>
      <c r="B40" s="17"/>
      <c r="C40" s="23">
        <v>3.07</v>
      </c>
      <c r="D40" s="25"/>
      <c r="E40" s="21"/>
      <c r="F40" s="25" t="s">
        <v>171</v>
      </c>
      <c r="G40" s="277" t="s">
        <v>30</v>
      </c>
      <c r="H40" s="277"/>
      <c r="I40" s="233" t="s">
        <v>16</v>
      </c>
      <c r="J40" s="248">
        <f>10.06</f>
        <v>10.06</v>
      </c>
      <c r="K40" s="30">
        <f>703940.2*1.25</f>
        <v>879925.25</v>
      </c>
      <c r="L40" s="209">
        <v>0</v>
      </c>
      <c r="M40" s="59">
        <f t="shared" si="0"/>
        <v>8852048.0199999996</v>
      </c>
      <c r="N40" s="11"/>
      <c r="O40" s="9"/>
      <c r="P40" s="1"/>
    </row>
    <row r="41" spans="1:16" ht="21.75" customHeight="1" thickBot="1" x14ac:dyDescent="0.35">
      <c r="A41" s="14"/>
      <c r="B41" s="17"/>
      <c r="C41" s="78" t="s">
        <v>147</v>
      </c>
      <c r="D41" s="53"/>
      <c r="E41" s="55"/>
      <c r="F41" s="53"/>
      <c r="G41" s="34"/>
      <c r="H41" s="34"/>
      <c r="I41" s="234"/>
      <c r="J41" s="249"/>
      <c r="K41" s="31"/>
      <c r="L41" s="212"/>
      <c r="M41" s="79">
        <f>+ROUND(SUM(M34:M40),0)</f>
        <v>1023551997</v>
      </c>
      <c r="N41" s="11"/>
      <c r="O41" s="9"/>
      <c r="P41" s="1"/>
    </row>
    <row r="42" spans="1:16" s="4" customFormat="1" ht="20.25" customHeight="1" thickBot="1" x14ac:dyDescent="0.35">
      <c r="A42" s="14"/>
      <c r="B42" s="17"/>
      <c r="C42" s="81" t="s">
        <v>31</v>
      </c>
      <c r="D42" s="72"/>
      <c r="E42" s="68"/>
      <c r="F42" s="72"/>
      <c r="G42" s="290"/>
      <c r="H42" s="291"/>
      <c r="I42" s="236"/>
      <c r="J42" s="250"/>
      <c r="K42" s="69"/>
      <c r="L42" s="206"/>
      <c r="M42" s="75"/>
      <c r="N42" s="11"/>
      <c r="O42" s="9"/>
      <c r="P42" s="3"/>
    </row>
    <row r="43" spans="1:16" ht="21.75" customHeight="1" x14ac:dyDescent="0.3">
      <c r="A43" s="14"/>
      <c r="B43" s="17"/>
      <c r="C43" s="187">
        <v>4.01</v>
      </c>
      <c r="D43" s="196" t="s">
        <v>187</v>
      </c>
      <c r="E43" s="188" t="s">
        <v>170</v>
      </c>
      <c r="F43" s="189"/>
      <c r="G43" s="288" t="s">
        <v>260</v>
      </c>
      <c r="H43" s="288"/>
      <c r="I43" s="232" t="s">
        <v>11</v>
      </c>
      <c r="J43" s="251">
        <f>1951.28</f>
        <v>1951.28</v>
      </c>
      <c r="K43" s="198">
        <f>64570.94*1.25</f>
        <v>80713.675000000003</v>
      </c>
      <c r="L43" s="207">
        <v>0.12</v>
      </c>
      <c r="M43" s="191">
        <f t="shared" si="0"/>
        <v>176394377.31999999</v>
      </c>
      <c r="N43" s="11"/>
      <c r="O43" s="9"/>
      <c r="P43" s="1"/>
    </row>
    <row r="44" spans="1:16" ht="27" customHeight="1" x14ac:dyDescent="0.3">
      <c r="A44" s="14"/>
      <c r="B44" s="17"/>
      <c r="C44" s="23">
        <v>4.0199999999999996</v>
      </c>
      <c r="D44" s="184" t="s">
        <v>188</v>
      </c>
      <c r="E44" s="21" t="s">
        <v>170</v>
      </c>
      <c r="F44" s="25"/>
      <c r="G44" s="277" t="s">
        <v>197</v>
      </c>
      <c r="H44" s="277"/>
      <c r="I44" s="233" t="s">
        <v>11</v>
      </c>
      <c r="J44" s="248">
        <f>118.56</f>
        <v>118.56</v>
      </c>
      <c r="K44" s="30">
        <f>153223.1*1.25</f>
        <v>191528.875</v>
      </c>
      <c r="L44" s="209">
        <v>0.12</v>
      </c>
      <c r="M44" s="83">
        <f t="shared" si="0"/>
        <v>25432583.030000001</v>
      </c>
      <c r="N44" s="11"/>
      <c r="O44" s="9"/>
      <c r="P44" s="1"/>
    </row>
    <row r="45" spans="1:16" ht="32.25" customHeight="1" x14ac:dyDescent="0.3">
      <c r="A45" s="14"/>
      <c r="B45" s="17"/>
      <c r="C45" s="23">
        <v>4.03</v>
      </c>
      <c r="D45" s="184" t="s">
        <v>261</v>
      </c>
      <c r="E45" s="21" t="s">
        <v>170</v>
      </c>
      <c r="F45" s="25"/>
      <c r="G45" s="277" t="s">
        <v>259</v>
      </c>
      <c r="H45" s="277"/>
      <c r="I45" s="233" t="s">
        <v>13</v>
      </c>
      <c r="J45" s="248">
        <f>352</f>
        <v>352</v>
      </c>
      <c r="K45" s="30">
        <f>68306.91*1.25</f>
        <v>85383.637500000012</v>
      </c>
      <c r="L45" s="209">
        <v>0.12</v>
      </c>
      <c r="M45" s="83">
        <f t="shared" si="0"/>
        <v>33661645.25</v>
      </c>
      <c r="N45" s="11"/>
      <c r="O45" s="9"/>
      <c r="P45" s="1"/>
    </row>
    <row r="46" spans="1:16" ht="15.75" customHeight="1" x14ac:dyDescent="0.3">
      <c r="A46" s="14"/>
      <c r="B46" s="17"/>
      <c r="C46" s="23">
        <v>4.04</v>
      </c>
      <c r="D46" s="184" t="s">
        <v>262</v>
      </c>
      <c r="E46" s="21" t="s">
        <v>170</v>
      </c>
      <c r="F46" s="25"/>
      <c r="G46" s="277" t="s">
        <v>33</v>
      </c>
      <c r="H46" s="277"/>
      <c r="I46" s="233" t="s">
        <v>13</v>
      </c>
      <c r="J46" s="248">
        <f>1392</f>
        <v>1392</v>
      </c>
      <c r="K46" s="30">
        <f>12797.41*1.25</f>
        <v>15996.762500000001</v>
      </c>
      <c r="L46" s="209">
        <v>0.12</v>
      </c>
      <c r="M46" s="83">
        <f t="shared" si="0"/>
        <v>24939592.609999999</v>
      </c>
      <c r="N46" s="11"/>
      <c r="O46" s="9"/>
      <c r="P46" s="1"/>
    </row>
    <row r="47" spans="1:16" ht="21.75" customHeight="1" x14ac:dyDescent="0.3">
      <c r="A47" s="14"/>
      <c r="B47" s="17"/>
      <c r="C47" s="23">
        <v>4.05</v>
      </c>
      <c r="D47" s="184" t="s">
        <v>176</v>
      </c>
      <c r="E47" s="21" t="s">
        <v>170</v>
      </c>
      <c r="F47" s="25"/>
      <c r="G47" s="277" t="s">
        <v>34</v>
      </c>
      <c r="H47" s="277"/>
      <c r="I47" s="233" t="s">
        <v>11</v>
      </c>
      <c r="J47" s="248">
        <f>832</f>
        <v>832</v>
      </c>
      <c r="K47" s="30">
        <f>35818.47*1.25</f>
        <v>44773.087500000001</v>
      </c>
      <c r="L47" s="209">
        <v>0.12</v>
      </c>
      <c r="M47" s="83">
        <f t="shared" si="0"/>
        <v>41721353.859999999</v>
      </c>
      <c r="N47" s="11"/>
      <c r="O47" s="9"/>
      <c r="P47" s="1"/>
    </row>
    <row r="48" spans="1:16" ht="16.5" customHeight="1" x14ac:dyDescent="0.3">
      <c r="A48" s="14"/>
      <c r="B48" s="17"/>
      <c r="C48" s="54">
        <v>4.0599999999999996</v>
      </c>
      <c r="D48" s="184"/>
      <c r="E48" s="21"/>
      <c r="F48" s="76" t="s">
        <v>258</v>
      </c>
      <c r="G48" s="277" t="s">
        <v>35</v>
      </c>
      <c r="H48" s="277"/>
      <c r="I48" s="237" t="s">
        <v>11</v>
      </c>
      <c r="J48" s="253">
        <f>19.68</f>
        <v>19.68</v>
      </c>
      <c r="K48" s="199">
        <f>1274922.71*1.25</f>
        <v>1593653.3875</v>
      </c>
      <c r="L48" s="213">
        <v>0</v>
      </c>
      <c r="M48" s="83">
        <f t="shared" si="0"/>
        <v>31363098.670000002</v>
      </c>
      <c r="N48" s="11"/>
      <c r="O48" s="9"/>
      <c r="P48" s="1"/>
    </row>
    <row r="49" spans="1:16" ht="24" customHeight="1" x14ac:dyDescent="0.3">
      <c r="A49" s="14"/>
      <c r="B49" s="17"/>
      <c r="C49" s="23">
        <v>4.07</v>
      </c>
      <c r="D49" s="184" t="s">
        <v>173</v>
      </c>
      <c r="E49" s="21" t="s">
        <v>170</v>
      </c>
      <c r="F49" s="25"/>
      <c r="G49" s="277" t="s">
        <v>24</v>
      </c>
      <c r="H49" s="277"/>
      <c r="I49" s="233" t="s">
        <v>23</v>
      </c>
      <c r="J49" s="248">
        <f>448</f>
        <v>448</v>
      </c>
      <c r="K49" s="30">
        <f>6843.45*1.25</f>
        <v>8554.3125</v>
      </c>
      <c r="L49" s="209">
        <v>0.12</v>
      </c>
      <c r="M49" s="83">
        <f t="shared" si="0"/>
        <v>4292211.84</v>
      </c>
      <c r="N49" s="11"/>
      <c r="O49" s="9"/>
      <c r="P49" s="1"/>
    </row>
    <row r="50" spans="1:16" ht="18.75" customHeight="1" thickBot="1" x14ac:dyDescent="0.35">
      <c r="A50" s="14"/>
      <c r="B50" s="17"/>
      <c r="C50" s="78" t="s">
        <v>147</v>
      </c>
      <c r="D50" s="53"/>
      <c r="E50" s="55"/>
      <c r="F50" s="53"/>
      <c r="G50" s="34"/>
      <c r="H50" s="34"/>
      <c r="I50" s="234"/>
      <c r="J50" s="249"/>
      <c r="K50" s="31"/>
      <c r="L50" s="212"/>
      <c r="M50" s="84">
        <f>ROUND(SUM(M43:M49),0)</f>
        <v>337804863</v>
      </c>
      <c r="N50" s="11"/>
      <c r="O50" s="9"/>
      <c r="P50" s="1"/>
    </row>
    <row r="51" spans="1:16" s="7" customFormat="1" ht="27" customHeight="1" thickBot="1" x14ac:dyDescent="0.35">
      <c r="A51" s="14"/>
      <c r="B51" s="17"/>
      <c r="C51" s="81" t="s">
        <v>36</v>
      </c>
      <c r="D51" s="72"/>
      <c r="E51" s="68"/>
      <c r="F51" s="72"/>
      <c r="G51" s="290"/>
      <c r="H51" s="291"/>
      <c r="I51" s="236"/>
      <c r="J51" s="250"/>
      <c r="K51" s="69"/>
      <c r="L51" s="206"/>
      <c r="M51" s="75"/>
      <c r="N51" s="11"/>
      <c r="O51" s="9"/>
      <c r="P51" s="6"/>
    </row>
    <row r="52" spans="1:16" ht="18.75" customHeight="1" x14ac:dyDescent="0.3">
      <c r="A52" s="14"/>
      <c r="B52" s="17"/>
      <c r="C52" s="187">
        <v>5.01</v>
      </c>
      <c r="D52" s="189" t="s">
        <v>135</v>
      </c>
      <c r="E52" s="188" t="s">
        <v>170</v>
      </c>
      <c r="F52" s="189"/>
      <c r="G52" s="277" t="s">
        <v>134</v>
      </c>
      <c r="H52" s="277"/>
      <c r="I52" s="232" t="s">
        <v>11</v>
      </c>
      <c r="J52" s="251">
        <f>872.8</f>
        <v>872.8</v>
      </c>
      <c r="K52" s="193">
        <f>33165.57*1.25</f>
        <v>41456.962500000001</v>
      </c>
      <c r="L52" s="207">
        <v>0.12</v>
      </c>
      <c r="M52" s="191">
        <f t="shared" si="0"/>
        <v>40525673.289999999</v>
      </c>
      <c r="N52" s="11"/>
      <c r="O52" s="9"/>
      <c r="P52" s="1"/>
    </row>
    <row r="53" spans="1:16" ht="18.75" customHeight="1" x14ac:dyDescent="0.3">
      <c r="A53" s="14"/>
      <c r="B53" s="17"/>
      <c r="C53" s="23">
        <v>5.0199999999999996</v>
      </c>
      <c r="D53" s="25" t="s">
        <v>139</v>
      </c>
      <c r="E53" s="21" t="s">
        <v>170</v>
      </c>
      <c r="F53" s="25"/>
      <c r="G53" s="277" t="s">
        <v>37</v>
      </c>
      <c r="H53" s="277"/>
      <c r="I53" s="233" t="s">
        <v>11</v>
      </c>
      <c r="J53" s="248">
        <f>813.6</f>
        <v>813.6</v>
      </c>
      <c r="K53" s="30">
        <f>91325.6*1.25</f>
        <v>114157</v>
      </c>
      <c r="L53" s="209">
        <v>0.12</v>
      </c>
      <c r="M53" s="83">
        <f t="shared" si="0"/>
        <v>104023511.42</v>
      </c>
      <c r="N53" s="11"/>
      <c r="O53" s="9"/>
      <c r="P53" s="1"/>
    </row>
    <row r="54" spans="1:16" ht="33" customHeight="1" x14ac:dyDescent="0.3">
      <c r="A54" s="14"/>
      <c r="B54" s="17"/>
      <c r="C54" s="23">
        <v>5.03</v>
      </c>
      <c r="D54" s="25" t="s">
        <v>38</v>
      </c>
      <c r="E54" s="21" t="s">
        <v>232</v>
      </c>
      <c r="F54" s="25"/>
      <c r="G54" s="277" t="s">
        <v>39</v>
      </c>
      <c r="H54" s="277"/>
      <c r="I54" s="233" t="s">
        <v>11</v>
      </c>
      <c r="J54" s="248">
        <f>468</f>
        <v>468</v>
      </c>
      <c r="K54" s="30">
        <f>76346.39*1.25</f>
        <v>95432.987500000003</v>
      </c>
      <c r="L54" s="209">
        <v>0.12</v>
      </c>
      <c r="M54" s="83">
        <f t="shared" si="0"/>
        <v>50022154.729999997</v>
      </c>
      <c r="N54" s="11"/>
      <c r="O54" s="9"/>
      <c r="P54" s="1"/>
    </row>
    <row r="55" spans="1:16" ht="24.75" customHeight="1" thickBot="1" x14ac:dyDescent="0.35">
      <c r="A55" s="14"/>
      <c r="B55" s="17"/>
      <c r="C55" s="78" t="s">
        <v>147</v>
      </c>
      <c r="D55" s="53"/>
      <c r="E55" s="55"/>
      <c r="F55" s="53"/>
      <c r="G55" s="34"/>
      <c r="H55" s="34"/>
      <c r="I55" s="234"/>
      <c r="J55" s="249"/>
      <c r="K55" s="31"/>
      <c r="L55" s="214"/>
      <c r="M55" s="87">
        <f>+ROUND(SUM(M52:M54),0)</f>
        <v>194571339</v>
      </c>
      <c r="N55" s="11"/>
      <c r="O55" s="9"/>
      <c r="P55" s="1"/>
    </row>
    <row r="56" spans="1:16" s="7" customFormat="1" ht="23.25" customHeight="1" thickBot="1" x14ac:dyDescent="0.35">
      <c r="A56" s="14"/>
      <c r="B56" s="17"/>
      <c r="C56" s="85" t="s">
        <v>40</v>
      </c>
      <c r="D56" s="95"/>
      <c r="E56" s="96"/>
      <c r="F56" s="95"/>
      <c r="G56" s="281"/>
      <c r="H56" s="281"/>
      <c r="I56" s="238"/>
      <c r="J56" s="254"/>
      <c r="K56" s="97"/>
      <c r="L56" s="215"/>
      <c r="M56" s="98"/>
      <c r="N56" s="11"/>
      <c r="O56" s="9"/>
      <c r="P56" s="6"/>
    </row>
    <row r="57" spans="1:16" ht="36.6" customHeight="1" x14ac:dyDescent="0.3">
      <c r="A57" s="14"/>
      <c r="B57" s="17"/>
      <c r="C57" s="56">
        <v>6.01</v>
      </c>
      <c r="D57" s="184" t="s">
        <v>233</v>
      </c>
      <c r="E57" s="21" t="s">
        <v>170</v>
      </c>
      <c r="F57" s="57"/>
      <c r="G57" s="289" t="s">
        <v>41</v>
      </c>
      <c r="H57" s="289"/>
      <c r="I57" s="239" t="s">
        <v>2</v>
      </c>
      <c r="J57" s="255">
        <f>224</f>
        <v>224</v>
      </c>
      <c r="K57" s="58">
        <f>28900.79*1.25</f>
        <v>36125.987500000003</v>
      </c>
      <c r="L57" s="216">
        <v>0.12</v>
      </c>
      <c r="M57" s="82">
        <f t="shared" si="0"/>
        <v>9063287.7400000002</v>
      </c>
      <c r="N57" s="11"/>
      <c r="O57" s="9"/>
      <c r="P57" s="1"/>
    </row>
    <row r="58" spans="1:16" ht="33" customHeight="1" x14ac:dyDescent="0.3">
      <c r="A58" s="14"/>
      <c r="B58" s="17"/>
      <c r="C58" s="23">
        <v>6.02</v>
      </c>
      <c r="D58" s="184" t="s">
        <v>234</v>
      </c>
      <c r="E58" s="21" t="s">
        <v>170</v>
      </c>
      <c r="F58" s="25"/>
      <c r="G58" s="277" t="s">
        <v>42</v>
      </c>
      <c r="H58" s="277"/>
      <c r="I58" s="233" t="s">
        <v>2</v>
      </c>
      <c r="J58" s="248">
        <f>8</f>
        <v>8</v>
      </c>
      <c r="K58" s="30">
        <f>107127.36*1.25</f>
        <v>133909.20000000001</v>
      </c>
      <c r="L58" s="209">
        <v>0.12</v>
      </c>
      <c r="M58" s="83">
        <f t="shared" si="0"/>
        <v>1199826.43</v>
      </c>
      <c r="N58" s="11"/>
      <c r="O58" s="9"/>
      <c r="P58" s="1"/>
    </row>
    <row r="59" spans="1:16" ht="47.25" customHeight="1" x14ac:dyDescent="0.3">
      <c r="A59" s="14"/>
      <c r="B59" s="17"/>
      <c r="C59" s="23">
        <v>6.03</v>
      </c>
      <c r="D59" s="184" t="s">
        <v>235</v>
      </c>
      <c r="E59" s="21" t="s">
        <v>170</v>
      </c>
      <c r="F59" s="25"/>
      <c r="G59" s="277" t="s">
        <v>43</v>
      </c>
      <c r="H59" s="277"/>
      <c r="I59" s="233" t="s">
        <v>2</v>
      </c>
      <c r="J59" s="248">
        <f>192</f>
        <v>192</v>
      </c>
      <c r="K59" s="30">
        <f>118121.28*1.25</f>
        <v>147651.6</v>
      </c>
      <c r="L59" s="209">
        <v>0.12</v>
      </c>
      <c r="M59" s="83">
        <f t="shared" si="0"/>
        <v>31751000.059999999</v>
      </c>
      <c r="N59" s="11"/>
      <c r="O59" s="9"/>
      <c r="P59" s="1"/>
    </row>
    <row r="60" spans="1:16" ht="50.25" customHeight="1" x14ac:dyDescent="0.3">
      <c r="A60" s="14"/>
      <c r="B60" s="17"/>
      <c r="C60" s="23">
        <v>6.04</v>
      </c>
      <c r="D60" s="184" t="s">
        <v>236</v>
      </c>
      <c r="E60" s="21" t="s">
        <v>170</v>
      </c>
      <c r="F60" s="25"/>
      <c r="G60" s="277" t="s">
        <v>44</v>
      </c>
      <c r="H60" s="277"/>
      <c r="I60" s="233" t="s">
        <v>2</v>
      </c>
      <c r="J60" s="248">
        <f>48</f>
        <v>48</v>
      </c>
      <c r="K60" s="30">
        <f>170016.03*1.25</f>
        <v>212520.03750000001</v>
      </c>
      <c r="L60" s="209">
        <v>0.12</v>
      </c>
      <c r="M60" s="83">
        <f t="shared" si="0"/>
        <v>11425077.220000001</v>
      </c>
      <c r="N60" s="11"/>
      <c r="O60" s="9"/>
      <c r="P60" s="1"/>
    </row>
    <row r="61" spans="1:16" ht="49.5" customHeight="1" x14ac:dyDescent="0.3">
      <c r="A61" s="14"/>
      <c r="B61" s="17"/>
      <c r="C61" s="23">
        <v>6.05</v>
      </c>
      <c r="D61" s="184" t="s">
        <v>237</v>
      </c>
      <c r="E61" s="21" t="s">
        <v>170</v>
      </c>
      <c r="F61" s="25"/>
      <c r="G61" s="277" t="s">
        <v>254</v>
      </c>
      <c r="H61" s="277"/>
      <c r="I61" s="233" t="s">
        <v>2</v>
      </c>
      <c r="J61" s="248">
        <f>112</f>
        <v>112</v>
      </c>
      <c r="K61" s="30">
        <f>101200.81*1.25</f>
        <v>126501.0125</v>
      </c>
      <c r="L61" s="209">
        <v>0.12</v>
      </c>
      <c r="M61" s="83">
        <f t="shared" si="0"/>
        <v>15868287.01</v>
      </c>
      <c r="N61" s="11"/>
      <c r="O61" s="9"/>
      <c r="P61" s="1"/>
    </row>
    <row r="62" spans="1:16" ht="36.6" customHeight="1" x14ac:dyDescent="0.3">
      <c r="A62" s="14"/>
      <c r="B62" s="17"/>
      <c r="C62" s="23">
        <v>6.06</v>
      </c>
      <c r="D62" s="184" t="s">
        <v>238</v>
      </c>
      <c r="E62" s="21" t="s">
        <v>170</v>
      </c>
      <c r="F62" s="25"/>
      <c r="G62" s="277" t="s">
        <v>45</v>
      </c>
      <c r="H62" s="277"/>
      <c r="I62" s="233" t="s">
        <v>2</v>
      </c>
      <c r="J62" s="248">
        <f>1</f>
        <v>1</v>
      </c>
      <c r="K62" s="30">
        <f>124852.36*1.25</f>
        <v>156065.45000000001</v>
      </c>
      <c r="L62" s="209">
        <v>0.12</v>
      </c>
      <c r="M62" s="83">
        <f t="shared" si="0"/>
        <v>174793.3</v>
      </c>
      <c r="N62" s="11"/>
      <c r="O62" s="9"/>
      <c r="P62" s="1"/>
    </row>
    <row r="63" spans="1:16" ht="36.6" customHeight="1" x14ac:dyDescent="0.3">
      <c r="A63" s="14"/>
      <c r="B63" s="17"/>
      <c r="C63" s="23">
        <v>6.07</v>
      </c>
      <c r="D63" s="184" t="s">
        <v>239</v>
      </c>
      <c r="E63" s="21" t="s">
        <v>170</v>
      </c>
      <c r="F63" s="25"/>
      <c r="G63" s="277" t="s">
        <v>255</v>
      </c>
      <c r="H63" s="277"/>
      <c r="I63" s="233" t="s">
        <v>2</v>
      </c>
      <c r="J63" s="248">
        <f>16</f>
        <v>16</v>
      </c>
      <c r="K63" s="30">
        <f>159472.22*1.25</f>
        <v>199340.27499999999</v>
      </c>
      <c r="L63" s="209">
        <v>0.12</v>
      </c>
      <c r="M63" s="83">
        <f t="shared" si="0"/>
        <v>3572177.73</v>
      </c>
      <c r="N63" s="11"/>
      <c r="O63" s="9"/>
      <c r="P63" s="1"/>
    </row>
    <row r="64" spans="1:16" ht="36.6" customHeight="1" x14ac:dyDescent="0.3">
      <c r="A64" s="14"/>
      <c r="B64" s="17"/>
      <c r="C64" s="23">
        <v>6.08</v>
      </c>
      <c r="D64" s="184" t="s">
        <v>240</v>
      </c>
      <c r="E64" s="21" t="s">
        <v>170</v>
      </c>
      <c r="F64" s="25"/>
      <c r="G64" s="277" t="s">
        <v>46</v>
      </c>
      <c r="H64" s="277"/>
      <c r="I64" s="233" t="s">
        <v>2</v>
      </c>
      <c r="J64" s="248">
        <f>8</f>
        <v>8</v>
      </c>
      <c r="K64" s="30">
        <f>108658.33*1.25</f>
        <v>135822.91250000001</v>
      </c>
      <c r="L64" s="209">
        <v>0.12</v>
      </c>
      <c r="M64" s="83">
        <f t="shared" si="0"/>
        <v>1216973.3</v>
      </c>
      <c r="N64" s="11"/>
      <c r="O64" s="9"/>
      <c r="P64" s="1"/>
    </row>
    <row r="65" spans="1:16" ht="36" customHeight="1" x14ac:dyDescent="0.3">
      <c r="A65" s="14"/>
      <c r="B65" s="17"/>
      <c r="C65" s="23">
        <v>6.09</v>
      </c>
      <c r="D65" s="184" t="s">
        <v>241</v>
      </c>
      <c r="E65" s="21" t="s">
        <v>170</v>
      </c>
      <c r="F65" s="25"/>
      <c r="G65" s="277" t="s">
        <v>256</v>
      </c>
      <c r="H65" s="277"/>
      <c r="I65" s="233" t="s">
        <v>2</v>
      </c>
      <c r="J65" s="248">
        <f>6</f>
        <v>6</v>
      </c>
      <c r="K65" s="30">
        <f>126156.88*1.25</f>
        <v>157696.1</v>
      </c>
      <c r="L65" s="209">
        <v>0.12</v>
      </c>
      <c r="M65" s="83">
        <f t="shared" si="0"/>
        <v>1059717.79</v>
      </c>
      <c r="N65" s="11"/>
      <c r="O65" s="9"/>
      <c r="P65" s="1"/>
    </row>
    <row r="66" spans="1:16" ht="36.75" customHeight="1" x14ac:dyDescent="0.3">
      <c r="A66" s="14"/>
      <c r="B66" s="17"/>
      <c r="C66" s="23">
        <v>6.1</v>
      </c>
      <c r="D66" s="184" t="s">
        <v>242</v>
      </c>
      <c r="E66" s="21" t="s">
        <v>170</v>
      </c>
      <c r="F66" s="25"/>
      <c r="G66" s="277" t="s">
        <v>47</v>
      </c>
      <c r="H66" s="277"/>
      <c r="I66" s="233" t="s">
        <v>13</v>
      </c>
      <c r="J66" s="248">
        <f>93.34</f>
        <v>93.34</v>
      </c>
      <c r="K66" s="30">
        <f>19745.5*1.25</f>
        <v>24681.875</v>
      </c>
      <c r="L66" s="209">
        <v>0.12</v>
      </c>
      <c r="M66" s="83">
        <f t="shared" si="0"/>
        <v>2580262.96</v>
      </c>
      <c r="N66" s="11"/>
      <c r="O66" s="9"/>
      <c r="P66" s="1"/>
    </row>
    <row r="67" spans="1:16" ht="48" customHeight="1" x14ac:dyDescent="0.3">
      <c r="A67" s="14"/>
      <c r="B67" s="17"/>
      <c r="C67" s="23">
        <v>6.11</v>
      </c>
      <c r="D67" s="184" t="s">
        <v>243</v>
      </c>
      <c r="E67" s="21" t="s">
        <v>170</v>
      </c>
      <c r="F67" s="25"/>
      <c r="G67" s="277" t="s">
        <v>48</v>
      </c>
      <c r="H67" s="277"/>
      <c r="I67" s="233" t="s">
        <v>13</v>
      </c>
      <c r="J67" s="248">
        <f>63.34</f>
        <v>63.34</v>
      </c>
      <c r="K67" s="30">
        <f>27567.5*1.25</f>
        <v>34459.375</v>
      </c>
      <c r="L67" s="209">
        <v>0.12</v>
      </c>
      <c r="M67" s="83">
        <f t="shared" si="0"/>
        <v>2444575.63</v>
      </c>
      <c r="N67" s="11"/>
      <c r="O67" s="9"/>
      <c r="P67" s="1"/>
    </row>
    <row r="68" spans="1:16" ht="38.25" customHeight="1" x14ac:dyDescent="0.3">
      <c r="A68" s="14"/>
      <c r="B68" s="17"/>
      <c r="C68" s="23">
        <v>6.12</v>
      </c>
      <c r="D68" s="184" t="s">
        <v>244</v>
      </c>
      <c r="E68" s="21" t="s">
        <v>170</v>
      </c>
      <c r="F68" s="25"/>
      <c r="G68" s="277" t="s">
        <v>49</v>
      </c>
      <c r="H68" s="277"/>
      <c r="I68" s="233" t="s">
        <v>2</v>
      </c>
      <c r="J68" s="248">
        <f>4</f>
        <v>4</v>
      </c>
      <c r="K68" s="30">
        <f>79309.99*1.25</f>
        <v>99137.487500000003</v>
      </c>
      <c r="L68" s="209">
        <v>0.12</v>
      </c>
      <c r="M68" s="83">
        <f t="shared" si="0"/>
        <v>444135.94</v>
      </c>
      <c r="N68" s="11"/>
      <c r="O68" s="9"/>
      <c r="P68" s="1"/>
    </row>
    <row r="69" spans="1:16" ht="36.6" customHeight="1" x14ac:dyDescent="0.3">
      <c r="A69" s="14"/>
      <c r="B69" s="17"/>
      <c r="C69" s="23">
        <v>6.13</v>
      </c>
      <c r="D69" s="184" t="s">
        <v>245</v>
      </c>
      <c r="E69" s="21" t="s">
        <v>170</v>
      </c>
      <c r="F69" s="25"/>
      <c r="G69" s="277" t="s">
        <v>50</v>
      </c>
      <c r="H69" s="277"/>
      <c r="I69" s="233" t="s">
        <v>13</v>
      </c>
      <c r="J69" s="248">
        <f>110</f>
        <v>110</v>
      </c>
      <c r="K69" s="30">
        <f>42463.82*1.25</f>
        <v>53079.775000000001</v>
      </c>
      <c r="L69" s="209">
        <v>0.12</v>
      </c>
      <c r="M69" s="83">
        <f t="shared" si="0"/>
        <v>6539428.2800000003</v>
      </c>
      <c r="N69" s="11"/>
      <c r="O69" s="9"/>
      <c r="P69" s="1"/>
    </row>
    <row r="70" spans="1:16" ht="37.5" customHeight="1" x14ac:dyDescent="0.3">
      <c r="A70" s="14"/>
      <c r="B70" s="17"/>
      <c r="C70" s="23">
        <v>6.14</v>
      </c>
      <c r="D70" s="184" t="s">
        <v>246</v>
      </c>
      <c r="E70" s="21" t="s">
        <v>170</v>
      </c>
      <c r="F70" s="25"/>
      <c r="G70" s="277" t="s">
        <v>51</v>
      </c>
      <c r="H70" s="277"/>
      <c r="I70" s="233" t="s">
        <v>2</v>
      </c>
      <c r="J70" s="248">
        <f>4</f>
        <v>4</v>
      </c>
      <c r="K70" s="30">
        <f>420291.99*1.25</f>
        <v>525364.98750000005</v>
      </c>
      <c r="L70" s="209">
        <v>0.12</v>
      </c>
      <c r="M70" s="83">
        <f t="shared" si="0"/>
        <v>2353635.14</v>
      </c>
      <c r="N70" s="11"/>
      <c r="O70" s="9"/>
      <c r="P70" s="1"/>
    </row>
    <row r="71" spans="1:16" ht="37.5" customHeight="1" x14ac:dyDescent="0.3">
      <c r="A71" s="14"/>
      <c r="B71" s="17"/>
      <c r="C71" s="23">
        <v>6.15</v>
      </c>
      <c r="D71" s="184" t="s">
        <v>247</v>
      </c>
      <c r="E71" s="21" t="s">
        <v>170</v>
      </c>
      <c r="F71" s="25"/>
      <c r="G71" s="277" t="s">
        <v>52</v>
      </c>
      <c r="H71" s="277"/>
      <c r="I71" s="233" t="s">
        <v>2</v>
      </c>
      <c r="J71" s="248">
        <f>4</f>
        <v>4</v>
      </c>
      <c r="K71" s="99">
        <f>87260.41*1.25</f>
        <v>109075.51250000001</v>
      </c>
      <c r="L71" s="209">
        <v>0.12</v>
      </c>
      <c r="M71" s="83">
        <f t="shared" si="0"/>
        <v>488658.3</v>
      </c>
      <c r="N71" s="11"/>
      <c r="O71" s="9"/>
      <c r="P71" s="1"/>
    </row>
    <row r="72" spans="1:16" ht="37.5" customHeight="1" x14ac:dyDescent="0.3">
      <c r="A72" s="14"/>
      <c r="B72" s="17"/>
      <c r="C72" s="23">
        <v>6.16</v>
      </c>
      <c r="D72" s="184" t="s">
        <v>248</v>
      </c>
      <c r="E72" s="21" t="s">
        <v>170</v>
      </c>
      <c r="F72" s="25"/>
      <c r="G72" s="277" t="s">
        <v>53</v>
      </c>
      <c r="H72" s="277"/>
      <c r="I72" s="233" t="s">
        <v>2</v>
      </c>
      <c r="J72" s="248">
        <f>232</f>
        <v>232</v>
      </c>
      <c r="K72" s="99">
        <f>99709.89*1.25</f>
        <v>124637.3625</v>
      </c>
      <c r="L72" s="209">
        <v>0.12</v>
      </c>
      <c r="M72" s="83">
        <f t="shared" si="0"/>
        <v>32385772.27</v>
      </c>
      <c r="N72" s="11"/>
      <c r="O72" s="9"/>
      <c r="P72" s="1"/>
    </row>
    <row r="73" spans="1:16" ht="24.75" customHeight="1" x14ac:dyDescent="0.3">
      <c r="A73" s="14"/>
      <c r="B73" s="17"/>
      <c r="C73" s="23">
        <v>6.17</v>
      </c>
      <c r="D73" s="184" t="s">
        <v>249</v>
      </c>
      <c r="E73" s="21" t="s">
        <v>170</v>
      </c>
      <c r="F73" s="25"/>
      <c r="G73" s="277" t="s">
        <v>54</v>
      </c>
      <c r="H73" s="277"/>
      <c r="I73" s="233" t="s">
        <v>2</v>
      </c>
      <c r="J73" s="248">
        <f>8</f>
        <v>8</v>
      </c>
      <c r="K73" s="30">
        <f>81024.36*1.25</f>
        <v>101280.45</v>
      </c>
      <c r="L73" s="209">
        <v>0.12</v>
      </c>
      <c r="M73" s="83">
        <f t="shared" si="0"/>
        <v>907472.83</v>
      </c>
      <c r="N73" s="11"/>
      <c r="O73" s="9"/>
      <c r="P73" s="1"/>
    </row>
    <row r="74" spans="1:16" ht="24.75" customHeight="1" x14ac:dyDescent="0.3">
      <c r="A74" s="14"/>
      <c r="B74" s="17"/>
      <c r="C74" s="23">
        <v>6.18</v>
      </c>
      <c r="D74" s="184" t="s">
        <v>250</v>
      </c>
      <c r="E74" s="21" t="s">
        <v>170</v>
      </c>
      <c r="F74" s="25"/>
      <c r="G74" s="277" t="s">
        <v>55</v>
      </c>
      <c r="H74" s="277"/>
      <c r="I74" s="233" t="s">
        <v>2</v>
      </c>
      <c r="J74" s="248">
        <f>16</f>
        <v>16</v>
      </c>
      <c r="K74" s="30">
        <f>122461.16*1.25</f>
        <v>153076.45000000001</v>
      </c>
      <c r="L74" s="209">
        <v>0.12</v>
      </c>
      <c r="M74" s="83">
        <f t="shared" si="0"/>
        <v>2743129.98</v>
      </c>
      <c r="N74" s="11"/>
      <c r="O74" s="9"/>
      <c r="P74" s="1"/>
    </row>
    <row r="75" spans="1:16" ht="33" customHeight="1" x14ac:dyDescent="0.3">
      <c r="A75" s="14"/>
      <c r="B75" s="17"/>
      <c r="C75" s="23">
        <v>6.19</v>
      </c>
      <c r="D75" s="184" t="s">
        <v>251</v>
      </c>
      <c r="E75" s="21" t="s">
        <v>170</v>
      </c>
      <c r="F75" s="25"/>
      <c r="G75" s="277" t="s">
        <v>257</v>
      </c>
      <c r="H75" s="277"/>
      <c r="I75" s="233" t="s">
        <v>2</v>
      </c>
      <c r="J75" s="248">
        <f>64</f>
        <v>64</v>
      </c>
      <c r="K75" s="30">
        <f>24917.98*1.25</f>
        <v>31147.474999999999</v>
      </c>
      <c r="L75" s="209">
        <v>0.12</v>
      </c>
      <c r="M75" s="83">
        <f t="shared" si="0"/>
        <v>2232651.0099999998</v>
      </c>
      <c r="N75" s="11"/>
      <c r="O75" s="9"/>
      <c r="P75" s="1"/>
    </row>
    <row r="76" spans="1:16" ht="23.25" customHeight="1" x14ac:dyDescent="0.3">
      <c r="A76" s="14"/>
      <c r="B76" s="17"/>
      <c r="C76" s="23">
        <v>6.2</v>
      </c>
      <c r="D76" s="184" t="s">
        <v>252</v>
      </c>
      <c r="E76" s="21" t="s">
        <v>170</v>
      </c>
      <c r="F76" s="25"/>
      <c r="G76" s="277" t="s">
        <v>15</v>
      </c>
      <c r="H76" s="277"/>
      <c r="I76" s="233" t="s">
        <v>16</v>
      </c>
      <c r="J76" s="248">
        <f>18.08</f>
        <v>18.079999999999998</v>
      </c>
      <c r="K76" s="30">
        <f>70577.63*1.25</f>
        <v>88222.037500000006</v>
      </c>
      <c r="L76" s="209">
        <v>0</v>
      </c>
      <c r="M76" s="83">
        <f t="shared" si="0"/>
        <v>1595054.44</v>
      </c>
      <c r="N76" s="11"/>
      <c r="O76" s="9"/>
      <c r="P76" s="1"/>
    </row>
    <row r="77" spans="1:16" ht="36.6" customHeight="1" x14ac:dyDescent="0.3">
      <c r="A77" s="14"/>
      <c r="B77" s="17"/>
      <c r="C77" s="23">
        <v>6.21</v>
      </c>
      <c r="D77" s="184" t="s">
        <v>215</v>
      </c>
      <c r="E77" s="21" t="s">
        <v>170</v>
      </c>
      <c r="F77" s="25"/>
      <c r="G77" s="277" t="s">
        <v>56</v>
      </c>
      <c r="H77" s="277"/>
      <c r="I77" s="233" t="s">
        <v>16</v>
      </c>
      <c r="J77" s="248">
        <f>3.3</f>
        <v>3.3</v>
      </c>
      <c r="K77" s="30">
        <f>124268.05*1.25</f>
        <v>155335.0625</v>
      </c>
      <c r="L77" s="209">
        <v>0</v>
      </c>
      <c r="M77" s="83">
        <f t="shared" si="0"/>
        <v>512605.71</v>
      </c>
      <c r="N77" s="11"/>
      <c r="O77" s="9"/>
      <c r="P77" s="1"/>
    </row>
    <row r="78" spans="1:16" ht="36.6" customHeight="1" x14ac:dyDescent="0.3">
      <c r="A78" s="14"/>
      <c r="B78" s="17"/>
      <c r="C78" s="23">
        <v>6.22</v>
      </c>
      <c r="D78" s="184" t="s">
        <v>253</v>
      </c>
      <c r="E78" s="21" t="s">
        <v>170</v>
      </c>
      <c r="F78" s="25"/>
      <c r="G78" s="277" t="s">
        <v>230</v>
      </c>
      <c r="H78" s="277"/>
      <c r="I78" s="233" t="s">
        <v>16</v>
      </c>
      <c r="J78" s="248">
        <f>7.15</f>
        <v>7.15</v>
      </c>
      <c r="K78" s="30">
        <f>108310.55*1.25</f>
        <v>135388.1875</v>
      </c>
      <c r="L78" s="209">
        <v>0</v>
      </c>
      <c r="M78" s="83">
        <f t="shared" si="0"/>
        <v>968025.54</v>
      </c>
      <c r="N78" s="11"/>
      <c r="O78" s="9"/>
      <c r="P78" s="1"/>
    </row>
    <row r="79" spans="1:16" ht="24.75" customHeight="1" thickBot="1" x14ac:dyDescent="0.35">
      <c r="A79" s="14"/>
      <c r="B79" s="17"/>
      <c r="C79" s="78" t="s">
        <v>147</v>
      </c>
      <c r="D79" s="53"/>
      <c r="E79" s="55"/>
      <c r="F79" s="53"/>
      <c r="G79" s="34"/>
      <c r="H79" s="34"/>
      <c r="I79" s="234"/>
      <c r="J79" s="249"/>
      <c r="K79" s="31"/>
      <c r="L79" s="212"/>
      <c r="M79" s="87">
        <f>+ROUND(SUM(M57:M78),0)</f>
        <v>131526549</v>
      </c>
      <c r="N79" s="11"/>
      <c r="O79" s="9"/>
      <c r="P79" s="1"/>
    </row>
    <row r="80" spans="1:16" s="4" customFormat="1" ht="36.6" customHeight="1" thickBot="1" x14ac:dyDescent="0.35">
      <c r="A80" s="14"/>
      <c r="B80" s="17"/>
      <c r="C80" s="81" t="s">
        <v>57</v>
      </c>
      <c r="D80" s="91"/>
      <c r="E80" s="92"/>
      <c r="F80" s="91"/>
      <c r="G80" s="282"/>
      <c r="H80" s="282"/>
      <c r="I80" s="240"/>
      <c r="J80" s="256"/>
      <c r="K80" s="93"/>
      <c r="L80" s="217"/>
      <c r="M80" s="94"/>
      <c r="N80" s="11"/>
      <c r="O80" s="9"/>
      <c r="P80" s="3"/>
    </row>
    <row r="81" spans="1:16" ht="21" customHeight="1" x14ac:dyDescent="0.3">
      <c r="A81" s="14"/>
      <c r="B81" s="17"/>
      <c r="C81" s="187">
        <v>7.01</v>
      </c>
      <c r="D81" s="195" t="s">
        <v>58</v>
      </c>
      <c r="E81" s="188" t="s">
        <v>232</v>
      </c>
      <c r="F81" s="189"/>
      <c r="G81" s="288" t="s">
        <v>59</v>
      </c>
      <c r="H81" s="288"/>
      <c r="I81" s="232" t="s">
        <v>11</v>
      </c>
      <c r="J81" s="251">
        <f>27.6</f>
        <v>27.6</v>
      </c>
      <c r="K81" s="190">
        <f>4492*1.25</f>
        <v>5615</v>
      </c>
      <c r="L81" s="207">
        <v>0</v>
      </c>
      <c r="M81" s="191">
        <f t="shared" si="0"/>
        <v>154974</v>
      </c>
      <c r="N81" s="11"/>
      <c r="O81" s="9"/>
      <c r="P81" s="1"/>
    </row>
    <row r="82" spans="1:16" ht="21" customHeight="1" x14ac:dyDescent="0.3">
      <c r="A82" s="14"/>
      <c r="B82" s="17"/>
      <c r="C82" s="23">
        <v>7.02</v>
      </c>
      <c r="D82" s="184" t="s">
        <v>60</v>
      </c>
      <c r="E82" s="21" t="s">
        <v>232</v>
      </c>
      <c r="F82" s="25"/>
      <c r="G82" s="277" t="s">
        <v>61</v>
      </c>
      <c r="H82" s="277"/>
      <c r="I82" s="233" t="s">
        <v>2</v>
      </c>
      <c r="J82" s="248">
        <f>144</f>
        <v>144</v>
      </c>
      <c r="K82" s="27">
        <f>112576*1.25</f>
        <v>140720</v>
      </c>
      <c r="L82" s="209">
        <v>0.12</v>
      </c>
      <c r="M82" s="83">
        <f t="shared" si="0"/>
        <v>22695321.600000001</v>
      </c>
      <c r="N82" s="11"/>
      <c r="O82" s="9"/>
      <c r="P82" s="1"/>
    </row>
    <row r="83" spans="1:16" ht="21" customHeight="1" x14ac:dyDescent="0.3">
      <c r="A83" s="14"/>
      <c r="B83" s="17"/>
      <c r="C83" s="23">
        <v>7.03</v>
      </c>
      <c r="D83" s="184" t="s">
        <v>62</v>
      </c>
      <c r="E83" s="21" t="s">
        <v>232</v>
      </c>
      <c r="F83" s="25"/>
      <c r="G83" s="277" t="s">
        <v>63</v>
      </c>
      <c r="H83" s="277"/>
      <c r="I83" s="233" t="s">
        <v>13</v>
      </c>
      <c r="J83" s="248">
        <f>263.2</f>
        <v>263.2</v>
      </c>
      <c r="K83" s="27">
        <f>6669*1.25</f>
        <v>8336.25</v>
      </c>
      <c r="L83" s="209">
        <v>0.12</v>
      </c>
      <c r="M83" s="83">
        <f t="shared" si="0"/>
        <v>2457393.12</v>
      </c>
      <c r="N83" s="11"/>
      <c r="O83" s="9"/>
      <c r="P83" s="1"/>
    </row>
    <row r="84" spans="1:16" ht="26.25" customHeight="1" x14ac:dyDescent="0.3">
      <c r="A84" s="14"/>
      <c r="B84" s="17"/>
      <c r="C84" s="23">
        <v>7.04</v>
      </c>
      <c r="D84" s="184" t="s">
        <v>64</v>
      </c>
      <c r="E84" s="21" t="s">
        <v>232</v>
      </c>
      <c r="F84" s="25"/>
      <c r="G84" s="277" t="s">
        <v>65</v>
      </c>
      <c r="H84" s="277"/>
      <c r="I84" s="233" t="s">
        <v>13</v>
      </c>
      <c r="J84" s="248">
        <f>160</f>
        <v>160</v>
      </c>
      <c r="K84" s="27">
        <f>9689*1.25</f>
        <v>12111.25</v>
      </c>
      <c r="L84" s="209">
        <v>0.12</v>
      </c>
      <c r="M84" s="83">
        <f t="shared" si="0"/>
        <v>2170336</v>
      </c>
      <c r="N84" s="11"/>
      <c r="O84" s="9"/>
      <c r="P84" s="1"/>
    </row>
    <row r="85" spans="1:16" ht="28.5" customHeight="1" x14ac:dyDescent="0.3">
      <c r="A85" s="14"/>
      <c r="B85" s="17"/>
      <c r="C85" s="23">
        <v>7.05</v>
      </c>
      <c r="D85" s="184" t="s">
        <v>66</v>
      </c>
      <c r="E85" s="21" t="s">
        <v>232</v>
      </c>
      <c r="F85" s="25"/>
      <c r="G85" s="277" t="s">
        <v>67</v>
      </c>
      <c r="H85" s="277"/>
      <c r="I85" s="233" t="s">
        <v>13</v>
      </c>
      <c r="J85" s="248">
        <f>12</f>
        <v>12</v>
      </c>
      <c r="K85" s="27">
        <f>17977*1.25</f>
        <v>22471.25</v>
      </c>
      <c r="L85" s="209">
        <v>0.12</v>
      </c>
      <c r="M85" s="83">
        <f t="shared" si="0"/>
        <v>302013.59999999998</v>
      </c>
      <c r="N85" s="11"/>
      <c r="O85" s="9"/>
      <c r="P85" s="1"/>
    </row>
    <row r="86" spans="1:16" ht="28.5" customHeight="1" x14ac:dyDescent="0.3">
      <c r="A86" s="14"/>
      <c r="B86" s="17"/>
      <c r="C86" s="23">
        <v>7.06</v>
      </c>
      <c r="D86" s="184" t="s">
        <v>68</v>
      </c>
      <c r="E86" s="21" t="s">
        <v>232</v>
      </c>
      <c r="F86" s="25"/>
      <c r="G86" s="277" t="s">
        <v>69</v>
      </c>
      <c r="H86" s="277"/>
      <c r="I86" s="233" t="s">
        <v>13</v>
      </c>
      <c r="J86" s="248">
        <f>30</f>
        <v>30</v>
      </c>
      <c r="K86" s="27">
        <f>22673*1.25</f>
        <v>28341.25</v>
      </c>
      <c r="L86" s="209">
        <v>0.12</v>
      </c>
      <c r="M86" s="83">
        <f t="shared" si="0"/>
        <v>952266</v>
      </c>
      <c r="N86" s="11"/>
      <c r="O86" s="9"/>
      <c r="P86" s="1"/>
    </row>
    <row r="87" spans="1:16" ht="28.5" customHeight="1" x14ac:dyDescent="0.3">
      <c r="A87" s="14"/>
      <c r="B87" s="17"/>
      <c r="C87" s="23">
        <v>7.07</v>
      </c>
      <c r="D87" s="184" t="s">
        <v>204</v>
      </c>
      <c r="E87" s="21" t="s">
        <v>170</v>
      </c>
      <c r="F87" s="25"/>
      <c r="G87" s="277" t="s">
        <v>219</v>
      </c>
      <c r="H87" s="277"/>
      <c r="I87" s="233" t="s">
        <v>13</v>
      </c>
      <c r="J87" s="248">
        <f>20</f>
        <v>20</v>
      </c>
      <c r="K87" s="27">
        <f>30583.17*1.25</f>
        <v>38228.962499999994</v>
      </c>
      <c r="L87" s="209">
        <v>0.12</v>
      </c>
      <c r="M87" s="83">
        <f t="shared" si="0"/>
        <v>856328.76</v>
      </c>
      <c r="N87" s="11"/>
      <c r="O87" s="9"/>
      <c r="P87" s="1"/>
    </row>
    <row r="88" spans="1:16" ht="28.5" customHeight="1" x14ac:dyDescent="0.3">
      <c r="A88" s="14"/>
      <c r="B88" s="17"/>
      <c r="C88" s="23">
        <v>7.08</v>
      </c>
      <c r="D88" s="184" t="s">
        <v>205</v>
      </c>
      <c r="E88" s="21" t="s">
        <v>170</v>
      </c>
      <c r="F88" s="25"/>
      <c r="G88" s="277" t="s">
        <v>220</v>
      </c>
      <c r="H88" s="277"/>
      <c r="I88" s="233" t="s">
        <v>2</v>
      </c>
      <c r="J88" s="248">
        <f>16</f>
        <v>16</v>
      </c>
      <c r="K88" s="27">
        <f>24806.13*1.25</f>
        <v>31007.662500000002</v>
      </c>
      <c r="L88" s="209">
        <v>0.12</v>
      </c>
      <c r="M88" s="83">
        <f t="shared" ref="M88:M156" si="1">+ROUND(K88*J88*(1+L88),2)</f>
        <v>555657.31000000006</v>
      </c>
      <c r="N88" s="11"/>
      <c r="O88" s="9"/>
      <c r="P88" s="1"/>
    </row>
    <row r="89" spans="1:16" ht="28.5" customHeight="1" x14ac:dyDescent="0.3">
      <c r="A89" s="14"/>
      <c r="B89" s="17"/>
      <c r="C89" s="23">
        <v>7.09</v>
      </c>
      <c r="D89" s="184" t="s">
        <v>206</v>
      </c>
      <c r="E89" s="21" t="s">
        <v>171</v>
      </c>
      <c r="F89" s="25"/>
      <c r="G89" s="277" t="s">
        <v>284</v>
      </c>
      <c r="H89" s="277"/>
      <c r="I89" s="233" t="s">
        <v>2</v>
      </c>
      <c r="J89" s="248">
        <f>4</f>
        <v>4</v>
      </c>
      <c r="K89" s="27">
        <f>54976.29*1.25</f>
        <v>68720.362500000003</v>
      </c>
      <c r="L89" s="209">
        <v>0</v>
      </c>
      <c r="M89" s="83">
        <f t="shared" si="1"/>
        <v>274881.45</v>
      </c>
      <c r="N89" s="11"/>
      <c r="O89" s="9"/>
      <c r="P89" s="1"/>
    </row>
    <row r="90" spans="1:16" ht="28.5" customHeight="1" x14ac:dyDescent="0.3">
      <c r="A90" s="14"/>
      <c r="B90" s="17"/>
      <c r="C90" s="23">
        <v>7.1</v>
      </c>
      <c r="D90" s="184" t="s">
        <v>206</v>
      </c>
      <c r="E90" s="21" t="s">
        <v>170</v>
      </c>
      <c r="F90" s="25"/>
      <c r="G90" s="277" t="s">
        <v>221</v>
      </c>
      <c r="H90" s="277"/>
      <c r="I90" s="233" t="s">
        <v>2</v>
      </c>
      <c r="J90" s="248">
        <f>1</f>
        <v>1</v>
      </c>
      <c r="K90" s="27">
        <f>69441.44*1.25</f>
        <v>86801.8</v>
      </c>
      <c r="L90" s="209">
        <v>0.12</v>
      </c>
      <c r="M90" s="83">
        <f t="shared" si="1"/>
        <v>97218.02</v>
      </c>
      <c r="N90" s="11"/>
      <c r="O90" s="9"/>
      <c r="P90" s="1"/>
    </row>
    <row r="91" spans="1:16" ht="23.25" customHeight="1" x14ac:dyDescent="0.3">
      <c r="A91" s="14"/>
      <c r="B91" s="17"/>
      <c r="C91" s="23">
        <v>7.11</v>
      </c>
      <c r="D91" s="184"/>
      <c r="E91" s="21" t="s">
        <v>171</v>
      </c>
      <c r="F91" s="25"/>
      <c r="G91" s="277" t="s">
        <v>70</v>
      </c>
      <c r="H91" s="277"/>
      <c r="I91" s="233" t="s">
        <v>2</v>
      </c>
      <c r="J91" s="248">
        <f>16</f>
        <v>16</v>
      </c>
      <c r="K91" s="27">
        <f>300161*1.25</f>
        <v>375201.25</v>
      </c>
      <c r="L91" s="209">
        <v>0</v>
      </c>
      <c r="M91" s="83">
        <f t="shared" si="1"/>
        <v>6003220</v>
      </c>
      <c r="N91" s="11"/>
      <c r="O91" s="9"/>
      <c r="P91" s="1"/>
    </row>
    <row r="92" spans="1:16" ht="30.75" customHeight="1" x14ac:dyDescent="0.3">
      <c r="A92" s="14"/>
      <c r="B92" s="17"/>
      <c r="C92" s="23">
        <v>7.12</v>
      </c>
      <c r="D92" s="184"/>
      <c r="E92" s="21" t="s">
        <v>171</v>
      </c>
      <c r="F92" s="25"/>
      <c r="G92" s="277" t="s">
        <v>71</v>
      </c>
      <c r="H92" s="277"/>
      <c r="I92" s="233" t="s">
        <v>2</v>
      </c>
      <c r="J92" s="248">
        <f>4</f>
        <v>4</v>
      </c>
      <c r="K92" s="28">
        <f>1020590*1.25</f>
        <v>1275737.5</v>
      </c>
      <c r="L92" s="209">
        <v>0</v>
      </c>
      <c r="M92" s="83">
        <f t="shared" si="1"/>
        <v>5102950</v>
      </c>
      <c r="N92" s="11"/>
      <c r="O92" s="9"/>
      <c r="P92" s="1"/>
    </row>
    <row r="93" spans="1:16" ht="21.75" customHeight="1" x14ac:dyDescent="0.3">
      <c r="A93" s="14"/>
      <c r="B93" s="17"/>
      <c r="C93" s="23">
        <v>7.13</v>
      </c>
      <c r="D93" s="184" t="s">
        <v>207</v>
      </c>
      <c r="E93" s="21" t="s">
        <v>170</v>
      </c>
      <c r="F93" s="25"/>
      <c r="G93" s="277" t="s">
        <v>222</v>
      </c>
      <c r="H93" s="277"/>
      <c r="I93" s="233" t="s">
        <v>2</v>
      </c>
      <c r="J93" s="248">
        <f>128</f>
        <v>128</v>
      </c>
      <c r="K93" s="27">
        <f>82624*1.25</f>
        <v>103280</v>
      </c>
      <c r="L93" s="209">
        <v>0.12</v>
      </c>
      <c r="M93" s="83">
        <f t="shared" si="1"/>
        <v>14806220.800000001</v>
      </c>
      <c r="N93" s="11"/>
      <c r="O93" s="9"/>
      <c r="P93" s="1"/>
    </row>
    <row r="94" spans="1:16" ht="21.75" customHeight="1" x14ac:dyDescent="0.3">
      <c r="A94" s="14"/>
      <c r="B94" s="17"/>
      <c r="C94" s="23">
        <v>7.14</v>
      </c>
      <c r="D94" s="184" t="s">
        <v>208</v>
      </c>
      <c r="E94" s="21" t="s">
        <v>170</v>
      </c>
      <c r="F94" s="25"/>
      <c r="G94" s="277" t="s">
        <v>223</v>
      </c>
      <c r="H94" s="277"/>
      <c r="I94" s="233" t="s">
        <v>2</v>
      </c>
      <c r="J94" s="248">
        <f>32</f>
        <v>32</v>
      </c>
      <c r="K94" s="27">
        <f>161840.91*1.25</f>
        <v>202301.13750000001</v>
      </c>
      <c r="L94" s="209">
        <v>0.12</v>
      </c>
      <c r="M94" s="83">
        <f t="shared" si="1"/>
        <v>7250472.7699999996</v>
      </c>
      <c r="N94" s="11"/>
      <c r="O94" s="9"/>
      <c r="P94" s="1"/>
    </row>
    <row r="95" spans="1:16" ht="21.75" customHeight="1" x14ac:dyDescent="0.3">
      <c r="A95" s="14"/>
      <c r="B95" s="17"/>
      <c r="C95" s="23">
        <v>7.15</v>
      </c>
      <c r="D95" s="184" t="s">
        <v>209</v>
      </c>
      <c r="E95" s="21" t="s">
        <v>170</v>
      </c>
      <c r="F95" s="25"/>
      <c r="G95" s="277" t="s">
        <v>224</v>
      </c>
      <c r="H95" s="277"/>
      <c r="I95" s="233" t="s">
        <v>13</v>
      </c>
      <c r="J95" s="248">
        <f>158</f>
        <v>158</v>
      </c>
      <c r="K95" s="27">
        <f>34739.45*1.25</f>
        <v>43424.3125</v>
      </c>
      <c r="L95" s="209">
        <v>0.12</v>
      </c>
      <c r="M95" s="83">
        <f t="shared" si="1"/>
        <v>7684366.3399999999</v>
      </c>
      <c r="N95" s="11"/>
      <c r="O95" s="9"/>
      <c r="P95" s="1"/>
    </row>
    <row r="96" spans="1:16" ht="21.75" customHeight="1" x14ac:dyDescent="0.3">
      <c r="A96" s="14"/>
      <c r="B96" s="17"/>
      <c r="C96" s="23">
        <v>7.16</v>
      </c>
      <c r="D96" s="184" t="s">
        <v>210</v>
      </c>
      <c r="E96" s="21" t="s">
        <v>170</v>
      </c>
      <c r="F96" s="25"/>
      <c r="G96" s="277" t="s">
        <v>225</v>
      </c>
      <c r="H96" s="277"/>
      <c r="I96" s="233" t="s">
        <v>13</v>
      </c>
      <c r="J96" s="248">
        <f>6</f>
        <v>6</v>
      </c>
      <c r="K96" s="27">
        <f>37310.69*1.25</f>
        <v>46638.362500000003</v>
      </c>
      <c r="L96" s="209">
        <v>0.12</v>
      </c>
      <c r="M96" s="83">
        <f t="shared" si="1"/>
        <v>313409.8</v>
      </c>
      <c r="N96" s="11"/>
      <c r="O96" s="9"/>
      <c r="P96" s="1"/>
    </row>
    <row r="97" spans="1:16" ht="21.75" customHeight="1" x14ac:dyDescent="0.3">
      <c r="A97" s="14"/>
      <c r="B97" s="17"/>
      <c r="C97" s="23">
        <v>7.17</v>
      </c>
      <c r="D97" s="184" t="s">
        <v>211</v>
      </c>
      <c r="E97" s="21" t="s">
        <v>170</v>
      </c>
      <c r="F97" s="25"/>
      <c r="G97" s="277" t="s">
        <v>226</v>
      </c>
      <c r="H97" s="277"/>
      <c r="I97" s="233" t="s">
        <v>13</v>
      </c>
      <c r="J97" s="248">
        <f>113.8</f>
        <v>113.8</v>
      </c>
      <c r="K97" s="27">
        <f>52061.96*1.25</f>
        <v>65077.45</v>
      </c>
      <c r="L97" s="209">
        <v>0.12</v>
      </c>
      <c r="M97" s="83">
        <f t="shared" si="1"/>
        <v>8294511.4699999997</v>
      </c>
      <c r="N97" s="11"/>
      <c r="O97" s="9"/>
      <c r="P97" s="1"/>
    </row>
    <row r="98" spans="1:16" ht="21.75" customHeight="1" x14ac:dyDescent="0.3">
      <c r="A98" s="14"/>
      <c r="B98" s="17"/>
      <c r="C98" s="23">
        <v>7.18</v>
      </c>
      <c r="D98" s="184"/>
      <c r="E98" s="21" t="s">
        <v>171</v>
      </c>
      <c r="F98" s="25"/>
      <c r="G98" s="277" t="s">
        <v>72</v>
      </c>
      <c r="H98" s="277"/>
      <c r="I98" s="233" t="s">
        <v>13</v>
      </c>
      <c r="J98" s="248">
        <f>60</f>
        <v>60</v>
      </c>
      <c r="K98" s="27">
        <f>33701*1.25</f>
        <v>42126.25</v>
      </c>
      <c r="L98" s="209">
        <v>0.12</v>
      </c>
      <c r="M98" s="83">
        <f t="shared" si="1"/>
        <v>2830884</v>
      </c>
      <c r="N98" s="11"/>
      <c r="O98" s="9"/>
      <c r="P98" s="1"/>
    </row>
    <row r="99" spans="1:16" ht="21.75" customHeight="1" x14ac:dyDescent="0.3">
      <c r="A99" s="14"/>
      <c r="B99" s="17"/>
      <c r="C99" s="23">
        <v>7.19</v>
      </c>
      <c r="D99" s="184"/>
      <c r="E99" s="21" t="s">
        <v>171</v>
      </c>
      <c r="F99" s="25"/>
      <c r="G99" s="277" t="s">
        <v>73</v>
      </c>
      <c r="H99" s="277"/>
      <c r="I99" s="233" t="s">
        <v>13</v>
      </c>
      <c r="J99" s="248">
        <f>64</f>
        <v>64</v>
      </c>
      <c r="K99" s="27">
        <f>38277*1.25</f>
        <v>47846.25</v>
      </c>
      <c r="L99" s="209">
        <v>0</v>
      </c>
      <c r="M99" s="83">
        <f t="shared" si="1"/>
        <v>3062160</v>
      </c>
      <c r="N99" s="11"/>
      <c r="O99" s="9"/>
      <c r="P99" s="1"/>
    </row>
    <row r="100" spans="1:16" ht="33" customHeight="1" x14ac:dyDescent="0.3">
      <c r="A100" s="14"/>
      <c r="B100" s="17"/>
      <c r="C100" s="23">
        <v>7.2</v>
      </c>
      <c r="D100" s="184" t="s">
        <v>212</v>
      </c>
      <c r="E100" s="21" t="s">
        <v>170</v>
      </c>
      <c r="F100" s="25"/>
      <c r="G100" s="277" t="s">
        <v>227</v>
      </c>
      <c r="H100" s="277"/>
      <c r="I100" s="233" t="s">
        <v>2</v>
      </c>
      <c r="J100" s="248">
        <f>48</f>
        <v>48</v>
      </c>
      <c r="K100" s="27">
        <f>28620.43*1.25</f>
        <v>35775.537499999999</v>
      </c>
      <c r="L100" s="209">
        <v>0.12</v>
      </c>
      <c r="M100" s="83">
        <f t="shared" si="1"/>
        <v>1923292.9</v>
      </c>
      <c r="N100" s="11"/>
      <c r="O100" s="9"/>
      <c r="P100" s="1"/>
    </row>
    <row r="101" spans="1:16" ht="24.75" customHeight="1" x14ac:dyDescent="0.3">
      <c r="A101" s="14"/>
      <c r="B101" s="17"/>
      <c r="C101" s="23">
        <v>7.21</v>
      </c>
      <c r="D101" s="184" t="s">
        <v>213</v>
      </c>
      <c r="E101" s="21" t="s">
        <v>170</v>
      </c>
      <c r="F101" s="25"/>
      <c r="G101" s="277" t="s">
        <v>228</v>
      </c>
      <c r="H101" s="277"/>
      <c r="I101" s="233" t="s">
        <v>13</v>
      </c>
      <c r="J101" s="248">
        <f>16</f>
        <v>16</v>
      </c>
      <c r="K101" s="27">
        <f>142207.99*1.25</f>
        <v>177759.98749999999</v>
      </c>
      <c r="L101" s="209">
        <v>0.12</v>
      </c>
      <c r="M101" s="83">
        <f t="shared" si="1"/>
        <v>3185458.98</v>
      </c>
      <c r="N101" s="11"/>
      <c r="O101" s="9"/>
      <c r="P101" s="1"/>
    </row>
    <row r="102" spans="1:16" ht="24.75" customHeight="1" x14ac:dyDescent="0.3">
      <c r="A102" s="14"/>
      <c r="B102" s="17"/>
      <c r="C102" s="23">
        <v>7.22</v>
      </c>
      <c r="D102" s="184" t="s">
        <v>214</v>
      </c>
      <c r="E102" s="21" t="s">
        <v>170</v>
      </c>
      <c r="F102" s="25"/>
      <c r="G102" s="277" t="s">
        <v>229</v>
      </c>
      <c r="H102" s="277"/>
      <c r="I102" s="233" t="s">
        <v>16</v>
      </c>
      <c r="J102" s="248">
        <f>4.17</f>
        <v>4.17</v>
      </c>
      <c r="K102" s="27">
        <f>70577.63*1.25</f>
        <v>88222.037500000006</v>
      </c>
      <c r="L102" s="209">
        <v>0</v>
      </c>
      <c r="M102" s="83">
        <f t="shared" si="1"/>
        <v>367885.9</v>
      </c>
      <c r="N102" s="11"/>
      <c r="O102" s="9"/>
      <c r="P102" s="1"/>
    </row>
    <row r="103" spans="1:16" ht="26.25" customHeight="1" x14ac:dyDescent="0.3">
      <c r="A103" s="14"/>
      <c r="B103" s="17"/>
      <c r="C103" s="23">
        <v>7.23</v>
      </c>
      <c r="D103" s="184" t="s">
        <v>215</v>
      </c>
      <c r="E103" s="21" t="s">
        <v>170</v>
      </c>
      <c r="F103" s="25"/>
      <c r="G103" s="277" t="s">
        <v>56</v>
      </c>
      <c r="H103" s="277"/>
      <c r="I103" s="233" t="s">
        <v>16</v>
      </c>
      <c r="J103" s="248">
        <f>1.71</f>
        <v>1.71</v>
      </c>
      <c r="K103" s="27">
        <f>124268.05*1.25</f>
        <v>155335.0625</v>
      </c>
      <c r="L103" s="209">
        <v>0</v>
      </c>
      <c r="M103" s="83">
        <f t="shared" si="1"/>
        <v>265622.96000000002</v>
      </c>
      <c r="N103" s="11"/>
      <c r="O103" s="9"/>
      <c r="P103" s="1"/>
    </row>
    <row r="104" spans="1:16" ht="26.25" customHeight="1" x14ac:dyDescent="0.3">
      <c r="A104" s="14"/>
      <c r="B104" s="17"/>
      <c r="C104" s="23">
        <v>7.24</v>
      </c>
      <c r="D104" s="184" t="s">
        <v>216</v>
      </c>
      <c r="E104" s="21" t="s">
        <v>170</v>
      </c>
      <c r="F104" s="25"/>
      <c r="G104" s="277" t="s">
        <v>230</v>
      </c>
      <c r="H104" s="277"/>
      <c r="I104" s="233" t="s">
        <v>16</v>
      </c>
      <c r="J104" s="248">
        <f>2.46</f>
        <v>2.46</v>
      </c>
      <c r="K104" s="27">
        <f>108310.55*1.25</f>
        <v>135388.1875</v>
      </c>
      <c r="L104" s="209">
        <v>0</v>
      </c>
      <c r="M104" s="83">
        <f t="shared" si="1"/>
        <v>333054.94</v>
      </c>
      <c r="N104" s="11"/>
      <c r="O104" s="9"/>
      <c r="P104" s="1"/>
    </row>
    <row r="105" spans="1:16" ht="23.25" customHeight="1" x14ac:dyDescent="0.3">
      <c r="A105" s="14"/>
      <c r="B105" s="17"/>
      <c r="C105" s="23">
        <v>7.25</v>
      </c>
      <c r="D105" s="184" t="s">
        <v>217</v>
      </c>
      <c r="E105" s="21" t="s">
        <v>170</v>
      </c>
      <c r="F105" s="25"/>
      <c r="G105" s="277" t="s">
        <v>231</v>
      </c>
      <c r="H105" s="277"/>
      <c r="I105" s="233" t="s">
        <v>2</v>
      </c>
      <c r="J105" s="248">
        <f>2</f>
        <v>2</v>
      </c>
      <c r="K105" s="27">
        <f>563564.25*1.25</f>
        <v>704455.3125</v>
      </c>
      <c r="L105" s="209">
        <v>0.12</v>
      </c>
      <c r="M105" s="83">
        <f t="shared" si="1"/>
        <v>1577979.9</v>
      </c>
      <c r="N105" s="11"/>
      <c r="O105" s="9"/>
      <c r="P105" s="1"/>
    </row>
    <row r="106" spans="1:16" ht="27.75" customHeight="1" x14ac:dyDescent="0.3">
      <c r="A106" s="14"/>
      <c r="B106" s="17"/>
      <c r="C106" s="23">
        <v>7.26</v>
      </c>
      <c r="D106" s="184" t="s">
        <v>218</v>
      </c>
      <c r="E106" s="21" t="s">
        <v>232</v>
      </c>
      <c r="F106" s="25"/>
      <c r="G106" s="277" t="s">
        <v>74</v>
      </c>
      <c r="H106" s="277"/>
      <c r="I106" s="233" t="s">
        <v>2</v>
      </c>
      <c r="J106" s="248">
        <f>1</f>
        <v>1</v>
      </c>
      <c r="K106" s="27">
        <f>187683*1.25</f>
        <v>234603.75</v>
      </c>
      <c r="L106" s="209">
        <v>0.12</v>
      </c>
      <c r="M106" s="83">
        <f t="shared" si="1"/>
        <v>262756.2</v>
      </c>
      <c r="N106" s="11"/>
      <c r="O106" s="9"/>
      <c r="P106" s="1"/>
    </row>
    <row r="107" spans="1:16" ht="22.5" customHeight="1" thickBot="1" x14ac:dyDescent="0.35">
      <c r="A107" s="14"/>
      <c r="B107" s="17"/>
      <c r="C107" s="78" t="s">
        <v>147</v>
      </c>
      <c r="D107" s="53"/>
      <c r="E107" s="32"/>
      <c r="F107" s="53"/>
      <c r="G107" s="277"/>
      <c r="H107" s="277"/>
      <c r="I107" s="234"/>
      <c r="J107" s="249"/>
      <c r="K107" s="100"/>
      <c r="L107" s="212"/>
      <c r="M107" s="87">
        <f>+ROUND(SUM(M81:M106),0)</f>
        <v>93780637</v>
      </c>
      <c r="N107" s="11"/>
      <c r="O107" s="9"/>
      <c r="P107" s="1"/>
    </row>
    <row r="108" spans="1:16" s="4" customFormat="1" ht="36.6" customHeight="1" thickBot="1" x14ac:dyDescent="0.35">
      <c r="A108" s="14"/>
      <c r="B108" s="17"/>
      <c r="C108" s="85" t="s">
        <v>75</v>
      </c>
      <c r="D108" s="95"/>
      <c r="E108" s="96"/>
      <c r="F108" s="95"/>
      <c r="G108" s="281"/>
      <c r="H108" s="281"/>
      <c r="I108" s="238"/>
      <c r="J108" s="254"/>
      <c r="K108" s="97"/>
      <c r="L108" s="215"/>
      <c r="M108" s="98"/>
      <c r="N108" s="11"/>
      <c r="O108" s="9"/>
      <c r="P108" s="3"/>
    </row>
    <row r="109" spans="1:16" ht="29.25" customHeight="1" x14ac:dyDescent="0.3">
      <c r="A109" s="14"/>
      <c r="B109" s="17"/>
      <c r="C109" s="103">
        <v>8.01</v>
      </c>
      <c r="D109" s="57" t="s">
        <v>202</v>
      </c>
      <c r="E109" s="21" t="s">
        <v>170</v>
      </c>
      <c r="F109" s="57"/>
      <c r="G109" s="289" t="s">
        <v>203</v>
      </c>
      <c r="H109" s="289"/>
      <c r="I109" s="239" t="s">
        <v>2</v>
      </c>
      <c r="J109" s="255">
        <f>32</f>
        <v>32</v>
      </c>
      <c r="K109" s="58">
        <f>221468.41*1.25</f>
        <v>276835.51250000001</v>
      </c>
      <c r="L109" s="216">
        <v>0.12</v>
      </c>
      <c r="M109" s="82">
        <f t="shared" si="1"/>
        <v>9921784.7699999996</v>
      </c>
      <c r="N109" s="11"/>
      <c r="O109" s="9"/>
      <c r="P109" s="1"/>
    </row>
    <row r="110" spans="1:16" ht="24.75" customHeight="1" x14ac:dyDescent="0.3">
      <c r="A110" s="14"/>
      <c r="B110" s="17"/>
      <c r="C110" s="104">
        <v>8.02</v>
      </c>
      <c r="D110" s="29"/>
      <c r="E110" s="24"/>
      <c r="F110" s="186" t="s">
        <v>171</v>
      </c>
      <c r="G110" s="277" t="s">
        <v>76</v>
      </c>
      <c r="H110" s="277"/>
      <c r="I110" s="233" t="s">
        <v>2</v>
      </c>
      <c r="J110" s="248">
        <f>32</f>
        <v>32</v>
      </c>
      <c r="K110" s="30">
        <f>796221.7*1.25</f>
        <v>995277.125</v>
      </c>
      <c r="L110" s="209">
        <v>0</v>
      </c>
      <c r="M110" s="83">
        <f t="shared" si="1"/>
        <v>31848868</v>
      </c>
      <c r="N110" s="11"/>
      <c r="O110" s="9"/>
      <c r="P110" s="1"/>
    </row>
    <row r="111" spans="1:16" ht="29.25" customHeight="1" x14ac:dyDescent="0.3">
      <c r="A111" s="14"/>
      <c r="B111" s="17"/>
      <c r="C111" s="104">
        <v>8.0299999999999994</v>
      </c>
      <c r="D111" s="29"/>
      <c r="E111" s="24"/>
      <c r="F111" s="186" t="s">
        <v>171</v>
      </c>
      <c r="G111" s="277" t="s">
        <v>77</v>
      </c>
      <c r="H111" s="277"/>
      <c r="I111" s="233" t="s">
        <v>2</v>
      </c>
      <c r="J111" s="248">
        <f>16</f>
        <v>16</v>
      </c>
      <c r="K111" s="30">
        <f>414437.54*1.25</f>
        <v>518046.92499999999</v>
      </c>
      <c r="L111" s="209">
        <v>0</v>
      </c>
      <c r="M111" s="83">
        <f t="shared" si="1"/>
        <v>8288750.7999999998</v>
      </c>
      <c r="N111" s="11"/>
      <c r="O111" s="9"/>
      <c r="P111" s="1"/>
    </row>
    <row r="112" spans="1:16" ht="21" customHeight="1" x14ac:dyDescent="0.3">
      <c r="A112" s="14"/>
      <c r="B112" s="17"/>
      <c r="C112" s="104">
        <v>8.0399999999999991</v>
      </c>
      <c r="D112" s="29"/>
      <c r="E112" s="24"/>
      <c r="F112" s="186" t="s">
        <v>171</v>
      </c>
      <c r="G112" s="277" t="s">
        <v>78</v>
      </c>
      <c r="H112" s="277"/>
      <c r="I112" s="233" t="s">
        <v>2</v>
      </c>
      <c r="J112" s="248">
        <f>16</f>
        <v>16</v>
      </c>
      <c r="K112" s="30">
        <f>472383.21*1.25</f>
        <v>590479.01250000007</v>
      </c>
      <c r="L112" s="209">
        <v>0</v>
      </c>
      <c r="M112" s="83">
        <f t="shared" si="1"/>
        <v>9447664.1999999993</v>
      </c>
      <c r="N112" s="11"/>
      <c r="O112" s="9"/>
      <c r="P112" s="1"/>
    </row>
    <row r="113" spans="1:16" ht="29.25" customHeight="1" thickBot="1" x14ac:dyDescent="0.35">
      <c r="A113" s="14"/>
      <c r="B113" s="17"/>
      <c r="C113" s="78" t="s">
        <v>147</v>
      </c>
      <c r="D113" s="102"/>
      <c r="E113" s="55"/>
      <c r="F113" s="102"/>
      <c r="G113" s="34"/>
      <c r="H113" s="34"/>
      <c r="I113" s="234"/>
      <c r="J113" s="249"/>
      <c r="K113" s="31"/>
      <c r="L113" s="212"/>
      <c r="M113" s="87">
        <f>+ROUND(SUM(M109:M112),0)</f>
        <v>59507068</v>
      </c>
      <c r="N113" s="11"/>
      <c r="O113" s="9"/>
      <c r="P113" s="1"/>
    </row>
    <row r="114" spans="1:16" s="4" customFormat="1" ht="29.25" customHeight="1" thickBot="1" x14ac:dyDescent="0.35">
      <c r="A114" s="14"/>
      <c r="B114" s="17"/>
      <c r="C114" s="105" t="s">
        <v>79</v>
      </c>
      <c r="D114" s="194"/>
      <c r="E114" s="92"/>
      <c r="F114" s="194"/>
      <c r="G114" s="282"/>
      <c r="H114" s="282"/>
      <c r="I114" s="240"/>
      <c r="J114" s="256"/>
      <c r="K114" s="93"/>
      <c r="L114" s="217"/>
      <c r="M114" s="94"/>
      <c r="N114" s="11"/>
      <c r="O114" s="9"/>
      <c r="P114" s="3"/>
    </row>
    <row r="115" spans="1:16" ht="24.75" customHeight="1" x14ac:dyDescent="0.3">
      <c r="A115" s="14"/>
      <c r="B115" s="17"/>
      <c r="C115" s="192">
        <v>9.01</v>
      </c>
      <c r="D115" s="189" t="s">
        <v>80</v>
      </c>
      <c r="E115" s="188" t="s">
        <v>170</v>
      </c>
      <c r="F115" s="189"/>
      <c r="G115" s="288" t="s">
        <v>81</v>
      </c>
      <c r="H115" s="288"/>
      <c r="I115" s="232" t="s">
        <v>11</v>
      </c>
      <c r="J115" s="257">
        <f>146.88</f>
        <v>146.88</v>
      </c>
      <c r="K115" s="193">
        <f>389100.82*1.25</f>
        <v>486376.02500000002</v>
      </c>
      <c r="L115" s="207">
        <v>0.12</v>
      </c>
      <c r="M115" s="191">
        <f t="shared" si="1"/>
        <v>80011579.819999993</v>
      </c>
      <c r="N115" s="11"/>
      <c r="O115" s="9"/>
      <c r="P115" s="1"/>
    </row>
    <row r="116" spans="1:16" ht="24.75" customHeight="1" x14ac:dyDescent="0.3">
      <c r="A116" s="14"/>
      <c r="B116" s="17"/>
      <c r="C116" s="104">
        <v>9.02</v>
      </c>
      <c r="D116" s="25" t="s">
        <v>82</v>
      </c>
      <c r="E116" s="21" t="s">
        <v>170</v>
      </c>
      <c r="F116" s="25"/>
      <c r="G116" s="277" t="s">
        <v>83</v>
      </c>
      <c r="H116" s="277"/>
      <c r="I116" s="233" t="s">
        <v>11</v>
      </c>
      <c r="J116" s="258">
        <f>20.64</f>
        <v>20.64</v>
      </c>
      <c r="K116" s="30">
        <f>275138.15*1.25</f>
        <v>343922.6875</v>
      </c>
      <c r="L116" s="209">
        <v>0.12</v>
      </c>
      <c r="M116" s="83">
        <f t="shared" si="1"/>
        <v>7950391.9800000004</v>
      </c>
      <c r="N116" s="11"/>
      <c r="O116" s="9"/>
      <c r="P116" s="1"/>
    </row>
    <row r="117" spans="1:16" ht="26.25" customHeight="1" x14ac:dyDescent="0.3">
      <c r="A117" s="14"/>
      <c r="B117" s="17"/>
      <c r="C117" s="104">
        <v>9.0299999999999994</v>
      </c>
      <c r="D117" s="25" t="s">
        <v>84</v>
      </c>
      <c r="E117" s="21" t="s">
        <v>170</v>
      </c>
      <c r="F117" s="25"/>
      <c r="G117" s="277" t="s">
        <v>85</v>
      </c>
      <c r="H117" s="277"/>
      <c r="I117" s="233" t="s">
        <v>11</v>
      </c>
      <c r="J117" s="258">
        <f>30.24</f>
        <v>30.24</v>
      </c>
      <c r="K117" s="30">
        <f>265733.32*1.25</f>
        <v>332166.65000000002</v>
      </c>
      <c r="L117" s="209">
        <v>0.12</v>
      </c>
      <c r="M117" s="83">
        <f t="shared" si="1"/>
        <v>11250085.84</v>
      </c>
      <c r="N117" s="11"/>
      <c r="O117" s="9"/>
      <c r="P117" s="1"/>
    </row>
    <row r="118" spans="1:16" ht="26.25" customHeight="1" x14ac:dyDescent="0.3">
      <c r="A118" s="14"/>
      <c r="B118" s="17"/>
      <c r="C118" s="104">
        <v>9.0399999999999991</v>
      </c>
      <c r="D118" s="25" t="s">
        <v>86</v>
      </c>
      <c r="E118" s="21" t="s">
        <v>170</v>
      </c>
      <c r="F118" s="25"/>
      <c r="G118" s="277" t="s">
        <v>87</v>
      </c>
      <c r="H118" s="277"/>
      <c r="I118" s="233" t="s">
        <v>2</v>
      </c>
      <c r="J118" s="248">
        <f>16</f>
        <v>16</v>
      </c>
      <c r="K118" s="30">
        <f>223386.97*1.25</f>
        <v>279233.71250000002</v>
      </c>
      <c r="L118" s="209">
        <v>0.12</v>
      </c>
      <c r="M118" s="83">
        <f t="shared" si="1"/>
        <v>5003868.13</v>
      </c>
      <c r="N118" s="11"/>
      <c r="O118" s="9"/>
      <c r="P118" s="1"/>
    </row>
    <row r="119" spans="1:16" ht="21.75" customHeight="1" x14ac:dyDescent="0.3">
      <c r="A119" s="14"/>
      <c r="B119" s="17"/>
      <c r="C119" s="104">
        <v>9.0500000000000007</v>
      </c>
      <c r="D119" s="25" t="s">
        <v>88</v>
      </c>
      <c r="E119" s="21" t="s">
        <v>170</v>
      </c>
      <c r="F119" s="25"/>
      <c r="G119" s="277" t="s">
        <v>89</v>
      </c>
      <c r="H119" s="277"/>
      <c r="I119" s="233" t="s">
        <v>11</v>
      </c>
      <c r="J119" s="248">
        <f>80.64</f>
        <v>80.64</v>
      </c>
      <c r="K119" s="106">
        <f>512285.73*1.25</f>
        <v>640357.16249999998</v>
      </c>
      <c r="L119" s="209">
        <v>0.12</v>
      </c>
      <c r="M119" s="83">
        <f t="shared" si="1"/>
        <v>57835009.770000003</v>
      </c>
      <c r="N119" s="11"/>
      <c r="O119" s="9"/>
      <c r="P119" s="1"/>
    </row>
    <row r="120" spans="1:16" ht="21.75" customHeight="1" x14ac:dyDescent="0.3">
      <c r="A120" s="14"/>
      <c r="B120" s="17"/>
      <c r="C120" s="104">
        <v>9.06</v>
      </c>
      <c r="D120" s="25" t="s">
        <v>90</v>
      </c>
      <c r="E120" s="21" t="s">
        <v>170</v>
      </c>
      <c r="F120" s="25"/>
      <c r="G120" s="277" t="s">
        <v>91</v>
      </c>
      <c r="H120" s="277"/>
      <c r="I120" s="233" t="s">
        <v>2</v>
      </c>
      <c r="J120" s="248">
        <f>80</f>
        <v>80</v>
      </c>
      <c r="K120" s="30">
        <f>236770.8*1.25</f>
        <v>295963.5</v>
      </c>
      <c r="L120" s="209">
        <v>0.12</v>
      </c>
      <c r="M120" s="83">
        <f t="shared" si="1"/>
        <v>26518329.600000001</v>
      </c>
      <c r="N120" s="11"/>
      <c r="O120" s="9"/>
      <c r="P120" s="1"/>
    </row>
    <row r="121" spans="1:16" ht="45" customHeight="1" x14ac:dyDescent="0.3">
      <c r="A121" s="14"/>
      <c r="B121" s="17"/>
      <c r="C121" s="104">
        <v>9.07</v>
      </c>
      <c r="D121" s="25"/>
      <c r="E121" s="24"/>
      <c r="F121" s="25" t="s">
        <v>171</v>
      </c>
      <c r="G121" s="277" t="s">
        <v>92</v>
      </c>
      <c r="H121" s="277"/>
      <c r="I121" s="233" t="s">
        <v>13</v>
      </c>
      <c r="J121" s="248">
        <f>52</f>
        <v>52</v>
      </c>
      <c r="K121" s="30">
        <f>630780.37*1.25</f>
        <v>788475.46250000002</v>
      </c>
      <c r="L121" s="209">
        <v>0</v>
      </c>
      <c r="M121" s="83">
        <f t="shared" si="1"/>
        <v>41000724.049999997</v>
      </c>
      <c r="N121" s="11"/>
      <c r="O121" s="9"/>
      <c r="P121" s="1"/>
    </row>
    <row r="122" spans="1:16" ht="24" customHeight="1" thickBot="1" x14ac:dyDescent="0.35">
      <c r="A122" s="14"/>
      <c r="B122" s="17"/>
      <c r="C122" s="48" t="s">
        <v>147</v>
      </c>
      <c r="D122" s="61"/>
      <c r="E122" s="60"/>
      <c r="F122" s="61"/>
      <c r="G122" s="50"/>
      <c r="H122" s="50"/>
      <c r="I122" s="241"/>
      <c r="J122" s="259"/>
      <c r="K122" s="51"/>
      <c r="L122" s="218"/>
      <c r="M122" s="108">
        <f>+ROUND(SUM(M115:M121),0)</f>
        <v>229569989</v>
      </c>
      <c r="N122" s="11"/>
      <c r="O122" s="9"/>
      <c r="P122" s="1"/>
    </row>
    <row r="123" spans="1:16" s="4" customFormat="1" ht="29.45" customHeight="1" thickBot="1" x14ac:dyDescent="0.35">
      <c r="A123" s="14"/>
      <c r="B123" s="19"/>
      <c r="C123" s="118">
        <v>10</v>
      </c>
      <c r="D123" s="119"/>
      <c r="E123" s="120"/>
      <c r="F123" s="119"/>
      <c r="G123" s="285" t="s">
        <v>93</v>
      </c>
      <c r="H123" s="286"/>
      <c r="I123" s="242"/>
      <c r="J123" s="260"/>
      <c r="K123" s="121"/>
      <c r="L123" s="219"/>
      <c r="M123" s="122"/>
      <c r="N123" s="11"/>
      <c r="O123" s="9"/>
      <c r="P123" s="3"/>
    </row>
    <row r="124" spans="1:16" ht="24.75" customHeight="1" x14ac:dyDescent="0.3">
      <c r="A124" s="14"/>
      <c r="B124" s="17"/>
      <c r="C124" s="116">
        <v>10.01</v>
      </c>
      <c r="D124" s="64" t="s">
        <v>200</v>
      </c>
      <c r="E124" s="80" t="s">
        <v>170</v>
      </c>
      <c r="F124" s="64"/>
      <c r="G124" s="287" t="s">
        <v>201</v>
      </c>
      <c r="H124" s="287"/>
      <c r="I124" s="235" t="s">
        <v>11</v>
      </c>
      <c r="J124" s="261">
        <f>219.36</f>
        <v>219.36</v>
      </c>
      <c r="K124" s="65">
        <f>170399.37*1.25</f>
        <v>212999.21249999999</v>
      </c>
      <c r="L124" s="211">
        <v>0.12</v>
      </c>
      <c r="M124" s="117">
        <f t="shared" si="1"/>
        <v>52330328.119999997</v>
      </c>
      <c r="N124" s="11"/>
      <c r="O124" s="9"/>
      <c r="P124" s="1"/>
    </row>
    <row r="125" spans="1:16" ht="24.75" customHeight="1" x14ac:dyDescent="0.3">
      <c r="A125" s="14"/>
      <c r="B125" s="17"/>
      <c r="C125" s="104">
        <v>10.02</v>
      </c>
      <c r="D125" s="25"/>
      <c r="E125" s="21"/>
      <c r="F125" s="25" t="s">
        <v>171</v>
      </c>
      <c r="G125" s="277" t="s">
        <v>94</v>
      </c>
      <c r="H125" s="277"/>
      <c r="I125" s="233" t="s">
        <v>2</v>
      </c>
      <c r="J125" s="248">
        <f>16</f>
        <v>16</v>
      </c>
      <c r="K125" s="30">
        <f>186476.15*1.25</f>
        <v>233095.1875</v>
      </c>
      <c r="L125" s="209">
        <v>0</v>
      </c>
      <c r="M125" s="109">
        <f t="shared" si="1"/>
        <v>3729523</v>
      </c>
      <c r="N125" s="11"/>
      <c r="O125" s="9"/>
      <c r="P125" s="1"/>
    </row>
    <row r="126" spans="1:16" ht="19.5" customHeight="1" thickBot="1" x14ac:dyDescent="0.35">
      <c r="A126" s="14"/>
      <c r="B126" s="17"/>
      <c r="C126" s="78" t="s">
        <v>147</v>
      </c>
      <c r="D126" s="53"/>
      <c r="E126" s="55"/>
      <c r="F126" s="53"/>
      <c r="G126" s="34"/>
      <c r="H126" s="34"/>
      <c r="I126" s="234"/>
      <c r="J126" s="249"/>
      <c r="K126" s="31"/>
      <c r="L126" s="212"/>
      <c r="M126" s="111">
        <f>+ROUND(SUM(M124:M125),0)</f>
        <v>56059851</v>
      </c>
      <c r="N126" s="11"/>
      <c r="O126" s="9"/>
      <c r="P126" s="1"/>
    </row>
    <row r="127" spans="1:16" s="4" customFormat="1" ht="21" customHeight="1" thickBot="1" x14ac:dyDescent="0.35">
      <c r="A127" s="14"/>
      <c r="B127" s="17"/>
      <c r="C127" s="105" t="s">
        <v>95</v>
      </c>
      <c r="D127" s="91"/>
      <c r="E127" s="92"/>
      <c r="F127" s="91"/>
      <c r="G127" s="282"/>
      <c r="H127" s="282"/>
      <c r="I127" s="240"/>
      <c r="J127" s="256"/>
      <c r="K127" s="93"/>
      <c r="L127" s="217"/>
      <c r="M127" s="110"/>
      <c r="N127" s="11"/>
      <c r="O127" s="9"/>
      <c r="P127" s="3"/>
    </row>
    <row r="128" spans="1:16" ht="36" customHeight="1" x14ac:dyDescent="0.3">
      <c r="A128" s="14"/>
      <c r="B128" s="17"/>
      <c r="C128" s="103">
        <v>11.01</v>
      </c>
      <c r="D128" s="183" t="s">
        <v>177</v>
      </c>
      <c r="E128" s="77" t="s">
        <v>170</v>
      </c>
      <c r="F128" s="57"/>
      <c r="G128" s="283" t="s">
        <v>96</v>
      </c>
      <c r="H128" s="284"/>
      <c r="I128" s="239" t="s">
        <v>11</v>
      </c>
      <c r="J128" s="262">
        <f>222.74</f>
        <v>222.74</v>
      </c>
      <c r="K128" s="58">
        <f>74297.23*1.25</f>
        <v>92871.537499999991</v>
      </c>
      <c r="L128" s="216">
        <v>0.12</v>
      </c>
      <c r="M128" s="82">
        <f t="shared" si="1"/>
        <v>23168551.010000002</v>
      </c>
      <c r="N128" s="11"/>
      <c r="O128" s="9"/>
      <c r="P128" s="1"/>
    </row>
    <row r="129" spans="1:16" ht="36" customHeight="1" x14ac:dyDescent="0.3">
      <c r="A129" s="14"/>
      <c r="B129" s="17"/>
      <c r="C129" s="104">
        <v>11.02</v>
      </c>
      <c r="D129" s="184" t="s">
        <v>178</v>
      </c>
      <c r="E129" s="21" t="s">
        <v>170</v>
      </c>
      <c r="F129" s="25"/>
      <c r="G129" s="277" t="s">
        <v>97</v>
      </c>
      <c r="H129" s="277"/>
      <c r="I129" s="233" t="s">
        <v>13</v>
      </c>
      <c r="J129" s="248">
        <f>17.6</f>
        <v>17.600000000000001</v>
      </c>
      <c r="K129" s="30">
        <f>82693.52*1.25</f>
        <v>103366.90000000001</v>
      </c>
      <c r="L129" s="209">
        <v>0.12</v>
      </c>
      <c r="M129" s="83">
        <f t="shared" si="1"/>
        <v>2037568.33</v>
      </c>
      <c r="N129" s="11"/>
      <c r="O129" s="9"/>
      <c r="P129" s="1"/>
    </row>
    <row r="130" spans="1:16" ht="44.25" customHeight="1" x14ac:dyDescent="0.3">
      <c r="A130" s="14"/>
      <c r="B130" s="17"/>
      <c r="C130" s="104">
        <v>11.03</v>
      </c>
      <c r="D130" s="184" t="s">
        <v>179</v>
      </c>
      <c r="E130" s="21" t="s">
        <v>170</v>
      </c>
      <c r="F130" s="25"/>
      <c r="G130" s="277" t="s">
        <v>98</v>
      </c>
      <c r="H130" s="277"/>
      <c r="I130" s="233" t="s">
        <v>23</v>
      </c>
      <c r="J130" s="248">
        <f>1123.95</f>
        <v>1123.95</v>
      </c>
      <c r="K130" s="30">
        <f>22091.57*1.25</f>
        <v>27614.462500000001</v>
      </c>
      <c r="L130" s="209">
        <v>0.12</v>
      </c>
      <c r="M130" s="83">
        <f t="shared" si="1"/>
        <v>34761748.140000001</v>
      </c>
      <c r="N130" s="11"/>
      <c r="O130" s="9"/>
      <c r="P130" s="1"/>
    </row>
    <row r="131" spans="1:16" ht="23.25" customHeight="1" x14ac:dyDescent="0.3">
      <c r="A131" s="14"/>
      <c r="B131" s="17"/>
      <c r="C131" s="104">
        <v>11.04</v>
      </c>
      <c r="D131" s="184" t="s">
        <v>180</v>
      </c>
      <c r="E131" s="21" t="s">
        <v>170</v>
      </c>
      <c r="F131" s="25"/>
      <c r="G131" s="277" t="s">
        <v>192</v>
      </c>
      <c r="H131" s="277"/>
      <c r="I131" s="233" t="s">
        <v>23</v>
      </c>
      <c r="J131" s="248">
        <f>554.13</f>
        <v>554.13</v>
      </c>
      <c r="K131" s="30">
        <f>4177.57*1.25</f>
        <v>5221.9624999999996</v>
      </c>
      <c r="L131" s="209">
        <v>0.12</v>
      </c>
      <c r="M131" s="83">
        <f t="shared" si="1"/>
        <v>3240883.61</v>
      </c>
      <c r="N131" s="11"/>
      <c r="O131" s="9"/>
      <c r="P131" s="1"/>
    </row>
    <row r="132" spans="1:16" ht="23.25" customHeight="1" x14ac:dyDescent="0.3">
      <c r="A132" s="14"/>
      <c r="B132" s="17"/>
      <c r="C132" s="104">
        <v>11.05</v>
      </c>
      <c r="D132" s="184" t="s">
        <v>181</v>
      </c>
      <c r="E132" s="21" t="s">
        <v>170</v>
      </c>
      <c r="F132" s="25"/>
      <c r="G132" s="277" t="s">
        <v>99</v>
      </c>
      <c r="H132" s="277"/>
      <c r="I132" s="233" t="s">
        <v>13</v>
      </c>
      <c r="J132" s="248">
        <f>40.08</f>
        <v>40.08</v>
      </c>
      <c r="K132" s="30">
        <f>52516.3*1.25</f>
        <v>65645.375</v>
      </c>
      <c r="L132" s="209">
        <v>0.12</v>
      </c>
      <c r="M132" s="83">
        <f t="shared" si="1"/>
        <v>2946794.63</v>
      </c>
      <c r="N132" s="11"/>
      <c r="O132" s="9"/>
      <c r="P132" s="1"/>
    </row>
    <row r="133" spans="1:16" ht="34.5" customHeight="1" x14ac:dyDescent="0.3">
      <c r="A133" s="14"/>
      <c r="B133" s="17"/>
      <c r="C133" s="104">
        <v>11.06</v>
      </c>
      <c r="D133" s="184" t="s">
        <v>182</v>
      </c>
      <c r="E133" s="21" t="s">
        <v>170</v>
      </c>
      <c r="F133" s="25"/>
      <c r="G133" s="277" t="s">
        <v>193</v>
      </c>
      <c r="H133" s="277"/>
      <c r="I133" s="233" t="s">
        <v>16</v>
      </c>
      <c r="J133" s="248">
        <f>0.94</f>
        <v>0.94</v>
      </c>
      <c r="K133" s="30">
        <f>1399097.03*1.25</f>
        <v>1748871.2875000001</v>
      </c>
      <c r="L133" s="209">
        <v>0.12</v>
      </c>
      <c r="M133" s="83">
        <f t="shared" si="1"/>
        <v>1841211.69</v>
      </c>
      <c r="N133" s="11"/>
      <c r="O133" s="9"/>
      <c r="P133" s="1"/>
    </row>
    <row r="134" spans="1:16" ht="24.75" customHeight="1" x14ac:dyDescent="0.3">
      <c r="A134" s="14"/>
      <c r="B134" s="17"/>
      <c r="C134" s="104">
        <v>11.07</v>
      </c>
      <c r="D134" s="184" t="s">
        <v>183</v>
      </c>
      <c r="E134" s="21" t="s">
        <v>170</v>
      </c>
      <c r="F134" s="25"/>
      <c r="G134" s="277" t="s">
        <v>194</v>
      </c>
      <c r="H134" s="277"/>
      <c r="I134" s="233" t="s">
        <v>11</v>
      </c>
      <c r="J134" s="248">
        <f>15.99</f>
        <v>15.99</v>
      </c>
      <c r="K134" s="30">
        <f>43891.31*1.25</f>
        <v>54864.137499999997</v>
      </c>
      <c r="L134" s="209">
        <v>0.12</v>
      </c>
      <c r="M134" s="83">
        <f t="shared" si="1"/>
        <v>982550.87</v>
      </c>
      <c r="N134" s="11"/>
      <c r="O134" s="9"/>
      <c r="P134" s="1"/>
    </row>
    <row r="135" spans="1:16" ht="24.75" customHeight="1" x14ac:dyDescent="0.3">
      <c r="A135" s="14"/>
      <c r="B135" s="17"/>
      <c r="C135" s="104">
        <v>11.08</v>
      </c>
      <c r="D135" s="184"/>
      <c r="E135" s="21" t="s">
        <v>232</v>
      </c>
      <c r="F135" s="25"/>
      <c r="G135" s="277" t="s">
        <v>100</v>
      </c>
      <c r="H135" s="277"/>
      <c r="I135" s="233" t="s">
        <v>11</v>
      </c>
      <c r="J135" s="248">
        <f>15.99</f>
        <v>15.99</v>
      </c>
      <c r="K135" s="30">
        <f>19592.43*1.25</f>
        <v>24490.537499999999</v>
      </c>
      <c r="L135" s="209">
        <v>0.12</v>
      </c>
      <c r="M135" s="83">
        <f t="shared" si="1"/>
        <v>438596.14</v>
      </c>
      <c r="N135" s="11"/>
      <c r="O135" s="9"/>
      <c r="P135" s="1"/>
    </row>
    <row r="136" spans="1:16" ht="24.75" customHeight="1" x14ac:dyDescent="0.3">
      <c r="A136" s="14"/>
      <c r="B136" s="17"/>
      <c r="C136" s="104">
        <v>11.09</v>
      </c>
      <c r="D136" s="184" t="s">
        <v>101</v>
      </c>
      <c r="E136" s="21" t="s">
        <v>232</v>
      </c>
      <c r="F136" s="25"/>
      <c r="G136" s="277" t="s">
        <v>102</v>
      </c>
      <c r="H136" s="277"/>
      <c r="I136" s="233" t="s">
        <v>13</v>
      </c>
      <c r="J136" s="248">
        <f>120</f>
        <v>120</v>
      </c>
      <c r="K136" s="30">
        <f>62142.29*1.25</f>
        <v>77677.862500000003</v>
      </c>
      <c r="L136" s="209">
        <v>0.12</v>
      </c>
      <c r="M136" s="83">
        <f t="shared" si="1"/>
        <v>10439904.720000001</v>
      </c>
      <c r="N136" s="11"/>
      <c r="O136" s="9"/>
      <c r="P136" s="1"/>
    </row>
    <row r="137" spans="1:16" ht="24.75" customHeight="1" x14ac:dyDescent="0.3">
      <c r="A137" s="14"/>
      <c r="B137" s="17"/>
      <c r="C137" s="114">
        <v>11.1</v>
      </c>
      <c r="D137" s="184" t="s">
        <v>184</v>
      </c>
      <c r="E137" s="21" t="s">
        <v>170</v>
      </c>
      <c r="F137" s="25"/>
      <c r="G137" s="277" t="s">
        <v>195</v>
      </c>
      <c r="H137" s="277"/>
      <c r="I137" s="233" t="s">
        <v>13</v>
      </c>
      <c r="J137" s="248">
        <f>180</f>
        <v>180</v>
      </c>
      <c r="K137" s="30">
        <f>75029.33*1.25</f>
        <v>93786.662500000006</v>
      </c>
      <c r="L137" s="209">
        <v>0.12</v>
      </c>
      <c r="M137" s="83">
        <f t="shared" si="1"/>
        <v>18907391.16</v>
      </c>
      <c r="N137" s="11"/>
      <c r="O137" s="9"/>
      <c r="P137" s="1"/>
    </row>
    <row r="138" spans="1:16" ht="24.75" customHeight="1" x14ac:dyDescent="0.3">
      <c r="A138" s="14"/>
      <c r="B138" s="17"/>
      <c r="C138" s="114">
        <v>11.11</v>
      </c>
      <c r="D138" s="184" t="s">
        <v>185</v>
      </c>
      <c r="E138" s="21" t="s">
        <v>170</v>
      </c>
      <c r="F138" s="25"/>
      <c r="G138" s="277" t="s">
        <v>103</v>
      </c>
      <c r="H138" s="277"/>
      <c r="I138" s="233" t="s">
        <v>2</v>
      </c>
      <c r="J138" s="248">
        <f>16</f>
        <v>16</v>
      </c>
      <c r="K138" s="30">
        <f>38625.62*1.25</f>
        <v>48282.025000000001</v>
      </c>
      <c r="L138" s="209">
        <v>0.12</v>
      </c>
      <c r="M138" s="83">
        <f t="shared" si="1"/>
        <v>865213.89</v>
      </c>
      <c r="N138" s="11"/>
      <c r="O138" s="9"/>
      <c r="P138" s="1"/>
    </row>
    <row r="139" spans="1:16" ht="34.5" customHeight="1" x14ac:dyDescent="0.3">
      <c r="A139" s="14"/>
      <c r="B139" s="17"/>
      <c r="C139" s="114">
        <v>11.12</v>
      </c>
      <c r="D139" s="184"/>
      <c r="E139" s="185"/>
      <c r="F139" s="25" t="s">
        <v>171</v>
      </c>
      <c r="G139" s="277" t="s">
        <v>104</v>
      </c>
      <c r="H139" s="277"/>
      <c r="I139" s="233" t="s">
        <v>2</v>
      </c>
      <c r="J139" s="248">
        <f>8</f>
        <v>8</v>
      </c>
      <c r="K139" s="106">
        <f>115220.06*1.25</f>
        <v>144025.07500000001</v>
      </c>
      <c r="L139" s="209">
        <v>0</v>
      </c>
      <c r="M139" s="83">
        <f t="shared" si="1"/>
        <v>1152200.6000000001</v>
      </c>
      <c r="N139" s="11"/>
      <c r="O139" s="9"/>
      <c r="P139" s="1"/>
    </row>
    <row r="140" spans="1:16" ht="21.75" customHeight="1" x14ac:dyDescent="0.3">
      <c r="A140" s="14"/>
      <c r="B140" s="17"/>
      <c r="C140" s="114">
        <v>11.13</v>
      </c>
      <c r="D140" s="184" t="s">
        <v>186</v>
      </c>
      <c r="E140" s="21" t="s">
        <v>170</v>
      </c>
      <c r="F140" s="25"/>
      <c r="G140" s="277" t="s">
        <v>196</v>
      </c>
      <c r="H140" s="277"/>
      <c r="I140" s="243" t="s">
        <v>11</v>
      </c>
      <c r="J140" s="248">
        <f>15.99</f>
        <v>15.99</v>
      </c>
      <c r="K140" s="30">
        <f>178177.98*1.25</f>
        <v>222722.47500000001</v>
      </c>
      <c r="L140" s="209">
        <v>0.12</v>
      </c>
      <c r="M140" s="83">
        <f t="shared" si="1"/>
        <v>3988692.26</v>
      </c>
      <c r="N140" s="11"/>
      <c r="O140" s="9"/>
      <c r="P140" s="1"/>
    </row>
    <row r="141" spans="1:16" ht="21.75" customHeight="1" x14ac:dyDescent="0.3">
      <c r="A141" s="14"/>
      <c r="B141" s="17"/>
      <c r="C141" s="114">
        <v>11.14</v>
      </c>
      <c r="D141" s="184" t="s">
        <v>105</v>
      </c>
      <c r="E141" s="21" t="s">
        <v>232</v>
      </c>
      <c r="F141" s="25"/>
      <c r="G141" s="277" t="s">
        <v>106</v>
      </c>
      <c r="H141" s="277"/>
      <c r="I141" s="233" t="s">
        <v>2</v>
      </c>
      <c r="J141" s="248">
        <f>4</f>
        <v>4</v>
      </c>
      <c r="K141" s="30">
        <f>464535.25*1.25</f>
        <v>580669.0625</v>
      </c>
      <c r="L141" s="209">
        <v>0.12</v>
      </c>
      <c r="M141" s="83">
        <f t="shared" si="1"/>
        <v>2601397.4</v>
      </c>
      <c r="N141" s="11"/>
      <c r="O141" s="9"/>
      <c r="P141" s="1"/>
    </row>
    <row r="142" spans="1:16" ht="33.75" customHeight="1" x14ac:dyDescent="0.3">
      <c r="A142" s="14"/>
      <c r="B142" s="17"/>
      <c r="C142" s="114">
        <v>11.15</v>
      </c>
      <c r="D142" s="184" t="s">
        <v>107</v>
      </c>
      <c r="E142" s="21" t="s">
        <v>232</v>
      </c>
      <c r="F142" s="25"/>
      <c r="G142" s="277" t="s">
        <v>108</v>
      </c>
      <c r="H142" s="277"/>
      <c r="I142" s="233" t="s">
        <v>2</v>
      </c>
      <c r="J142" s="248">
        <f>4</f>
        <v>4</v>
      </c>
      <c r="K142" s="30">
        <f>1021978.3*1.25</f>
        <v>1277472.875</v>
      </c>
      <c r="L142" s="209">
        <v>0.12</v>
      </c>
      <c r="M142" s="83">
        <f t="shared" si="1"/>
        <v>5723078.4800000004</v>
      </c>
      <c r="N142" s="11"/>
      <c r="O142" s="9"/>
      <c r="P142" s="1"/>
    </row>
    <row r="143" spans="1:16" ht="20.25" customHeight="1" x14ac:dyDescent="0.3">
      <c r="A143" s="14"/>
      <c r="B143" s="17"/>
      <c r="C143" s="114">
        <v>11.16</v>
      </c>
      <c r="D143" s="184" t="s">
        <v>187</v>
      </c>
      <c r="E143" s="21" t="s">
        <v>170</v>
      </c>
      <c r="F143" s="25"/>
      <c r="G143" s="277" t="s">
        <v>32</v>
      </c>
      <c r="H143" s="277"/>
      <c r="I143" s="233" t="s">
        <v>11</v>
      </c>
      <c r="J143" s="248">
        <f>110.6</f>
        <v>110.6</v>
      </c>
      <c r="K143" s="106">
        <f>64570.94*1.25</f>
        <v>80713.675000000003</v>
      </c>
      <c r="L143" s="209">
        <v>0.12</v>
      </c>
      <c r="M143" s="83">
        <f t="shared" si="1"/>
        <v>9998164.3499999996</v>
      </c>
      <c r="N143" s="11"/>
      <c r="O143" s="9"/>
      <c r="P143" s="1"/>
    </row>
    <row r="144" spans="1:16" ht="20.25" customHeight="1" x14ac:dyDescent="0.3">
      <c r="A144" s="14"/>
      <c r="B144" s="17"/>
      <c r="C144" s="114">
        <v>11.17</v>
      </c>
      <c r="D144" s="184" t="s">
        <v>188</v>
      </c>
      <c r="E144" s="21" t="s">
        <v>170</v>
      </c>
      <c r="F144" s="25"/>
      <c r="G144" s="277" t="s">
        <v>197</v>
      </c>
      <c r="H144" s="277"/>
      <c r="I144" s="233" t="s">
        <v>11</v>
      </c>
      <c r="J144" s="248">
        <f>19.08</f>
        <v>19.079999999999998</v>
      </c>
      <c r="K144" s="30">
        <f>153223.1*1.25</f>
        <v>191528.875</v>
      </c>
      <c r="L144" s="209">
        <v>0.12</v>
      </c>
      <c r="M144" s="83">
        <f t="shared" si="1"/>
        <v>4092895.45</v>
      </c>
      <c r="N144" s="11"/>
      <c r="O144" s="9"/>
      <c r="P144" s="1"/>
    </row>
    <row r="145" spans="1:16" ht="20.25" customHeight="1" x14ac:dyDescent="0.3">
      <c r="A145" s="14"/>
      <c r="B145" s="17"/>
      <c r="C145" s="114">
        <v>11.18</v>
      </c>
      <c r="D145" s="184" t="s">
        <v>109</v>
      </c>
      <c r="E145" s="21" t="s">
        <v>232</v>
      </c>
      <c r="F145" s="25"/>
      <c r="G145" s="277" t="s">
        <v>110</v>
      </c>
      <c r="H145" s="277"/>
      <c r="I145" s="233" t="s">
        <v>16</v>
      </c>
      <c r="J145" s="248">
        <f>10.09</f>
        <v>10.09</v>
      </c>
      <c r="K145" s="30">
        <f>285260.82*1.25</f>
        <v>356576.02500000002</v>
      </c>
      <c r="L145" s="209">
        <v>0.12</v>
      </c>
      <c r="M145" s="83">
        <f t="shared" si="1"/>
        <v>4029594.34</v>
      </c>
      <c r="N145" s="11"/>
      <c r="O145" s="9"/>
      <c r="P145" s="1"/>
    </row>
    <row r="146" spans="1:16" ht="20.25" customHeight="1" x14ac:dyDescent="0.3">
      <c r="A146" s="14"/>
      <c r="B146" s="17"/>
      <c r="C146" s="114">
        <v>11.19</v>
      </c>
      <c r="D146" s="184" t="s">
        <v>189</v>
      </c>
      <c r="E146" s="21" t="s">
        <v>170</v>
      </c>
      <c r="F146" s="25"/>
      <c r="G146" s="277" t="s">
        <v>198</v>
      </c>
      <c r="H146" s="277"/>
      <c r="I146" s="233" t="s">
        <v>23</v>
      </c>
      <c r="J146" s="248">
        <f>547.03</f>
        <v>547.03</v>
      </c>
      <c r="K146" s="30">
        <f>7675.05*1.25</f>
        <v>9593.8125</v>
      </c>
      <c r="L146" s="209">
        <v>0.12</v>
      </c>
      <c r="M146" s="83">
        <f t="shared" si="1"/>
        <v>5877875.6399999997</v>
      </c>
      <c r="N146" s="11"/>
      <c r="O146" s="9"/>
      <c r="P146" s="1"/>
    </row>
    <row r="147" spans="1:16" ht="20.25" customHeight="1" x14ac:dyDescent="0.3">
      <c r="A147" s="14"/>
      <c r="B147" s="17"/>
      <c r="C147" s="114">
        <v>11.2</v>
      </c>
      <c r="D147" s="184"/>
      <c r="E147" s="185"/>
      <c r="F147" s="25" t="s">
        <v>171</v>
      </c>
      <c r="G147" s="277" t="s">
        <v>111</v>
      </c>
      <c r="H147" s="277"/>
      <c r="I147" s="233" t="s">
        <v>11</v>
      </c>
      <c r="J147" s="248">
        <f>224.16</f>
        <v>224.16</v>
      </c>
      <c r="K147" s="30">
        <f>24284.01*1.25</f>
        <v>30355.012499999997</v>
      </c>
      <c r="L147" s="209">
        <v>0</v>
      </c>
      <c r="M147" s="83">
        <f t="shared" si="1"/>
        <v>6804379.5999999996</v>
      </c>
      <c r="N147" s="11"/>
      <c r="O147" s="9"/>
      <c r="P147" s="1"/>
    </row>
    <row r="148" spans="1:16" ht="20.25" customHeight="1" x14ac:dyDescent="0.3">
      <c r="A148" s="14"/>
      <c r="B148" s="17"/>
      <c r="C148" s="114">
        <v>11.21</v>
      </c>
      <c r="D148" s="184" t="s">
        <v>190</v>
      </c>
      <c r="E148" s="21" t="s">
        <v>170</v>
      </c>
      <c r="F148" s="25"/>
      <c r="G148" s="277" t="s">
        <v>112</v>
      </c>
      <c r="H148" s="277"/>
      <c r="I148" s="233" t="s">
        <v>11</v>
      </c>
      <c r="J148" s="248">
        <f>224.16</f>
        <v>224.16</v>
      </c>
      <c r="K148" s="30">
        <f>38524.31*1.25</f>
        <v>48155.387499999997</v>
      </c>
      <c r="L148" s="209">
        <v>0.12</v>
      </c>
      <c r="M148" s="83">
        <f t="shared" si="1"/>
        <v>12089853.060000001</v>
      </c>
      <c r="N148" s="11"/>
      <c r="O148" s="9"/>
      <c r="P148" s="1"/>
    </row>
    <row r="149" spans="1:16" ht="20.25" customHeight="1" x14ac:dyDescent="0.3">
      <c r="A149" s="14"/>
      <c r="B149" s="17"/>
      <c r="C149" s="114">
        <v>11.22</v>
      </c>
      <c r="D149" s="184" t="s">
        <v>191</v>
      </c>
      <c r="E149" s="21" t="s">
        <v>170</v>
      </c>
      <c r="F149" s="25"/>
      <c r="G149" s="277" t="s">
        <v>199</v>
      </c>
      <c r="H149" s="277"/>
      <c r="I149" s="233" t="s">
        <v>11</v>
      </c>
      <c r="J149" s="248">
        <f>38.16</f>
        <v>38.159999999999997</v>
      </c>
      <c r="K149" s="30">
        <f>12575.48*1.25</f>
        <v>15719.349999999999</v>
      </c>
      <c r="L149" s="209">
        <v>0</v>
      </c>
      <c r="M149" s="83">
        <f t="shared" si="1"/>
        <v>599850.4</v>
      </c>
      <c r="N149" s="11"/>
      <c r="O149" s="9"/>
      <c r="P149" s="1"/>
    </row>
    <row r="150" spans="1:16" ht="20.25" customHeight="1" thickBot="1" x14ac:dyDescent="0.35">
      <c r="A150" s="14"/>
      <c r="B150" s="17"/>
      <c r="C150" s="78" t="s">
        <v>147</v>
      </c>
      <c r="D150" s="53"/>
      <c r="E150" s="55"/>
      <c r="F150" s="53"/>
      <c r="G150" s="112"/>
      <c r="H150" s="112"/>
      <c r="I150" s="234"/>
      <c r="J150" s="249"/>
      <c r="K150" s="31"/>
      <c r="L150" s="212"/>
      <c r="M150" s="87">
        <f>+ROUND(SUM(M128:M149),0)</f>
        <v>156588396</v>
      </c>
      <c r="N150" s="11"/>
      <c r="O150" s="9"/>
      <c r="P150" s="1"/>
    </row>
    <row r="151" spans="1:16" s="7" customFormat="1" ht="21" customHeight="1" thickBot="1" x14ac:dyDescent="0.35">
      <c r="A151" s="14"/>
      <c r="B151" s="17"/>
      <c r="C151" s="123" t="s">
        <v>114</v>
      </c>
      <c r="D151" s="95"/>
      <c r="E151" s="96"/>
      <c r="F151" s="95"/>
      <c r="G151" s="281"/>
      <c r="H151" s="281"/>
      <c r="I151" s="238"/>
      <c r="J151" s="254"/>
      <c r="K151" s="97"/>
      <c r="L151" s="215"/>
      <c r="M151" s="98"/>
      <c r="N151" s="11"/>
      <c r="O151" s="9"/>
      <c r="P151" s="6"/>
    </row>
    <row r="152" spans="1:16" ht="23.25" customHeight="1" x14ac:dyDescent="0.3">
      <c r="A152" s="14"/>
      <c r="B152" s="17"/>
      <c r="C152" s="125">
        <v>12.01</v>
      </c>
      <c r="D152" s="57" t="s">
        <v>175</v>
      </c>
      <c r="E152" s="77" t="s">
        <v>170</v>
      </c>
      <c r="F152" s="57"/>
      <c r="G152" s="280" t="s">
        <v>115</v>
      </c>
      <c r="H152" s="280"/>
      <c r="I152" s="239" t="s">
        <v>16</v>
      </c>
      <c r="J152" s="255">
        <f>6.8</f>
        <v>6.8</v>
      </c>
      <c r="K152" s="58">
        <f>1525090.56*1.25</f>
        <v>1906363.2000000002</v>
      </c>
      <c r="L152" s="216">
        <v>0.12</v>
      </c>
      <c r="M152" s="82">
        <f t="shared" si="1"/>
        <v>14518862.130000001</v>
      </c>
      <c r="N152" s="11"/>
      <c r="O152" s="9"/>
      <c r="P152" s="1"/>
    </row>
    <row r="153" spans="1:16" ht="23.25" customHeight="1" x14ac:dyDescent="0.3">
      <c r="A153" s="14"/>
      <c r="B153" s="17"/>
      <c r="C153" s="114">
        <v>12.02</v>
      </c>
      <c r="D153" s="25" t="s">
        <v>173</v>
      </c>
      <c r="E153" s="21" t="s">
        <v>170</v>
      </c>
      <c r="F153" s="25"/>
      <c r="G153" s="275" t="s">
        <v>22</v>
      </c>
      <c r="H153" s="275"/>
      <c r="I153" s="233" t="s">
        <v>23</v>
      </c>
      <c r="J153" s="248">
        <f>902.72</f>
        <v>902.72</v>
      </c>
      <c r="K153" s="30">
        <f>7675.05*1.25</f>
        <v>9593.8125</v>
      </c>
      <c r="L153" s="209">
        <v>0.12</v>
      </c>
      <c r="M153" s="83">
        <f t="shared" si="1"/>
        <v>9699789.5899999999</v>
      </c>
      <c r="N153" s="11"/>
      <c r="O153" s="9"/>
      <c r="P153" s="1"/>
    </row>
    <row r="154" spans="1:16" ht="48" customHeight="1" x14ac:dyDescent="0.3">
      <c r="A154" s="14"/>
      <c r="B154" s="17"/>
      <c r="C154" s="114">
        <v>12.03</v>
      </c>
      <c r="D154" s="25"/>
      <c r="E154" s="24"/>
      <c r="F154" s="25" t="s">
        <v>171</v>
      </c>
      <c r="G154" s="275" t="s">
        <v>92</v>
      </c>
      <c r="H154" s="275"/>
      <c r="I154" s="233" t="s">
        <v>13</v>
      </c>
      <c r="J154" s="248">
        <f>40.16</f>
        <v>40.159999999999997</v>
      </c>
      <c r="K154" s="30">
        <f>630780.37*1.25</f>
        <v>788475.46250000002</v>
      </c>
      <c r="L154" s="209">
        <v>0</v>
      </c>
      <c r="M154" s="83">
        <f t="shared" si="1"/>
        <v>31665174.57</v>
      </c>
      <c r="N154" s="11"/>
      <c r="O154" s="9"/>
      <c r="P154" s="1"/>
    </row>
    <row r="155" spans="1:16" ht="18.75" customHeight="1" x14ac:dyDescent="0.3">
      <c r="A155" s="14"/>
      <c r="B155" s="17"/>
      <c r="C155" s="114">
        <v>12.04</v>
      </c>
      <c r="D155" s="25" t="s">
        <v>176</v>
      </c>
      <c r="E155" s="21" t="s">
        <v>170</v>
      </c>
      <c r="F155" s="25"/>
      <c r="G155" s="275" t="s">
        <v>34</v>
      </c>
      <c r="H155" s="275"/>
      <c r="I155" s="233" t="s">
        <v>11</v>
      </c>
      <c r="J155" s="248">
        <f>209.76</f>
        <v>209.76</v>
      </c>
      <c r="K155" s="30">
        <f>35818.47*1.25</f>
        <v>44773.087500000001</v>
      </c>
      <c r="L155" s="209">
        <v>0.12</v>
      </c>
      <c r="M155" s="83">
        <f t="shared" si="1"/>
        <v>10518595.17</v>
      </c>
      <c r="N155" s="11"/>
      <c r="O155" s="9"/>
      <c r="P155" s="1"/>
    </row>
    <row r="156" spans="1:16" ht="36" customHeight="1" x14ac:dyDescent="0.3">
      <c r="A156" s="14"/>
      <c r="B156" s="17"/>
      <c r="C156" s="114">
        <v>12.05</v>
      </c>
      <c r="D156" s="25" t="s">
        <v>133</v>
      </c>
      <c r="E156" s="21" t="s">
        <v>170</v>
      </c>
      <c r="F156" s="25"/>
      <c r="G156" s="275" t="s">
        <v>132</v>
      </c>
      <c r="H156" s="275"/>
      <c r="I156" s="233" t="s">
        <v>11</v>
      </c>
      <c r="J156" s="248">
        <f>209.76</f>
        <v>209.76</v>
      </c>
      <c r="K156" s="27">
        <f>11309.63*1.25</f>
        <v>14137.037499999999</v>
      </c>
      <c r="L156" s="209">
        <v>0.12</v>
      </c>
      <c r="M156" s="83">
        <f t="shared" si="1"/>
        <v>3321231.18</v>
      </c>
      <c r="N156" s="11"/>
      <c r="O156" s="9"/>
      <c r="P156" s="1"/>
    </row>
    <row r="157" spans="1:16" ht="21.75" customHeight="1" x14ac:dyDescent="0.3">
      <c r="A157" s="14"/>
      <c r="B157" s="17"/>
      <c r="C157" s="114">
        <v>12.06</v>
      </c>
      <c r="D157" s="25" t="s">
        <v>135</v>
      </c>
      <c r="E157" s="21" t="s">
        <v>170</v>
      </c>
      <c r="F157" s="25"/>
      <c r="G157" s="275" t="s">
        <v>134</v>
      </c>
      <c r="H157" s="275"/>
      <c r="I157" s="233" t="s">
        <v>11</v>
      </c>
      <c r="J157" s="248">
        <f>133</f>
        <v>133</v>
      </c>
      <c r="K157" s="27">
        <f>33165.57*1.25</f>
        <v>41456.962500000001</v>
      </c>
      <c r="L157" s="209">
        <v>0.12</v>
      </c>
      <c r="M157" s="83">
        <f t="shared" ref="M157:M179" si="2">+ROUND(K157*J157*(1+L157),2)</f>
        <v>6175429.1299999999</v>
      </c>
      <c r="N157" s="11"/>
      <c r="O157" s="9"/>
      <c r="P157" s="1"/>
    </row>
    <row r="158" spans="1:16" ht="21.75" customHeight="1" x14ac:dyDescent="0.3">
      <c r="A158" s="14"/>
      <c r="B158" s="17"/>
      <c r="C158" s="114">
        <v>12.07</v>
      </c>
      <c r="D158" s="25" t="s">
        <v>139</v>
      </c>
      <c r="E158" s="21" t="s">
        <v>170</v>
      </c>
      <c r="F158" s="25"/>
      <c r="G158" s="275" t="s">
        <v>138</v>
      </c>
      <c r="H158" s="275"/>
      <c r="I158" s="233" t="s">
        <v>11</v>
      </c>
      <c r="J158" s="248">
        <f>140</f>
        <v>140</v>
      </c>
      <c r="K158" s="27">
        <f>91325.6*1.25</f>
        <v>114157</v>
      </c>
      <c r="L158" s="209">
        <v>0.12</v>
      </c>
      <c r="M158" s="83">
        <f t="shared" si="2"/>
        <v>17899817.600000001</v>
      </c>
      <c r="N158" s="11"/>
      <c r="O158" s="9"/>
      <c r="P158" s="1"/>
    </row>
    <row r="159" spans="1:16" ht="21.75" customHeight="1" x14ac:dyDescent="0.3">
      <c r="A159" s="14"/>
      <c r="B159" s="17"/>
      <c r="C159" s="114">
        <v>12.08</v>
      </c>
      <c r="D159" s="25" t="s">
        <v>137</v>
      </c>
      <c r="E159" s="21" t="s">
        <v>170</v>
      </c>
      <c r="F159" s="25"/>
      <c r="G159" s="275" t="s">
        <v>136</v>
      </c>
      <c r="H159" s="275"/>
      <c r="I159" s="233" t="s">
        <v>116</v>
      </c>
      <c r="J159" s="248">
        <f>140</f>
        <v>140</v>
      </c>
      <c r="K159" s="27">
        <f>78024.98*1.25</f>
        <v>97531.224999999991</v>
      </c>
      <c r="L159" s="209">
        <v>0.12</v>
      </c>
      <c r="M159" s="83">
        <f t="shared" si="2"/>
        <v>15292896.08</v>
      </c>
      <c r="N159" s="11"/>
      <c r="O159" s="9"/>
      <c r="P159" s="1"/>
    </row>
    <row r="160" spans="1:16" ht="21.75" customHeight="1" thickBot="1" x14ac:dyDescent="0.35">
      <c r="A160" s="14"/>
      <c r="B160" s="17"/>
      <c r="C160" s="78" t="s">
        <v>147</v>
      </c>
      <c r="D160" s="61"/>
      <c r="E160" s="49"/>
      <c r="F160" s="61"/>
      <c r="G160" s="115"/>
      <c r="H160" s="115"/>
      <c r="I160" s="241"/>
      <c r="J160" s="259"/>
      <c r="K160" s="101"/>
      <c r="L160" s="220"/>
      <c r="M160" s="86">
        <f>+ROUND(SUM(M152:M159),0)</f>
        <v>109091795</v>
      </c>
      <c r="N160" s="11"/>
      <c r="O160" s="9"/>
      <c r="P160" s="1"/>
    </row>
    <row r="161" spans="1:16" s="7" customFormat="1" ht="26.25" customHeight="1" thickBot="1" x14ac:dyDescent="0.35">
      <c r="A161" s="14"/>
      <c r="B161" s="17"/>
      <c r="C161" s="127" t="s">
        <v>117</v>
      </c>
      <c r="D161" s="88"/>
      <c r="E161" s="89"/>
      <c r="F161" s="88"/>
      <c r="G161" s="279"/>
      <c r="H161" s="279"/>
      <c r="I161" s="244"/>
      <c r="J161" s="263"/>
      <c r="K161" s="90"/>
      <c r="L161" s="221"/>
      <c r="M161" s="128"/>
      <c r="N161" s="11"/>
      <c r="O161" s="9"/>
      <c r="P161" s="6"/>
    </row>
    <row r="162" spans="1:16" ht="34.5" customHeight="1" x14ac:dyDescent="0.3">
      <c r="A162" s="14"/>
      <c r="B162" s="17"/>
      <c r="C162" s="125">
        <v>13.01</v>
      </c>
      <c r="D162" s="57"/>
      <c r="E162" s="24"/>
      <c r="F162" s="25" t="s">
        <v>171</v>
      </c>
      <c r="G162" s="280" t="s">
        <v>118</v>
      </c>
      <c r="H162" s="280"/>
      <c r="I162" s="239" t="s">
        <v>2</v>
      </c>
      <c r="J162" s="255">
        <f>1</f>
        <v>1</v>
      </c>
      <c r="K162" s="58">
        <f>3380482.96*1.25</f>
        <v>4225603.7</v>
      </c>
      <c r="L162" s="216">
        <v>0</v>
      </c>
      <c r="M162" s="82">
        <f t="shared" si="2"/>
        <v>4225603.7</v>
      </c>
      <c r="N162" s="11"/>
      <c r="O162" s="9"/>
      <c r="P162" s="1"/>
    </row>
    <row r="163" spans="1:16" ht="49.5" customHeight="1" x14ac:dyDescent="0.3">
      <c r="A163" s="14"/>
      <c r="B163" s="17"/>
      <c r="C163" s="114">
        <v>13.02</v>
      </c>
      <c r="D163" s="25"/>
      <c r="E163" s="24"/>
      <c r="F163" s="25" t="s">
        <v>171</v>
      </c>
      <c r="G163" s="275" t="s">
        <v>119</v>
      </c>
      <c r="H163" s="275"/>
      <c r="I163" s="233" t="s">
        <v>2</v>
      </c>
      <c r="J163" s="248">
        <f>5</f>
        <v>5</v>
      </c>
      <c r="K163" s="30">
        <f>2148980.43*1.25</f>
        <v>2686225.5375000001</v>
      </c>
      <c r="L163" s="209">
        <v>0</v>
      </c>
      <c r="M163" s="83">
        <f t="shared" si="2"/>
        <v>13431127.689999999</v>
      </c>
      <c r="N163" s="11"/>
      <c r="O163" s="9"/>
      <c r="P163" s="1"/>
    </row>
    <row r="164" spans="1:16" ht="20.25" customHeight="1" x14ac:dyDescent="0.3">
      <c r="A164" s="14"/>
      <c r="B164" s="17"/>
      <c r="C164" s="114">
        <v>13.03</v>
      </c>
      <c r="D164" s="25"/>
      <c r="E164" s="24"/>
      <c r="F164" s="25" t="s">
        <v>171</v>
      </c>
      <c r="G164" s="275" t="s">
        <v>120</v>
      </c>
      <c r="H164" s="275"/>
      <c r="I164" s="233" t="s">
        <v>2</v>
      </c>
      <c r="J164" s="248">
        <f>1</f>
        <v>1</v>
      </c>
      <c r="K164" s="30">
        <f>1113674.03*1.25</f>
        <v>1392092.5375000001</v>
      </c>
      <c r="L164" s="209">
        <v>0</v>
      </c>
      <c r="M164" s="83">
        <f t="shared" si="2"/>
        <v>1392092.54</v>
      </c>
      <c r="N164" s="11"/>
      <c r="O164" s="9"/>
      <c r="P164" s="1"/>
    </row>
    <row r="165" spans="1:16" ht="20.25" customHeight="1" x14ac:dyDescent="0.3">
      <c r="A165" s="14"/>
      <c r="B165" s="17"/>
      <c r="C165" s="114">
        <v>13.04</v>
      </c>
      <c r="D165" s="25"/>
      <c r="E165" s="24"/>
      <c r="F165" s="25" t="s">
        <v>171</v>
      </c>
      <c r="G165" s="275" t="s">
        <v>121</v>
      </c>
      <c r="H165" s="275"/>
      <c r="I165" s="233" t="s">
        <v>13</v>
      </c>
      <c r="J165" s="248">
        <f>12</f>
        <v>12</v>
      </c>
      <c r="K165" s="30">
        <f>184819.28*1.25</f>
        <v>231024.1</v>
      </c>
      <c r="L165" s="209">
        <v>0</v>
      </c>
      <c r="M165" s="83">
        <f t="shared" si="2"/>
        <v>2772289.2</v>
      </c>
      <c r="N165" s="11"/>
      <c r="O165" s="9"/>
      <c r="P165" s="1"/>
    </row>
    <row r="166" spans="1:16" ht="20.25" customHeight="1" x14ac:dyDescent="0.3">
      <c r="A166" s="14"/>
      <c r="B166" s="17"/>
      <c r="C166" s="114">
        <v>13.05</v>
      </c>
      <c r="D166" s="25"/>
      <c r="E166" s="24"/>
      <c r="F166" s="25" t="s">
        <v>171</v>
      </c>
      <c r="G166" s="275" t="s">
        <v>122</v>
      </c>
      <c r="H166" s="275"/>
      <c r="I166" s="233" t="s">
        <v>13</v>
      </c>
      <c r="J166" s="248">
        <f>6</f>
        <v>6</v>
      </c>
      <c r="K166" s="30">
        <f>137520*1.25</f>
        <v>171900</v>
      </c>
      <c r="L166" s="209">
        <v>0</v>
      </c>
      <c r="M166" s="83">
        <f t="shared" si="2"/>
        <v>1031400</v>
      </c>
      <c r="N166" s="11"/>
      <c r="O166" s="9"/>
      <c r="P166" s="1"/>
    </row>
    <row r="167" spans="1:16" ht="20.25" customHeight="1" x14ac:dyDescent="0.3">
      <c r="A167" s="14"/>
      <c r="B167" s="17"/>
      <c r="C167" s="114">
        <v>13.06</v>
      </c>
      <c r="D167" s="25"/>
      <c r="E167" s="24"/>
      <c r="F167" s="25" t="s">
        <v>171</v>
      </c>
      <c r="G167" s="275" t="s">
        <v>123</v>
      </c>
      <c r="H167" s="275"/>
      <c r="I167" s="233" t="s">
        <v>2</v>
      </c>
      <c r="J167" s="248">
        <f>5</f>
        <v>5</v>
      </c>
      <c r="K167" s="30">
        <f>169933.18*1.25</f>
        <v>212416.47499999998</v>
      </c>
      <c r="L167" s="209">
        <v>0</v>
      </c>
      <c r="M167" s="83">
        <f t="shared" si="2"/>
        <v>1062082.3799999999</v>
      </c>
      <c r="N167" s="11"/>
      <c r="O167" s="9"/>
      <c r="P167" s="1"/>
    </row>
    <row r="168" spans="1:16" ht="20.25" customHeight="1" x14ac:dyDescent="0.3">
      <c r="A168" s="14"/>
      <c r="B168" s="17"/>
      <c r="C168" s="114">
        <v>13.07</v>
      </c>
      <c r="D168" s="25"/>
      <c r="E168" s="24"/>
      <c r="F168" s="25" t="s">
        <v>171</v>
      </c>
      <c r="G168" s="275" t="s">
        <v>124</v>
      </c>
      <c r="H168" s="275"/>
      <c r="I168" s="233" t="s">
        <v>2</v>
      </c>
      <c r="J168" s="248">
        <f>5</f>
        <v>5</v>
      </c>
      <c r="K168" s="30">
        <f>114933.18*1.25</f>
        <v>143666.47499999998</v>
      </c>
      <c r="L168" s="209">
        <v>0</v>
      </c>
      <c r="M168" s="83">
        <f t="shared" si="2"/>
        <v>718332.38</v>
      </c>
      <c r="N168" s="11"/>
      <c r="O168" s="9"/>
      <c r="P168" s="1"/>
    </row>
    <row r="169" spans="1:16" ht="20.25" customHeight="1" x14ac:dyDescent="0.3">
      <c r="A169" s="14"/>
      <c r="B169" s="17"/>
      <c r="C169" s="114">
        <v>13.08</v>
      </c>
      <c r="D169" s="25"/>
      <c r="E169" s="24"/>
      <c r="F169" s="25" t="s">
        <v>171</v>
      </c>
      <c r="G169" s="275" t="s">
        <v>125</v>
      </c>
      <c r="H169" s="275"/>
      <c r="I169" s="233" t="s">
        <v>2</v>
      </c>
      <c r="J169" s="248">
        <f>1</f>
        <v>1</v>
      </c>
      <c r="K169" s="30">
        <f>89933.18*1.25</f>
        <v>112416.47499999999</v>
      </c>
      <c r="L169" s="209">
        <v>0</v>
      </c>
      <c r="M169" s="83">
        <f t="shared" si="2"/>
        <v>112416.48</v>
      </c>
      <c r="N169" s="11"/>
      <c r="O169" s="9"/>
      <c r="P169" s="1"/>
    </row>
    <row r="170" spans="1:16" ht="20.25" customHeight="1" x14ac:dyDescent="0.3">
      <c r="A170" s="14"/>
      <c r="B170" s="17"/>
      <c r="C170" s="114">
        <v>13.09</v>
      </c>
      <c r="D170" s="25"/>
      <c r="E170" s="24"/>
      <c r="F170" s="25" t="s">
        <v>171</v>
      </c>
      <c r="G170" s="275" t="s">
        <v>126</v>
      </c>
      <c r="H170" s="275"/>
      <c r="I170" s="233" t="s">
        <v>13</v>
      </c>
      <c r="J170" s="248">
        <f>8</f>
        <v>8</v>
      </c>
      <c r="K170" s="30">
        <f>85900*1.25</f>
        <v>107375</v>
      </c>
      <c r="L170" s="209">
        <v>0</v>
      </c>
      <c r="M170" s="83">
        <f t="shared" si="2"/>
        <v>859000</v>
      </c>
      <c r="N170" s="11"/>
      <c r="O170" s="9"/>
      <c r="P170" s="1"/>
    </row>
    <row r="171" spans="1:16" ht="20.25" customHeight="1" x14ac:dyDescent="0.3">
      <c r="A171" s="14"/>
      <c r="B171" s="17"/>
      <c r="C171" s="114">
        <v>13.1</v>
      </c>
      <c r="D171" s="25"/>
      <c r="E171" s="24"/>
      <c r="F171" s="25" t="s">
        <v>171</v>
      </c>
      <c r="G171" s="275" t="s">
        <v>127</v>
      </c>
      <c r="H171" s="275"/>
      <c r="I171" s="233" t="s">
        <v>2</v>
      </c>
      <c r="J171" s="248">
        <f>1</f>
        <v>1</v>
      </c>
      <c r="K171" s="30">
        <f>571979.01*1.25</f>
        <v>714973.76249999995</v>
      </c>
      <c r="L171" s="209">
        <v>0</v>
      </c>
      <c r="M171" s="83">
        <f t="shared" si="2"/>
        <v>714973.76</v>
      </c>
      <c r="N171" s="11"/>
      <c r="O171" s="9"/>
      <c r="P171" s="1"/>
    </row>
    <row r="172" spans="1:16" ht="20.25" customHeight="1" x14ac:dyDescent="0.3">
      <c r="A172" s="14"/>
      <c r="B172" s="17"/>
      <c r="C172" s="114">
        <v>13.11</v>
      </c>
      <c r="D172" s="25" t="s">
        <v>172</v>
      </c>
      <c r="E172" s="21" t="s">
        <v>170</v>
      </c>
      <c r="F172" s="25"/>
      <c r="G172" s="278" t="s">
        <v>174</v>
      </c>
      <c r="H172" s="278"/>
      <c r="I172" s="233" t="s">
        <v>16</v>
      </c>
      <c r="J172" s="248">
        <f>0.3</f>
        <v>0.3</v>
      </c>
      <c r="K172" s="30">
        <f>556652.92*1.25</f>
        <v>695816.15</v>
      </c>
      <c r="L172" s="209">
        <v>0.12</v>
      </c>
      <c r="M172" s="83">
        <f t="shared" si="2"/>
        <v>233794.23</v>
      </c>
      <c r="N172" s="11"/>
      <c r="O172" s="9"/>
      <c r="P172" s="1"/>
    </row>
    <row r="173" spans="1:16" ht="20.25" customHeight="1" x14ac:dyDescent="0.3">
      <c r="A173" s="14"/>
      <c r="B173" s="17"/>
      <c r="C173" s="114">
        <v>13.12</v>
      </c>
      <c r="D173" s="25" t="s">
        <v>173</v>
      </c>
      <c r="E173" s="21" t="s">
        <v>170</v>
      </c>
      <c r="F173" s="25"/>
      <c r="G173" s="278" t="s">
        <v>24</v>
      </c>
      <c r="H173" s="278"/>
      <c r="I173" s="233" t="s">
        <v>23</v>
      </c>
      <c r="J173" s="258">
        <f>12.66</f>
        <v>12.66</v>
      </c>
      <c r="K173" s="30">
        <f>6843.45*1.25</f>
        <v>8554.3125</v>
      </c>
      <c r="L173" s="209">
        <v>0.12</v>
      </c>
      <c r="M173" s="83">
        <f t="shared" si="2"/>
        <v>121293.31</v>
      </c>
      <c r="N173" s="11"/>
      <c r="O173" s="9"/>
      <c r="P173" s="1"/>
    </row>
    <row r="174" spans="1:16" ht="20.25" customHeight="1" thickBot="1" x14ac:dyDescent="0.35">
      <c r="A174" s="14"/>
      <c r="B174" s="17"/>
      <c r="C174" s="48" t="s">
        <v>147</v>
      </c>
      <c r="D174" s="61"/>
      <c r="E174" s="60"/>
      <c r="F174" s="61"/>
      <c r="G174" s="129"/>
      <c r="H174" s="129"/>
      <c r="I174" s="241"/>
      <c r="J174" s="264"/>
      <c r="K174" s="51"/>
      <c r="L174" s="222"/>
      <c r="M174" s="86">
        <f>+ROUND(SUM(M162:M173),0)</f>
        <v>26674406</v>
      </c>
      <c r="N174" s="11"/>
      <c r="O174" s="9"/>
      <c r="P174" s="1"/>
    </row>
    <row r="175" spans="1:16" s="7" customFormat="1" ht="23.25" customHeight="1" x14ac:dyDescent="0.3">
      <c r="A175" s="14"/>
      <c r="B175" s="17"/>
      <c r="C175" s="127" t="s">
        <v>128</v>
      </c>
      <c r="D175" s="88"/>
      <c r="E175" s="89"/>
      <c r="F175" s="88"/>
      <c r="G175" s="279"/>
      <c r="H175" s="279"/>
      <c r="I175" s="244"/>
      <c r="J175" s="265"/>
      <c r="K175" s="90"/>
      <c r="L175" s="221"/>
      <c r="M175" s="128"/>
      <c r="N175" s="11"/>
      <c r="O175" s="9"/>
      <c r="P175" s="6"/>
    </row>
    <row r="176" spans="1:16" ht="28.5" customHeight="1" x14ac:dyDescent="0.3">
      <c r="A176" s="14"/>
      <c r="B176" s="17"/>
      <c r="C176" s="113">
        <v>14.01</v>
      </c>
      <c r="D176" s="25"/>
      <c r="E176" s="21" t="s">
        <v>171</v>
      </c>
      <c r="F176" s="25" t="s">
        <v>171</v>
      </c>
      <c r="G176" s="278" t="s">
        <v>111</v>
      </c>
      <c r="H176" s="278"/>
      <c r="I176" s="233" t="s">
        <v>11</v>
      </c>
      <c r="J176" s="258">
        <f>677.76</f>
        <v>677.76</v>
      </c>
      <c r="K176" s="30">
        <f>24284.01*1.25</f>
        <v>30355.012499999997</v>
      </c>
      <c r="L176" s="209">
        <v>0</v>
      </c>
      <c r="M176" s="26">
        <f t="shared" si="2"/>
        <v>20573413.27</v>
      </c>
      <c r="N176" s="11"/>
      <c r="O176" s="9"/>
      <c r="P176" s="1"/>
    </row>
    <row r="177" spans="1:16" ht="28.5" customHeight="1" x14ac:dyDescent="0.3">
      <c r="A177" s="14"/>
      <c r="B177" s="17"/>
      <c r="C177" s="113">
        <v>14.02</v>
      </c>
      <c r="D177" s="25" t="s">
        <v>167</v>
      </c>
      <c r="E177" s="21" t="s">
        <v>170</v>
      </c>
      <c r="F177" s="25"/>
      <c r="G177" s="275" t="s">
        <v>112</v>
      </c>
      <c r="H177" s="275"/>
      <c r="I177" s="233" t="s">
        <v>11</v>
      </c>
      <c r="J177" s="258">
        <f>677.76</f>
        <v>677.76</v>
      </c>
      <c r="K177" s="30">
        <f>38524.31*1.25</f>
        <v>48155.387499999997</v>
      </c>
      <c r="L177" s="209">
        <v>0.12</v>
      </c>
      <c r="M177" s="26">
        <f t="shared" si="2"/>
        <v>36554330.880000003</v>
      </c>
      <c r="N177" s="11"/>
      <c r="O177" s="9"/>
      <c r="P177" s="1"/>
    </row>
    <row r="178" spans="1:16" ht="28.5" customHeight="1" x14ac:dyDescent="0.3">
      <c r="A178" s="14"/>
      <c r="B178" s="17"/>
      <c r="C178" s="113">
        <v>14.03</v>
      </c>
      <c r="D178" s="25" t="s">
        <v>168</v>
      </c>
      <c r="E178" s="21" t="s">
        <v>170</v>
      </c>
      <c r="F178" s="25"/>
      <c r="G178" s="275" t="s">
        <v>113</v>
      </c>
      <c r="H178" s="275"/>
      <c r="I178" s="233" t="s">
        <v>11</v>
      </c>
      <c r="J178" s="258">
        <f>118.56</f>
        <v>118.56</v>
      </c>
      <c r="K178" s="30">
        <f>12575.48*1.25</f>
        <v>15719.349999999999</v>
      </c>
      <c r="L178" s="209">
        <v>0</v>
      </c>
      <c r="M178" s="26">
        <f t="shared" si="2"/>
        <v>1863686.14</v>
      </c>
      <c r="N178" s="11"/>
      <c r="O178" s="9"/>
      <c r="P178" s="1"/>
    </row>
    <row r="179" spans="1:16" ht="28.5" customHeight="1" x14ac:dyDescent="0.3">
      <c r="A179" s="14"/>
      <c r="B179" s="17"/>
      <c r="C179" s="124">
        <v>14.04</v>
      </c>
      <c r="D179" s="76" t="s">
        <v>169</v>
      </c>
      <c r="E179" s="21" t="s">
        <v>170</v>
      </c>
      <c r="F179" s="76"/>
      <c r="G179" s="276" t="s">
        <v>129</v>
      </c>
      <c r="H179" s="276"/>
      <c r="I179" s="237" t="s">
        <v>11</v>
      </c>
      <c r="J179" s="253">
        <f>1108</f>
        <v>1108</v>
      </c>
      <c r="K179" s="130">
        <f>7146.42*1.25</f>
        <v>8933.0249999999996</v>
      </c>
      <c r="L179" s="213">
        <v>0</v>
      </c>
      <c r="M179" s="107">
        <f t="shared" si="2"/>
        <v>9897791.6999999993</v>
      </c>
      <c r="N179" s="11"/>
      <c r="O179" s="9"/>
      <c r="P179" s="1"/>
    </row>
    <row r="180" spans="1:16" ht="28.5" customHeight="1" thickBot="1" x14ac:dyDescent="0.35">
      <c r="A180" s="14"/>
      <c r="B180" s="17"/>
      <c r="C180" s="131" t="s">
        <v>147</v>
      </c>
      <c r="D180" s="132"/>
      <c r="E180" s="133"/>
      <c r="F180" s="132"/>
      <c r="G180" s="134"/>
      <c r="H180" s="134"/>
      <c r="I180" s="245"/>
      <c r="J180" s="266"/>
      <c r="K180" s="135"/>
      <c r="L180" s="223"/>
      <c r="M180" s="126">
        <f>+ROUND(SUM(M176:M179),0)</f>
        <v>68889222</v>
      </c>
      <c r="N180" s="11"/>
      <c r="O180" s="9"/>
      <c r="P180" s="1"/>
    </row>
    <row r="181" spans="1:16" ht="28.5" customHeight="1" thickBot="1" x14ac:dyDescent="0.3">
      <c r="A181" s="14"/>
      <c r="B181" s="17"/>
      <c r="C181" s="136"/>
      <c r="D181" s="91"/>
      <c r="E181" s="92"/>
      <c r="F181" s="91"/>
      <c r="G181" s="137"/>
      <c r="H181" s="137"/>
      <c r="I181" s="240"/>
      <c r="J181" s="256"/>
      <c r="K181" s="138" t="s">
        <v>151</v>
      </c>
      <c r="L181" s="224"/>
      <c r="M181" s="94">
        <f>+SUM(M16+M32+M41+M50+M55+M79+M107+M113+M122+M126+M150+M160+M174+M180)</f>
        <v>2782656025</v>
      </c>
      <c r="N181" s="11"/>
      <c r="O181" s="9"/>
      <c r="P181" s="182">
        <v>2239124193</v>
      </c>
    </row>
    <row r="182" spans="1:16" ht="22.9" customHeight="1" x14ac:dyDescent="0.3">
      <c r="A182" s="14"/>
      <c r="B182" s="17"/>
      <c r="C182" s="160"/>
      <c r="D182" s="161"/>
      <c r="E182" s="162"/>
      <c r="F182" s="161"/>
      <c r="G182" s="161"/>
      <c r="H182" s="176" t="s">
        <v>166</v>
      </c>
      <c r="I182" s="174"/>
      <c r="J182" s="174"/>
      <c r="K182" s="174" t="s">
        <v>2</v>
      </c>
      <c r="L182" s="175">
        <v>1</v>
      </c>
      <c r="M182" s="26">
        <v>6000000</v>
      </c>
      <c r="N182" s="11"/>
      <c r="O182" s="9"/>
      <c r="P182" s="273">
        <f>+P181-M181</f>
        <v>-543531832</v>
      </c>
    </row>
    <row r="183" spans="1:16" ht="25.15" customHeight="1" x14ac:dyDescent="0.3">
      <c r="A183" s="14"/>
      <c r="B183" s="17"/>
      <c r="C183" s="160"/>
      <c r="D183" s="161"/>
      <c r="E183" s="162"/>
      <c r="F183" s="161"/>
      <c r="G183" s="161"/>
      <c r="H183" s="143" t="s">
        <v>130</v>
      </c>
      <c r="I183" s="139"/>
      <c r="J183" s="267"/>
      <c r="K183" s="179" t="s">
        <v>2</v>
      </c>
      <c r="L183" s="175">
        <v>1</v>
      </c>
      <c r="M183" s="107">
        <v>9000000</v>
      </c>
      <c r="N183" s="11"/>
      <c r="O183" s="9"/>
      <c r="P183" s="1"/>
    </row>
    <row r="184" spans="1:16" ht="28.9" customHeight="1" x14ac:dyDescent="0.3">
      <c r="A184" s="14"/>
      <c r="B184" s="17"/>
      <c r="C184" s="163"/>
      <c r="D184" s="161"/>
      <c r="E184" s="164"/>
      <c r="F184" s="164"/>
      <c r="G184" s="164"/>
      <c r="H184" s="143"/>
      <c r="I184" s="141"/>
      <c r="J184" s="268"/>
      <c r="K184" s="180"/>
      <c r="L184" s="178"/>
      <c r="M184" s="107"/>
      <c r="N184" s="11"/>
      <c r="O184" s="9"/>
      <c r="P184" s="1"/>
    </row>
    <row r="185" spans="1:16" ht="31.9" customHeight="1" x14ac:dyDescent="0.3">
      <c r="A185" s="14"/>
      <c r="B185" s="17"/>
      <c r="C185" s="163"/>
      <c r="D185" s="161"/>
      <c r="E185" s="164"/>
      <c r="F185" s="164"/>
      <c r="G185" s="164"/>
      <c r="H185" s="143"/>
      <c r="I185" s="141"/>
      <c r="J185" s="269"/>
      <c r="K185" s="180"/>
      <c r="L185" s="178"/>
      <c r="M185" s="107"/>
      <c r="N185" s="11"/>
      <c r="O185" s="9"/>
      <c r="P185" s="1"/>
    </row>
    <row r="186" spans="1:16" ht="30.6" customHeight="1" x14ac:dyDescent="0.3">
      <c r="A186" s="14"/>
      <c r="B186" s="17"/>
      <c r="C186" s="163"/>
      <c r="D186" s="161"/>
      <c r="E186" s="162"/>
      <c r="F186" s="161"/>
      <c r="G186" s="161"/>
      <c r="H186" s="177"/>
      <c r="I186" s="246"/>
      <c r="J186" s="246"/>
      <c r="K186" s="181"/>
      <c r="L186" s="178"/>
      <c r="M186" s="107"/>
      <c r="N186" s="11"/>
      <c r="O186" s="9"/>
      <c r="P186" s="1"/>
    </row>
    <row r="187" spans="1:16" ht="29.25" customHeight="1" x14ac:dyDescent="0.3">
      <c r="A187" s="14"/>
      <c r="B187" s="17"/>
      <c r="C187" s="163"/>
      <c r="D187" s="161"/>
      <c r="E187" s="162"/>
      <c r="F187" s="161"/>
      <c r="G187" s="161"/>
      <c r="H187" s="145"/>
      <c r="I187" s="141"/>
      <c r="J187" s="268"/>
      <c r="K187" s="181"/>
      <c r="L187" s="178"/>
      <c r="M187" s="140"/>
      <c r="N187" s="11"/>
      <c r="O187" s="9"/>
      <c r="P187" s="1"/>
    </row>
    <row r="188" spans="1:16" ht="16.899999999999999" customHeight="1" thickBot="1" x14ac:dyDescent="0.35">
      <c r="A188" s="14"/>
      <c r="B188" s="17"/>
      <c r="C188" s="163"/>
      <c r="D188" s="161"/>
      <c r="E188" s="162"/>
      <c r="F188" s="161"/>
      <c r="G188" s="165"/>
      <c r="H188" s="145"/>
      <c r="I188" s="141"/>
      <c r="J188" s="268"/>
      <c r="K188" s="142"/>
      <c r="L188" s="178"/>
      <c r="M188" s="144"/>
      <c r="N188" s="11"/>
      <c r="O188" s="9"/>
      <c r="P188" s="1"/>
    </row>
    <row r="189" spans="1:16" ht="17.25" customHeight="1" thickBot="1" x14ac:dyDescent="0.3">
      <c r="A189" s="14"/>
      <c r="B189" s="17"/>
      <c r="C189" s="166"/>
      <c r="D189" s="161"/>
      <c r="E189" s="162"/>
      <c r="F189" s="161"/>
      <c r="G189" s="161"/>
      <c r="H189" s="146" t="s">
        <v>152</v>
      </c>
      <c r="I189" s="147"/>
      <c r="J189" s="270"/>
      <c r="K189" s="148"/>
      <c r="L189" s="225"/>
      <c r="M189" s="182">
        <f>+ROUND(SUM(M181:M186),0)</f>
        <v>2797656025</v>
      </c>
      <c r="N189" s="11"/>
      <c r="O189" s="9"/>
      <c r="P189" s="182">
        <v>2809905241</v>
      </c>
    </row>
    <row r="190" spans="1:16" ht="16.5" customHeight="1" thickBot="1" x14ac:dyDescent="0.35">
      <c r="A190" s="14"/>
      <c r="B190" s="17"/>
      <c r="C190" s="167"/>
      <c r="D190" s="161"/>
      <c r="E190" s="162"/>
      <c r="F190" s="162"/>
      <c r="G190" s="162"/>
      <c r="H190" s="161"/>
      <c r="I190" s="162"/>
      <c r="J190" s="271"/>
      <c r="K190" s="168"/>
      <c r="L190" s="226"/>
      <c r="M190" s="169"/>
      <c r="N190" s="11"/>
      <c r="O190" s="9"/>
      <c r="P190" s="273">
        <f>+P189-M189</f>
        <v>12249216</v>
      </c>
    </row>
    <row r="191" spans="1:16" ht="16.5" customHeight="1" x14ac:dyDescent="0.3">
      <c r="A191" s="14"/>
      <c r="B191" s="17"/>
      <c r="C191" s="167"/>
      <c r="D191" s="159"/>
      <c r="E191" s="325"/>
      <c r="F191" s="325"/>
      <c r="G191" s="325"/>
      <c r="H191" s="325"/>
      <c r="I191" s="325"/>
      <c r="J191" s="325"/>
      <c r="K191" s="325"/>
      <c r="L191" s="325"/>
      <c r="M191" s="326"/>
      <c r="N191" s="11"/>
      <c r="O191" s="9"/>
      <c r="P191" s="1"/>
    </row>
    <row r="192" spans="1:16" ht="16.5" customHeight="1" x14ac:dyDescent="0.3">
      <c r="A192" s="14"/>
      <c r="B192" s="17"/>
      <c r="C192" s="167"/>
      <c r="D192" s="327" t="s">
        <v>153</v>
      </c>
      <c r="E192" s="328"/>
      <c r="F192" s="328"/>
      <c r="G192" s="328"/>
      <c r="H192" s="328"/>
      <c r="I192" s="329" t="s">
        <v>154</v>
      </c>
      <c r="J192" s="329"/>
      <c r="K192" s="329"/>
      <c r="L192" s="329"/>
      <c r="M192" s="170" t="s">
        <v>155</v>
      </c>
      <c r="N192" s="11"/>
      <c r="O192" s="9"/>
      <c r="P192" s="1"/>
    </row>
    <row r="193" spans="1:16" ht="23.25" customHeight="1" thickBot="1" x14ac:dyDescent="0.35">
      <c r="A193" s="14"/>
      <c r="B193" s="17"/>
      <c r="C193" s="167"/>
      <c r="D193" s="327" t="s">
        <v>156</v>
      </c>
      <c r="E193" s="328"/>
      <c r="F193" s="328"/>
      <c r="G193" s="328"/>
      <c r="H193" s="328"/>
      <c r="I193" s="330" t="s">
        <v>157</v>
      </c>
      <c r="J193" s="331"/>
      <c r="K193" s="332"/>
      <c r="L193" s="149" t="s">
        <v>158</v>
      </c>
      <c r="M193" s="150">
        <v>0.18</v>
      </c>
      <c r="N193" s="11"/>
      <c r="O193" s="9"/>
      <c r="P193" s="1"/>
    </row>
    <row r="194" spans="1:16" ht="16.5" customHeight="1" thickBot="1" x14ac:dyDescent="0.3">
      <c r="A194" s="14"/>
      <c r="B194" s="17"/>
      <c r="C194" s="171"/>
      <c r="D194" s="327" t="s">
        <v>159</v>
      </c>
      <c r="E194" s="328"/>
      <c r="F194" s="328"/>
      <c r="G194" s="328"/>
      <c r="H194" s="328"/>
      <c r="I194" s="333" t="s">
        <v>160</v>
      </c>
      <c r="J194" s="334"/>
      <c r="K194" s="335"/>
      <c r="L194" s="149" t="s">
        <v>161</v>
      </c>
      <c r="M194" s="150">
        <v>0.02</v>
      </c>
      <c r="N194" s="11"/>
      <c r="O194" s="9"/>
      <c r="P194" s="182">
        <f>+M181*6%</f>
        <v>166959361.5</v>
      </c>
    </row>
    <row r="195" spans="1:16" ht="16.5" customHeight="1" x14ac:dyDescent="0.3">
      <c r="A195" s="14"/>
      <c r="B195" s="17"/>
      <c r="C195" s="171"/>
      <c r="D195" s="151"/>
      <c r="E195" s="161"/>
      <c r="F195" s="152"/>
      <c r="G195" s="152"/>
      <c r="H195" s="153" t="s">
        <v>150</v>
      </c>
      <c r="I195" s="336" t="s">
        <v>162</v>
      </c>
      <c r="J195" s="337"/>
      <c r="K195" s="338"/>
      <c r="L195" s="149" t="s">
        <v>163</v>
      </c>
      <c r="M195" s="150">
        <v>0.05</v>
      </c>
      <c r="N195" s="11"/>
      <c r="O195" s="9"/>
      <c r="P195" s="1"/>
    </row>
    <row r="196" spans="1:16" ht="16.5" customHeight="1" x14ac:dyDescent="0.25">
      <c r="A196" s="14"/>
      <c r="B196" s="17"/>
      <c r="C196" s="171"/>
      <c r="D196" s="154"/>
      <c r="E196" s="172"/>
      <c r="F196" s="172"/>
      <c r="G196" s="172"/>
      <c r="H196" s="155"/>
      <c r="I196" s="330" t="s">
        <v>164</v>
      </c>
      <c r="J196" s="331"/>
      <c r="K196" s="332"/>
      <c r="L196" s="149" t="s">
        <v>165</v>
      </c>
      <c r="M196" s="150">
        <v>0.25</v>
      </c>
      <c r="N196" s="11"/>
      <c r="O196" s="9"/>
      <c r="P196" s="274">
        <f>+M189+P194</f>
        <v>2964615386.5</v>
      </c>
    </row>
    <row r="197" spans="1:16" ht="16.5" customHeight="1" thickBot="1" x14ac:dyDescent="0.3">
      <c r="A197" s="14"/>
      <c r="B197" s="17"/>
      <c r="C197" s="173"/>
      <c r="D197" s="156"/>
      <c r="E197" s="157"/>
      <c r="F197" s="157"/>
      <c r="G197" s="157"/>
      <c r="H197" s="158"/>
      <c r="I197" s="292"/>
      <c r="J197" s="292"/>
      <c r="K197" s="292"/>
      <c r="L197" s="292"/>
      <c r="M197" s="293"/>
      <c r="N197" s="11"/>
      <c r="O197" s="9"/>
    </row>
    <row r="198" spans="1:16" ht="16.5" customHeight="1" x14ac:dyDescent="0.25">
      <c r="A198" s="14"/>
      <c r="B198" s="17"/>
      <c r="N198" s="11"/>
      <c r="O198" s="9"/>
    </row>
    <row r="199" spans="1:16" ht="16.5" customHeight="1" x14ac:dyDescent="0.25">
      <c r="A199" s="14"/>
      <c r="B199" s="17"/>
      <c r="N199" s="11"/>
      <c r="O199" s="9"/>
    </row>
    <row r="200" spans="1:16" ht="16.5" customHeight="1" x14ac:dyDescent="0.25">
      <c r="A200" s="14"/>
      <c r="B200" s="17"/>
      <c r="M200" s="272"/>
      <c r="N200" s="11"/>
      <c r="O200" s="9"/>
    </row>
    <row r="201" spans="1:16" ht="16.5" customHeight="1" x14ac:dyDescent="0.25">
      <c r="M201" s="272"/>
    </row>
    <row r="203" spans="1:16" ht="16.5" customHeight="1" x14ac:dyDescent="0.25">
      <c r="M203" s="272"/>
    </row>
    <row r="204" spans="1:16" ht="16.5" customHeight="1" x14ac:dyDescent="0.25">
      <c r="M204" s="272"/>
    </row>
    <row r="205" spans="1:16" ht="16.5" customHeight="1" x14ac:dyDescent="0.25">
      <c r="M205" s="272"/>
    </row>
  </sheetData>
  <mergeCells count="180">
    <mergeCell ref="E191:M191"/>
    <mergeCell ref="D192:H192"/>
    <mergeCell ref="I192:L192"/>
    <mergeCell ref="D193:H193"/>
    <mergeCell ref="I193:K193"/>
    <mergeCell ref="D194:H194"/>
    <mergeCell ref="I194:K194"/>
    <mergeCell ref="I195:K195"/>
    <mergeCell ref="I196:K196"/>
    <mergeCell ref="I197:M197"/>
    <mergeCell ref="C5:M5"/>
    <mergeCell ref="C6:M6"/>
    <mergeCell ref="B1:H1"/>
    <mergeCell ref="C7:M8"/>
    <mergeCell ref="C10:M10"/>
    <mergeCell ref="G17:H17"/>
    <mergeCell ref="G18:H18"/>
    <mergeCell ref="G19:H19"/>
    <mergeCell ref="G20:H20"/>
    <mergeCell ref="C11:C12"/>
    <mergeCell ref="E11:F11"/>
    <mergeCell ref="G11:H12"/>
    <mergeCell ref="I11:I12"/>
    <mergeCell ref="J11:J12"/>
    <mergeCell ref="C9:M9"/>
    <mergeCell ref="D11:D12"/>
    <mergeCell ref="C17:D17"/>
    <mergeCell ref="C13:D13"/>
    <mergeCell ref="G21:H21"/>
    <mergeCell ref="G22:H22"/>
    <mergeCell ref="G13:H13"/>
    <mergeCell ref="I13:J13"/>
    <mergeCell ref="G14:H14"/>
    <mergeCell ref="G15:H15"/>
    <mergeCell ref="G29:H29"/>
    <mergeCell ref="G30:H30"/>
    <mergeCell ref="G31:H31"/>
    <mergeCell ref="G33:H33"/>
    <mergeCell ref="G34:H34"/>
    <mergeCell ref="G23:H23"/>
    <mergeCell ref="G24:H24"/>
    <mergeCell ref="G25:H25"/>
    <mergeCell ref="G26:H26"/>
    <mergeCell ref="G27:H27"/>
    <mergeCell ref="G28:H28"/>
    <mergeCell ref="G42:H42"/>
    <mergeCell ref="G43:H43"/>
    <mergeCell ref="G44:H44"/>
    <mergeCell ref="G45:H45"/>
    <mergeCell ref="G46:H46"/>
    <mergeCell ref="G47:H47"/>
    <mergeCell ref="G35:H35"/>
    <mergeCell ref="G36:H36"/>
    <mergeCell ref="G37:H37"/>
    <mergeCell ref="G38:H38"/>
    <mergeCell ref="G39:H39"/>
    <mergeCell ref="G40:H40"/>
    <mergeCell ref="G56:H56"/>
    <mergeCell ref="G57:H57"/>
    <mergeCell ref="G58:H58"/>
    <mergeCell ref="G59:H59"/>
    <mergeCell ref="G60:H60"/>
    <mergeCell ref="G61:H61"/>
    <mergeCell ref="G48:H48"/>
    <mergeCell ref="G49:H49"/>
    <mergeCell ref="G51:H51"/>
    <mergeCell ref="G52:H52"/>
    <mergeCell ref="G53:H53"/>
    <mergeCell ref="G54:H54"/>
    <mergeCell ref="G68:H68"/>
    <mergeCell ref="G69:H69"/>
    <mergeCell ref="G70:H70"/>
    <mergeCell ref="G71:H71"/>
    <mergeCell ref="G72:H72"/>
    <mergeCell ref="G73:H73"/>
    <mergeCell ref="G62:H62"/>
    <mergeCell ref="G63:H63"/>
    <mergeCell ref="G64:H64"/>
    <mergeCell ref="G65:H65"/>
    <mergeCell ref="G66:H66"/>
    <mergeCell ref="G67:H67"/>
    <mergeCell ref="G81:H81"/>
    <mergeCell ref="G82:H82"/>
    <mergeCell ref="G83:H83"/>
    <mergeCell ref="G84:H84"/>
    <mergeCell ref="G85:H85"/>
    <mergeCell ref="G86:H86"/>
    <mergeCell ref="G74:H74"/>
    <mergeCell ref="G75:H75"/>
    <mergeCell ref="G76:H76"/>
    <mergeCell ref="G77:H77"/>
    <mergeCell ref="G78:H78"/>
    <mergeCell ref="G80:H80"/>
    <mergeCell ref="G93:H93"/>
    <mergeCell ref="G94:H94"/>
    <mergeCell ref="G95:H95"/>
    <mergeCell ref="G96:H96"/>
    <mergeCell ref="G97:H97"/>
    <mergeCell ref="G98:H98"/>
    <mergeCell ref="G87:H87"/>
    <mergeCell ref="G88:H88"/>
    <mergeCell ref="G89:H89"/>
    <mergeCell ref="G90:H90"/>
    <mergeCell ref="G91:H91"/>
    <mergeCell ref="G92:H92"/>
    <mergeCell ref="G105:H105"/>
    <mergeCell ref="G106:H106"/>
    <mergeCell ref="G108:H108"/>
    <mergeCell ref="G109:H109"/>
    <mergeCell ref="G110:H110"/>
    <mergeCell ref="G111:H111"/>
    <mergeCell ref="G99:H99"/>
    <mergeCell ref="G100:H100"/>
    <mergeCell ref="G101:H101"/>
    <mergeCell ref="G102:H102"/>
    <mergeCell ref="G103:H103"/>
    <mergeCell ref="G104:H104"/>
    <mergeCell ref="G119:H119"/>
    <mergeCell ref="G120:H120"/>
    <mergeCell ref="G121:H121"/>
    <mergeCell ref="G123:H123"/>
    <mergeCell ref="G124:H124"/>
    <mergeCell ref="G125:H125"/>
    <mergeCell ref="G112:H112"/>
    <mergeCell ref="G114:H114"/>
    <mergeCell ref="G115:H115"/>
    <mergeCell ref="G116:H116"/>
    <mergeCell ref="G117:H117"/>
    <mergeCell ref="G118:H118"/>
    <mergeCell ref="G139:H139"/>
    <mergeCell ref="G140:H140"/>
    <mergeCell ref="G141:H141"/>
    <mergeCell ref="G142:H142"/>
    <mergeCell ref="G143:H143"/>
    <mergeCell ref="G144:H144"/>
    <mergeCell ref="G133:H133"/>
    <mergeCell ref="G127:H127"/>
    <mergeCell ref="G128:H128"/>
    <mergeCell ref="G129:H129"/>
    <mergeCell ref="G130:H130"/>
    <mergeCell ref="G131:H131"/>
    <mergeCell ref="G132:H132"/>
    <mergeCell ref="G163:H163"/>
    <mergeCell ref="G164:H164"/>
    <mergeCell ref="G152:H152"/>
    <mergeCell ref="G153:H153"/>
    <mergeCell ref="G154:H154"/>
    <mergeCell ref="G155:H155"/>
    <mergeCell ref="G156:H156"/>
    <mergeCell ref="G157:H157"/>
    <mergeCell ref="G145:H145"/>
    <mergeCell ref="G146:H146"/>
    <mergeCell ref="G147:H147"/>
    <mergeCell ref="G148:H148"/>
    <mergeCell ref="G149:H149"/>
    <mergeCell ref="G151:H151"/>
    <mergeCell ref="G178:H178"/>
    <mergeCell ref="G179:H179"/>
    <mergeCell ref="G134:H134"/>
    <mergeCell ref="G135:H135"/>
    <mergeCell ref="G136:H136"/>
    <mergeCell ref="G137:H137"/>
    <mergeCell ref="G138:H138"/>
    <mergeCell ref="G107:H107"/>
    <mergeCell ref="G171:H171"/>
    <mergeCell ref="G172:H172"/>
    <mergeCell ref="G173:H173"/>
    <mergeCell ref="G175:H175"/>
    <mergeCell ref="G176:H176"/>
    <mergeCell ref="G177:H177"/>
    <mergeCell ref="G165:H165"/>
    <mergeCell ref="G166:H166"/>
    <mergeCell ref="G167:H167"/>
    <mergeCell ref="G168:H168"/>
    <mergeCell ref="G169:H169"/>
    <mergeCell ref="G170:H170"/>
    <mergeCell ref="G158:H158"/>
    <mergeCell ref="G159:H159"/>
    <mergeCell ref="G161:H161"/>
    <mergeCell ref="G162:H162"/>
  </mergeCells>
  <phoneticPr fontId="27" type="noConversion"/>
  <dataValidations count="1">
    <dataValidation allowBlank="1" showInputMessage="1" showErrorMessage="1" errorTitle="ERROR DE DATOS" error="En este campo no se pueden introducir decimales " sqref="K52:K118 K18:K27 K34:K38 L181 K14:K16 K29:K32 K40:K41 K120:K172 K175:K181 K43:K48" xr:uid="{00000000-0002-0000-0000-000000000000}"/>
  </dataValidations>
  <pageMargins left="0.23622047244094491" right="0.23622047244094491" top="0.74803149606299213" bottom="0.74803149606299213" header="0.31496062992125984" footer="0.31496062992125984"/>
  <pageSetup scale="40" orientation="portrait" r:id="rId1"/>
  <headerFooter>
    <oddFooter>&amp;C&amp;"Helvetica Neue,Regular"&amp;12&amp;K000000&amp;P</oddFooter>
  </headerFooter>
  <rowBreaks count="2" manualBreakCount="2">
    <brk id="56" max="14" man="1"/>
    <brk id="12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 SAMANTA</dc:creator>
  <cp:lastModifiedBy>ALCALDIA MUNICIPAL DE OTANCHE</cp:lastModifiedBy>
  <cp:lastPrinted>2026-10-05T23:33:44Z</cp:lastPrinted>
  <dcterms:created xsi:type="dcterms:W3CDTF">2026-09-03T21:29:54Z</dcterms:created>
  <dcterms:modified xsi:type="dcterms:W3CDTF">2026-10-05T23:33:57Z</dcterms:modified>
</cp:coreProperties>
</file>