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RUEBA\Desktop\copia de seguridad 25\documentos\MOVILIDAD\MM 2025 MOVILIDAD SUBDIRECCIÓN ADMINISTRATIVA\PROCESOS\DESHUMIDIFICADORES Y PURIFICADORES\"/>
    </mc:Choice>
  </mc:AlternateContent>
  <bookViews>
    <workbookView xWindow="0" yWindow="0" windowWidth="19200" windowHeight="6345"/>
  </bookViews>
  <sheets>
    <sheet name="ESTUDIO DE MERCADO" sheetId="1" r:id="rId1"/>
    <sheet name="PRESUPUESTO OFICIAL" sheetId="2" r:id="rId2"/>
  </sheets>
  <definedNames>
    <definedName name="_xlnm.Print_Area" localSheetId="1">'PRESUPUESTO OFICIAL'!$A$1:$G$24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5" i="1" l="1"/>
  <c r="AA6" i="1"/>
  <c r="AA4" i="1"/>
  <c r="Z5" i="1"/>
  <c r="Z6" i="1"/>
  <c r="Z4" i="1"/>
  <c r="T5" i="1"/>
  <c r="T6" i="1"/>
  <c r="T4" i="1"/>
  <c r="P5" i="1"/>
  <c r="P6" i="1"/>
  <c r="P4" i="1"/>
  <c r="O5" i="1"/>
  <c r="O6" i="1"/>
  <c r="O4" i="1"/>
  <c r="E6" i="2" l="1"/>
  <c r="E7" i="2"/>
  <c r="E5" i="2"/>
  <c r="S5" i="1" l="1"/>
  <c r="S6" i="1"/>
  <c r="S4" i="1"/>
  <c r="N5" i="1"/>
  <c r="N6" i="1"/>
  <c r="J5" i="1"/>
  <c r="J6" i="1"/>
  <c r="I5" i="1"/>
  <c r="I6" i="1"/>
  <c r="Q5" i="1" l="1"/>
  <c r="Q6" i="1"/>
  <c r="I4" i="1"/>
  <c r="AD6" i="1" l="1"/>
  <c r="F7" i="2" s="1"/>
  <c r="AD5" i="1"/>
  <c r="F6" i="2" s="1"/>
  <c r="AB6" i="1" l="1"/>
  <c r="AC6" i="1" s="1"/>
  <c r="AB5" i="1"/>
  <c r="AC5" i="1" s="1"/>
  <c r="N4" i="1" l="1"/>
  <c r="AD4" i="1" l="1"/>
  <c r="F5" i="2" s="1"/>
  <c r="F8" i="2" s="1"/>
  <c r="F9" i="2" s="1"/>
  <c r="AB4" i="1"/>
  <c r="U5" i="1"/>
  <c r="V5" i="1" s="1"/>
  <c r="W5" i="1" s="1"/>
  <c r="U6" i="1"/>
  <c r="V6" i="1" s="1"/>
  <c r="W6" i="1" s="1"/>
  <c r="J4" i="1"/>
  <c r="U4" i="1" s="1"/>
  <c r="Y6" i="1" l="1"/>
  <c r="X6" i="1"/>
  <c r="AC4" i="1"/>
  <c r="AC7" i="1" s="1"/>
  <c r="AB7" i="1"/>
  <c r="V4" i="1"/>
  <c r="U7" i="1"/>
  <c r="X4" i="1"/>
  <c r="Y4" i="1"/>
  <c r="R6" i="1"/>
  <c r="K4" i="1"/>
  <c r="K6" i="1"/>
  <c r="X5" i="1"/>
  <c r="Y5" i="1"/>
  <c r="R5" i="1"/>
  <c r="K5" i="1"/>
  <c r="L5" i="1" s="1"/>
  <c r="M5" i="1" s="1"/>
  <c r="L4" i="1" l="1"/>
  <c r="K7" i="1"/>
  <c r="Q4" i="1"/>
  <c r="P7" i="1"/>
  <c r="W4" i="1"/>
  <c r="V7" i="1"/>
  <c r="L6" i="1"/>
  <c r="R4" i="1" l="1"/>
  <c r="Q7" i="1"/>
  <c r="M4" i="1"/>
  <c r="L7" i="1"/>
  <c r="M6" i="1"/>
</calcChain>
</file>

<file path=xl/sharedStrings.xml><?xml version="1.0" encoding="utf-8"?>
<sst xmlns="http://schemas.openxmlformats.org/spreadsheetml/2006/main" count="54" uniqueCount="38">
  <si>
    <t>ITEM</t>
  </si>
  <si>
    <t>DESCRIPCION</t>
  </si>
  <si>
    <t>Promedio / Media Aritmética</t>
  </si>
  <si>
    <t>MEDIANA</t>
  </si>
  <si>
    <t>MEDIA PODADA</t>
  </si>
  <si>
    <t>Valor unitario promedio CON  IVA</t>
  </si>
  <si>
    <t>Desviación Estándar</t>
  </si>
  <si>
    <t>Margen de Confiabilidad</t>
  </si>
  <si>
    <t>Nivel de confiabilidad</t>
  </si>
  <si>
    <t>Valor unitario promedio CON IVA</t>
  </si>
  <si>
    <t>Valor Máximo</t>
  </si>
  <si>
    <t>Valor Mínimo</t>
  </si>
  <si>
    <t>Valor Unitario Promedio Ajustado</t>
  </si>
  <si>
    <t>Desviación Estándar Ajustada</t>
  </si>
  <si>
    <t>Coeficiente de Variación Ajustado</t>
  </si>
  <si>
    <t>Margen de Confiabilidad Ajustado</t>
  </si>
  <si>
    <t>Valor Unitario Promedio Ajustado CON IVA</t>
  </si>
  <si>
    <t>Valor Unitario con IVA</t>
  </si>
  <si>
    <t>Valor Total con IVA</t>
  </si>
  <si>
    <t>SMLV</t>
  </si>
  <si>
    <t>Unidad de medida</t>
  </si>
  <si>
    <t xml:space="preserve">Unidad </t>
  </si>
  <si>
    <t>MARGEN DE CONFIABILIADAD</t>
  </si>
  <si>
    <t>CANTIDAD</t>
  </si>
  <si>
    <t xml:space="preserve">TOTAL </t>
  </si>
  <si>
    <t>Mantenimiento preventivo para Purificadores de aire marca CONFORTFRESH modelo Negative ion air purifier para áreas de 35-50m2.</t>
  </si>
  <si>
    <t>Mantenimiento preventivo para Deshumidificadores marca CONFORTFRESH modelo MDCK-60AEN1 de 60 pintas</t>
  </si>
  <si>
    <t>Mantenimiento correctivo Purificadores de aire marca CONFORTFRESH modelo Negative ion air purifier para áreas de 35-50m2</t>
  </si>
  <si>
    <t>Unidad</t>
  </si>
  <si>
    <t xml:space="preserve">PRESTAR LOS SERVICIOS DE MANTENIMIENTO PREVENTIVO Y/O CORRECTIVO PARA LOS DESHUMIDIFICADORES Y PURIFICADORES DE AIRE PROPIEDAD DE LA SECRETARÍA DISTRITAL DE MOVILIDAD.
</t>
  </si>
  <si>
    <t>PRESTAR LOS SERVICIOS DE MANTENIMIENTO PREVENTIVO Y/O CORRECTIVO PARA LOS DESHUMIDIFICADORES Y PURIFICADORES DE AIRE PROPIEDAD DE LA SECRETARÍA DISTRITAL DE MOVILIDAD.
.</t>
  </si>
  <si>
    <t>Cotización 1 – Indultec Soluciones Integrales S.A.S. – Valor unitario con IVA</t>
  </si>
  <si>
    <t>Cotización 2 – A&amp;L Soluciones Integrales S.A.S. – Valor unitario con IVA</t>
  </si>
  <si>
    <t>otización 3 – Kassel Group S.A.S. – Valor unitario con IVA</t>
  </si>
  <si>
    <t>Media Geométrica</t>
  </si>
  <si>
    <t>COEFICIENTE DE VARIACIÓN %</t>
  </si>
  <si>
    <t>Coeficiente de Variación%</t>
  </si>
  <si>
    <t>Coeficiente de Variación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</si>
</sst>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#,##0_);[Red]\(&quot;$&quot;#,##0\)"/>
    <numFmt numFmtId="165" formatCode="_-&quot;$&quot;\ * #,##0_-;\-&quot;$&quot;\ * #,##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b/>
      <sz val="14"/>
      <color theme="1"/>
      <name val="Calibri"/>
      <family val="2"/>
      <scheme val="minor"/>
    </font>
    <font>
      <b/>
      <sz val="14"/>
      <name val="Arial"/>
      <family val="2"/>
    </font>
    <font>
      <sz val="12"/>
      <color rgb="FF000000"/>
      <name val="Calibri"/>
      <family val="2"/>
    </font>
    <font>
      <sz val="12"/>
      <color rgb="FFFF0000"/>
      <name val="Calibri"/>
      <family val="2"/>
      <scheme val="minor"/>
    </font>
    <font>
      <strike/>
      <sz val="11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DD6EE"/>
        <bgColor rgb="FFBDD6EE"/>
      </patternFill>
    </fill>
    <fill>
      <patternFill patternType="solid">
        <fgColor theme="0"/>
        <bgColor theme="0"/>
      </patternFill>
    </fill>
    <fill>
      <patternFill patternType="solid">
        <fgColor rgb="FFFFE598"/>
        <bgColor rgb="FFFFE598"/>
      </patternFill>
    </fill>
    <fill>
      <patternFill patternType="solid">
        <fgColor rgb="FFC5E0B3"/>
        <bgColor rgb="FFC5E0B3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BDD6EE"/>
        <bgColor indexed="64"/>
      </patternFill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5">
    <xf numFmtId="0" fontId="0" fillId="0" borderId="0" xfId="0"/>
    <xf numFmtId="0" fontId="0" fillId="2" borderId="0" xfId="0" applyFill="1"/>
    <xf numFmtId="0" fontId="4" fillId="3" borderId="1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44" fontId="0" fillId="2" borderId="0" xfId="1" applyFont="1" applyFill="1"/>
    <xf numFmtId="0" fontId="4" fillId="3" borderId="8" xfId="0" applyFont="1" applyFill="1" applyBorder="1" applyAlignment="1">
      <alignment wrapText="1"/>
    </xf>
    <xf numFmtId="165" fontId="0" fillId="2" borderId="3" xfId="1" applyNumberFormat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65" fontId="0" fillId="2" borderId="10" xfId="1" applyNumberFormat="1" applyFont="1" applyFill="1" applyBorder="1" applyAlignment="1">
      <alignment horizontal="center" vertical="center"/>
    </xf>
    <xf numFmtId="0" fontId="2" fillId="2" borderId="3" xfId="0" applyFont="1" applyFill="1" applyBorder="1"/>
    <xf numFmtId="0" fontId="4" fillId="3" borderId="1" xfId="0" applyFont="1" applyFill="1" applyBorder="1" applyAlignment="1">
      <alignment horizontal="center" wrapText="1"/>
    </xf>
    <xf numFmtId="164" fontId="5" fillId="4" borderId="0" xfId="0" applyNumberFormat="1" applyFont="1" applyFill="1" applyBorder="1" applyAlignment="1">
      <alignment horizontal="center" vertical="center"/>
    </xf>
    <xf numFmtId="0" fontId="3" fillId="2" borderId="0" xfId="0" applyFont="1" applyFill="1" applyAlignment="1"/>
    <xf numFmtId="2" fontId="0" fillId="2" borderId="3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65" fontId="0" fillId="2" borderId="3" xfId="0" applyNumberFormat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164" fontId="0" fillId="2" borderId="3" xfId="0" applyNumberFormat="1" applyFill="1" applyBorder="1" applyAlignment="1">
      <alignment vertical="center"/>
    </xf>
    <xf numFmtId="2" fontId="0" fillId="2" borderId="0" xfId="0" applyNumberFormat="1" applyFill="1"/>
    <xf numFmtId="0" fontId="0" fillId="7" borderId="0" xfId="0" applyFill="1"/>
    <xf numFmtId="165" fontId="0" fillId="7" borderId="4" xfId="1" applyNumberFormat="1" applyFont="1" applyFill="1" applyBorder="1" applyAlignment="1">
      <alignment horizontal="center" vertical="center"/>
    </xf>
    <xf numFmtId="165" fontId="9" fillId="2" borderId="11" xfId="0" applyNumberFormat="1" applyFont="1" applyFill="1" applyBorder="1"/>
    <xf numFmtId="0" fontId="2" fillId="2" borderId="0" xfId="0" applyFont="1" applyFill="1"/>
    <xf numFmtId="2" fontId="9" fillId="2" borderId="0" xfId="0" applyNumberFormat="1" applyFont="1" applyFill="1"/>
    <xf numFmtId="0" fontId="11" fillId="4" borderId="2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 wrapText="1"/>
    </xf>
    <xf numFmtId="0" fontId="4" fillId="3" borderId="18" xfId="0" applyFont="1" applyFill="1" applyBorder="1" applyAlignment="1">
      <alignment horizontal="center" wrapText="1"/>
    </xf>
    <xf numFmtId="0" fontId="2" fillId="8" borderId="19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5" fontId="5" fillId="4" borderId="1" xfId="1" applyNumberFormat="1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wrapText="1"/>
    </xf>
    <xf numFmtId="165" fontId="0" fillId="2" borderId="0" xfId="0" applyNumberFormat="1" applyFill="1"/>
    <xf numFmtId="0" fontId="5" fillId="4" borderId="12" xfId="0" applyFont="1" applyFill="1" applyBorder="1" applyAlignment="1">
      <alignment horizontal="center" vertical="center"/>
    </xf>
    <xf numFmtId="6" fontId="12" fillId="9" borderId="22" xfId="0" applyNumberFormat="1" applyFont="1" applyFill="1" applyBorder="1" applyAlignment="1">
      <alignment horizontal="center" vertical="center" wrapText="1"/>
    </xf>
    <xf numFmtId="0" fontId="13" fillId="4" borderId="12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 wrapText="1"/>
    </xf>
    <xf numFmtId="0" fontId="11" fillId="4" borderId="25" xfId="0" applyFont="1" applyFill="1" applyBorder="1" applyAlignment="1">
      <alignment horizontal="center" vertical="center"/>
    </xf>
    <xf numFmtId="6" fontId="12" fillId="9" borderId="27" xfId="0" applyNumberFormat="1" applyFont="1" applyFill="1" applyBorder="1" applyAlignment="1">
      <alignment horizontal="center" vertical="center" wrapText="1"/>
    </xf>
    <xf numFmtId="165" fontId="5" fillId="4" borderId="20" xfId="1" applyNumberFormat="1" applyFont="1" applyFill="1" applyBorder="1" applyAlignment="1">
      <alignment horizontal="center" vertical="center"/>
    </xf>
    <xf numFmtId="165" fontId="5" fillId="4" borderId="24" xfId="1" applyNumberFormat="1" applyFont="1" applyFill="1" applyBorder="1" applyAlignment="1">
      <alignment horizontal="center" vertical="center"/>
    </xf>
    <xf numFmtId="165" fontId="0" fillId="0" borderId="3" xfId="1" applyNumberFormat="1" applyFont="1" applyBorder="1" applyAlignment="1">
      <alignment horizontal="center" vertical="center"/>
    </xf>
    <xf numFmtId="165" fontId="0" fillId="0" borderId="26" xfId="1" applyNumberFormat="1" applyFont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top" wrapText="1"/>
    </xf>
    <xf numFmtId="0" fontId="10" fillId="2" borderId="14" xfId="0" applyFont="1" applyFill="1" applyBorder="1" applyAlignment="1">
      <alignment horizontal="center" vertical="top" wrapText="1"/>
    </xf>
    <xf numFmtId="0" fontId="10" fillId="2" borderId="15" xfId="0" applyFont="1" applyFill="1" applyBorder="1" applyAlignment="1">
      <alignment horizontal="center" vertical="top" wrapText="1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"/>
  <sheetViews>
    <sheetView tabSelected="1" topLeftCell="A3" zoomScale="60" zoomScaleNormal="60" workbookViewId="0">
      <selection activeCell="G4" sqref="G4"/>
    </sheetView>
  </sheetViews>
  <sheetFormatPr baseColWidth="10" defaultColWidth="10.85546875" defaultRowHeight="15" x14ac:dyDescent="0.25"/>
  <cols>
    <col min="1" max="1" width="19.5703125" style="1" customWidth="1"/>
    <col min="2" max="2" width="44.85546875" style="1" customWidth="1"/>
    <col min="3" max="3" width="23.42578125" style="1" customWidth="1"/>
    <col min="4" max="4" width="38" style="1" customWidth="1"/>
    <col min="5" max="5" width="30.5703125" style="1" customWidth="1"/>
    <col min="6" max="8" width="23.5703125" style="1" customWidth="1"/>
    <col min="9" max="10" width="17.28515625" style="1" customWidth="1"/>
    <col min="11" max="11" width="21.5703125" style="1" customWidth="1"/>
    <col min="12" max="30" width="17.28515625" style="1" customWidth="1"/>
    <col min="31" max="16384" width="10.85546875" style="1"/>
  </cols>
  <sheetData>
    <row r="1" spans="1:30" ht="15.75" thickBot="1" x14ac:dyDescent="0.3"/>
    <row r="2" spans="1:30" ht="39.6" customHeight="1" thickBot="1" x14ac:dyDescent="0.3">
      <c r="A2" s="51" t="s">
        <v>29</v>
      </c>
      <c r="B2" s="52"/>
      <c r="C2" s="52"/>
      <c r="D2" s="52"/>
      <c r="E2" s="52"/>
      <c r="F2" s="53"/>
      <c r="G2" s="13"/>
      <c r="H2" s="13"/>
      <c r="I2" s="54" t="s">
        <v>2</v>
      </c>
      <c r="J2" s="55"/>
      <c r="K2" s="55"/>
      <c r="L2" s="55"/>
      <c r="M2" s="56"/>
      <c r="N2" s="57" t="s">
        <v>34</v>
      </c>
      <c r="O2" s="58"/>
      <c r="P2" s="58"/>
      <c r="Q2" s="58"/>
      <c r="R2" s="59"/>
      <c r="S2" s="54" t="s">
        <v>3</v>
      </c>
      <c r="T2" s="55"/>
      <c r="U2" s="55"/>
      <c r="V2" s="55"/>
      <c r="W2" s="56"/>
      <c r="X2" s="60" t="s">
        <v>4</v>
      </c>
      <c r="Y2" s="61"/>
      <c r="Z2" s="61"/>
      <c r="AA2" s="61"/>
      <c r="AB2" s="61"/>
      <c r="AC2" s="61"/>
      <c r="AD2" s="62"/>
    </row>
    <row r="3" spans="1:30" ht="91.5" customHeight="1" thickBot="1" x14ac:dyDescent="0.3">
      <c r="A3" s="27" t="s">
        <v>0</v>
      </c>
      <c r="B3" s="28" t="s">
        <v>1</v>
      </c>
      <c r="C3" s="29" t="s">
        <v>20</v>
      </c>
      <c r="D3" s="38" t="s">
        <v>31</v>
      </c>
      <c r="E3" s="30" t="s">
        <v>32</v>
      </c>
      <c r="F3" s="31" t="s">
        <v>33</v>
      </c>
      <c r="G3" s="12"/>
      <c r="H3" s="12"/>
      <c r="I3" s="3" t="s">
        <v>5</v>
      </c>
      <c r="J3" s="3" t="s">
        <v>6</v>
      </c>
      <c r="K3" s="3" t="s">
        <v>35</v>
      </c>
      <c r="L3" s="3" t="s">
        <v>22</v>
      </c>
      <c r="M3" s="3" t="s">
        <v>8</v>
      </c>
      <c r="N3" s="4" t="s">
        <v>9</v>
      </c>
      <c r="O3" s="4" t="s">
        <v>6</v>
      </c>
      <c r="P3" s="4" t="s">
        <v>36</v>
      </c>
      <c r="Q3" s="4" t="s">
        <v>7</v>
      </c>
      <c r="R3" s="4" t="s">
        <v>8</v>
      </c>
      <c r="S3" s="3" t="s">
        <v>9</v>
      </c>
      <c r="T3" s="3" t="s">
        <v>6</v>
      </c>
      <c r="U3" s="3" t="s">
        <v>37</v>
      </c>
      <c r="V3" s="3" t="s">
        <v>7</v>
      </c>
      <c r="W3" s="3" t="s">
        <v>8</v>
      </c>
      <c r="X3" s="4" t="s">
        <v>10</v>
      </c>
      <c r="Y3" s="4" t="s">
        <v>11</v>
      </c>
      <c r="Z3" s="4" t="s">
        <v>12</v>
      </c>
      <c r="AA3" s="4" t="s">
        <v>13</v>
      </c>
      <c r="AB3" s="4" t="s">
        <v>14</v>
      </c>
      <c r="AC3" s="4" t="s">
        <v>15</v>
      </c>
      <c r="AD3" s="4" t="s">
        <v>16</v>
      </c>
    </row>
    <row r="4" spans="1:30" ht="118.5" customHeight="1" x14ac:dyDescent="0.25">
      <c r="A4" s="40">
        <v>1</v>
      </c>
      <c r="B4" s="33" t="s">
        <v>25</v>
      </c>
      <c r="C4" s="26" t="s">
        <v>21</v>
      </c>
      <c r="D4" s="49">
        <v>1120000</v>
      </c>
      <c r="E4" s="47">
        <v>650000</v>
      </c>
      <c r="F4" s="41">
        <v>654500</v>
      </c>
      <c r="G4" s="12"/>
      <c r="H4" s="12"/>
      <c r="I4" s="7">
        <f>ROUND(AVERAGE(D4:F4),0)</f>
        <v>808167</v>
      </c>
      <c r="J4" s="7">
        <f>ROUND(STDEVA(D4:F4),0)</f>
        <v>270065</v>
      </c>
      <c r="K4" s="14">
        <f>J4/I4*100</f>
        <v>33.41697941143353</v>
      </c>
      <c r="L4" s="14">
        <f>100-K4</f>
        <v>66.58302058856647</v>
      </c>
      <c r="M4" s="8" t="str">
        <f>IF(L4&gt;70,"ALTO","BAJO")</f>
        <v>BAJO</v>
      </c>
      <c r="N4" s="7">
        <f>ROUND(GEOMEAN(D4:F4),0)</f>
        <v>781053</v>
      </c>
      <c r="O4" s="16">
        <f>ROUND(_xlfn.STDEV.S(D4:F4),0)</f>
        <v>270065</v>
      </c>
      <c r="P4" s="14">
        <f>ROUND(O4/N4*100,2)</f>
        <v>34.58</v>
      </c>
      <c r="Q4" s="14">
        <f>100-P4</f>
        <v>65.42</v>
      </c>
      <c r="R4" s="8" t="str">
        <f>IF(Q4&gt;70,"ALTO","BAJO")</f>
        <v>BAJO</v>
      </c>
      <c r="S4" s="7">
        <f>ROUND(MEDIAN(D4:F4),0)</f>
        <v>654500</v>
      </c>
      <c r="T4" s="16">
        <f>ROUND(STDEVA(D4:F4), 0)</f>
        <v>270065</v>
      </c>
      <c r="U4" s="14">
        <f>T4/S4*100</f>
        <v>41.262796027501906</v>
      </c>
      <c r="V4" s="14">
        <f>100-U4</f>
        <v>58.737203972498094</v>
      </c>
      <c r="W4" s="8" t="str">
        <f>IF(V4&gt;70,"ALTO","BAJO")</f>
        <v>BAJO</v>
      </c>
      <c r="X4" s="16">
        <f>I4+J4</f>
        <v>1078232</v>
      </c>
      <c r="Y4" s="16">
        <f>I4-J4</f>
        <v>538102</v>
      </c>
      <c r="Z4" s="17">
        <f>MEDIAN(D4:F4)</f>
        <v>654500</v>
      </c>
      <c r="AA4" s="7">
        <f>ROUND(STDEVA(D4:F4), 0)</f>
        <v>270065</v>
      </c>
      <c r="AB4" s="14">
        <f t="shared" ref="AB4:AB6" si="0">AA4/Z4*100</f>
        <v>41.262796027501906</v>
      </c>
      <c r="AC4" s="14">
        <f t="shared" ref="AC4:AC6" si="1">100-AB4</f>
        <v>58.737203972498094</v>
      </c>
      <c r="AD4" s="18">
        <f>Z4</f>
        <v>654500</v>
      </c>
    </row>
    <row r="5" spans="1:30" ht="164.25" customHeight="1" x14ac:dyDescent="0.25">
      <c r="A5" s="42">
        <v>2</v>
      </c>
      <c r="B5" s="35" t="s">
        <v>26</v>
      </c>
      <c r="C5" s="25" t="s">
        <v>21</v>
      </c>
      <c r="D5" s="49">
        <v>1800000</v>
      </c>
      <c r="E5" s="37">
        <v>750000</v>
      </c>
      <c r="F5" s="41">
        <v>675900</v>
      </c>
      <c r="G5" s="12"/>
      <c r="H5" s="12"/>
      <c r="I5" s="7">
        <f t="shared" ref="I5:I6" si="2">ROUND(AVERAGE(D5:F5),0)</f>
        <v>1075300</v>
      </c>
      <c r="J5" s="7">
        <f t="shared" ref="J5:J6" si="3">ROUND(STDEVA(D5:F5),0)</f>
        <v>628701</v>
      </c>
      <c r="K5" s="14">
        <f t="shared" ref="K5:K6" si="4">J5/I5*100</f>
        <v>58.467497442574171</v>
      </c>
      <c r="L5" s="14">
        <f t="shared" ref="L5:L6" si="5">100-K5</f>
        <v>41.532502557425829</v>
      </c>
      <c r="M5" s="8" t="str">
        <f t="shared" ref="M5:M6" si="6">IF(L5&gt;70,"ALTO","BAJO")</f>
        <v>BAJO</v>
      </c>
      <c r="N5" s="7">
        <f t="shared" ref="N5:N6" si="7">ROUND(GEOMEAN(D5:F5),0)</f>
        <v>969926</v>
      </c>
      <c r="O5" s="16">
        <f t="shared" ref="O5:O6" si="8">ROUND(_xlfn.STDEV.S(D5:F5),0)</f>
        <v>628701</v>
      </c>
      <c r="P5" s="14">
        <f t="shared" ref="P5:P6" si="9">ROUND(O5/N5*100,2)</f>
        <v>64.819999999999993</v>
      </c>
      <c r="Q5" s="14">
        <f t="shared" ref="Q5:Q6" si="10">100-P5</f>
        <v>35.180000000000007</v>
      </c>
      <c r="R5" s="8" t="str">
        <f t="shared" ref="R5:R6" si="11">IF(Q5&gt;70,"ALTO","BAJO")</f>
        <v>BAJO</v>
      </c>
      <c r="S5" s="7">
        <f t="shared" ref="S5:S6" si="12">ROUND(MEDIAN(D5:F5),0)</f>
        <v>750000</v>
      </c>
      <c r="T5" s="16">
        <f t="shared" ref="T5:T6" si="13">ROUND(STDEVA(D5:F5), 0)</f>
        <v>628701</v>
      </c>
      <c r="U5" s="14">
        <f t="shared" ref="U5:U6" si="14">T5/S5*100</f>
        <v>83.826800000000006</v>
      </c>
      <c r="V5" s="14">
        <f t="shared" ref="V5:V6" si="15">100-U5</f>
        <v>16.173199999999994</v>
      </c>
      <c r="W5" s="8" t="str">
        <f t="shared" ref="W5:W6" si="16">IF(V5&gt;70,"ALTO","BAJO")</f>
        <v>BAJO</v>
      </c>
      <c r="X5" s="16">
        <f t="shared" ref="X5:X6" si="17">I5+J5</f>
        <v>1704001</v>
      </c>
      <c r="Y5" s="16">
        <f t="shared" ref="Y5:Y6" si="18">I5-J5</f>
        <v>446599</v>
      </c>
      <c r="Z5" s="17">
        <f t="shared" ref="Z5:Z6" si="19">MEDIAN(D5:F5)</f>
        <v>750000</v>
      </c>
      <c r="AA5" s="7">
        <f t="shared" ref="AA5:AA6" si="20">ROUND(STDEVA(D5:F5), 0)</f>
        <v>628701</v>
      </c>
      <c r="AB5" s="14">
        <f t="shared" si="0"/>
        <v>83.826800000000006</v>
      </c>
      <c r="AC5" s="14">
        <f t="shared" si="1"/>
        <v>16.173199999999994</v>
      </c>
      <c r="AD5" s="18">
        <f>Z5</f>
        <v>750000</v>
      </c>
    </row>
    <row r="6" spans="1:30" ht="126.75" customHeight="1" thickBot="1" x14ac:dyDescent="0.3">
      <c r="A6" s="43">
        <v>3</v>
      </c>
      <c r="B6" s="44" t="s">
        <v>27</v>
      </c>
      <c r="C6" s="45" t="s">
        <v>21</v>
      </c>
      <c r="D6" s="50">
        <v>1253000</v>
      </c>
      <c r="E6" s="48">
        <v>850000</v>
      </c>
      <c r="F6" s="46">
        <v>1400000</v>
      </c>
      <c r="G6" s="12"/>
      <c r="H6" s="12"/>
      <c r="I6" s="7">
        <f t="shared" si="2"/>
        <v>1167667</v>
      </c>
      <c r="J6" s="7">
        <f t="shared" si="3"/>
        <v>284757</v>
      </c>
      <c r="K6" s="14">
        <f t="shared" si="4"/>
        <v>24.386832889856443</v>
      </c>
      <c r="L6" s="14">
        <f t="shared" si="5"/>
        <v>75.613167110143564</v>
      </c>
      <c r="M6" s="8" t="str">
        <f t="shared" si="6"/>
        <v>ALTO</v>
      </c>
      <c r="N6" s="7">
        <f t="shared" si="7"/>
        <v>1142438</v>
      </c>
      <c r="O6" s="16">
        <f t="shared" si="8"/>
        <v>284757</v>
      </c>
      <c r="P6" s="14">
        <f t="shared" si="9"/>
        <v>24.93</v>
      </c>
      <c r="Q6" s="14">
        <f t="shared" si="10"/>
        <v>75.069999999999993</v>
      </c>
      <c r="R6" s="8" t="str">
        <f t="shared" si="11"/>
        <v>ALTO</v>
      </c>
      <c r="S6" s="7">
        <f t="shared" si="12"/>
        <v>1253000</v>
      </c>
      <c r="T6" s="16">
        <f t="shared" si="13"/>
        <v>284757</v>
      </c>
      <c r="U6" s="14">
        <f t="shared" si="14"/>
        <v>22.726017557861134</v>
      </c>
      <c r="V6" s="14">
        <f t="shared" si="15"/>
        <v>77.273982442138873</v>
      </c>
      <c r="W6" s="8" t="str">
        <f t="shared" si="16"/>
        <v>ALTO</v>
      </c>
      <c r="X6" s="16">
        <f t="shared" si="17"/>
        <v>1452424</v>
      </c>
      <c r="Y6" s="16">
        <f t="shared" si="18"/>
        <v>882910</v>
      </c>
      <c r="Z6" s="17">
        <f t="shared" si="19"/>
        <v>1253000</v>
      </c>
      <c r="AA6" s="7">
        <f t="shared" si="20"/>
        <v>284757</v>
      </c>
      <c r="AB6" s="14">
        <f t="shared" si="0"/>
        <v>22.726017557861134</v>
      </c>
      <c r="AC6" s="14">
        <f t="shared" si="1"/>
        <v>77.273982442138873</v>
      </c>
      <c r="AD6" s="16">
        <f>Z6</f>
        <v>1253000</v>
      </c>
    </row>
    <row r="7" spans="1:30" x14ac:dyDescent="0.25">
      <c r="K7" s="19">
        <f>AVERAGE(K4:K6)</f>
        <v>38.757103247954717</v>
      </c>
      <c r="L7" s="19">
        <f>AVERAGE(L4:L6)</f>
        <v>61.242896752045283</v>
      </c>
      <c r="M7" s="15"/>
      <c r="P7" s="19">
        <f>AVERAGE(P4:P6)</f>
        <v>41.443333333333328</v>
      </c>
      <c r="Q7" s="19">
        <f>AVERAGE(Q4:Q6)</f>
        <v>58.556666666666672</v>
      </c>
      <c r="U7" s="19">
        <f>AVERAGE(U4:U6)</f>
        <v>49.271871195121015</v>
      </c>
      <c r="V7" s="19">
        <f>AVERAGE(V4:V6)</f>
        <v>50.728128804878985</v>
      </c>
      <c r="AB7" s="19">
        <f>AVERAGE(AB4:AB6)</f>
        <v>49.271871195121015</v>
      </c>
      <c r="AC7" s="19">
        <f>AVERAGE(AC4:AC6)</f>
        <v>50.728128804878985</v>
      </c>
    </row>
    <row r="13" spans="1:30" x14ac:dyDescent="0.25">
      <c r="B13" s="5"/>
    </row>
  </sheetData>
  <mergeCells count="5">
    <mergeCell ref="A2:F2"/>
    <mergeCell ref="I2:M2"/>
    <mergeCell ref="N2:R2"/>
    <mergeCell ref="S2:W2"/>
    <mergeCell ref="X2:AD2"/>
  </mergeCells>
  <pageMargins left="0.7" right="0.7" top="0.75" bottom="0.75" header="0.3" footer="0.3"/>
  <pageSetup paperSize="9" scale="1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3"/>
  <sheetViews>
    <sheetView topLeftCell="A6" zoomScaleNormal="100" zoomScaleSheetLayoutView="70" zoomScalePageLayoutView="57" workbookViewId="0">
      <selection activeCell="A3" sqref="A3:G9"/>
    </sheetView>
  </sheetViews>
  <sheetFormatPr baseColWidth="10" defaultColWidth="10.85546875" defaultRowHeight="15" x14ac:dyDescent="0.25"/>
  <cols>
    <col min="1" max="1" width="10.85546875" style="1"/>
    <col min="2" max="2" width="32.42578125" style="1" customWidth="1"/>
    <col min="3" max="3" width="16.5703125" style="1" customWidth="1"/>
    <col min="4" max="4" width="19" style="1" customWidth="1"/>
    <col min="5" max="5" width="16.7109375" style="1" customWidth="1"/>
    <col min="6" max="6" width="48.42578125" style="1" customWidth="1"/>
    <col min="7" max="16384" width="10.85546875" style="1"/>
  </cols>
  <sheetData>
    <row r="3" spans="1:7" ht="49.5" customHeight="1" x14ac:dyDescent="0.25">
      <c r="A3" s="63" t="s">
        <v>30</v>
      </c>
      <c r="B3" s="64"/>
      <c r="C3" s="64"/>
      <c r="D3" s="64"/>
      <c r="E3" s="64"/>
      <c r="F3" s="64"/>
    </row>
    <row r="4" spans="1:7" ht="30" x14ac:dyDescent="0.25">
      <c r="A4" s="2" t="s">
        <v>0</v>
      </c>
      <c r="B4" s="2" t="s">
        <v>1</v>
      </c>
      <c r="C4" s="2" t="s">
        <v>23</v>
      </c>
      <c r="D4" s="11" t="s">
        <v>20</v>
      </c>
      <c r="E4" s="6" t="s">
        <v>17</v>
      </c>
      <c r="F4" s="6" t="s">
        <v>18</v>
      </c>
    </row>
    <row r="5" spans="1:7" ht="75" x14ac:dyDescent="0.25">
      <c r="A5" s="32">
        <v>1</v>
      </c>
      <c r="B5" s="33" t="s">
        <v>25</v>
      </c>
      <c r="C5" s="36">
        <v>3</v>
      </c>
      <c r="D5" s="32" t="s">
        <v>28</v>
      </c>
      <c r="E5" s="7">
        <f>'ESTUDIO DE MERCADO'!S4</f>
        <v>654500</v>
      </c>
      <c r="F5" s="9">
        <f>E5*C5</f>
        <v>1963500</v>
      </c>
    </row>
    <row r="6" spans="1:7" ht="60" x14ac:dyDescent="0.25">
      <c r="A6" s="34">
        <v>2</v>
      </c>
      <c r="B6" s="35" t="s">
        <v>26</v>
      </c>
      <c r="C6" s="36">
        <v>4</v>
      </c>
      <c r="D6" s="32" t="s">
        <v>28</v>
      </c>
      <c r="E6" s="7">
        <f>'ESTUDIO DE MERCADO'!S5</f>
        <v>750000</v>
      </c>
      <c r="F6" s="9">
        <f t="shared" ref="F6:F7" si="0">E6*C6</f>
        <v>3000000</v>
      </c>
      <c r="G6" s="10"/>
    </row>
    <row r="7" spans="1:7" ht="75.75" thickBot="1" x14ac:dyDescent="0.3">
      <c r="A7" s="32">
        <v>3</v>
      </c>
      <c r="B7" s="35" t="s">
        <v>27</v>
      </c>
      <c r="C7" s="32">
        <v>3</v>
      </c>
      <c r="D7" s="32" t="s">
        <v>28</v>
      </c>
      <c r="E7" s="7">
        <f>'ESTUDIO DE MERCADO'!S6</f>
        <v>1253000</v>
      </c>
      <c r="F7" s="9">
        <f t="shared" si="0"/>
        <v>3759000</v>
      </c>
    </row>
    <row r="8" spans="1:7" ht="19.5" thickBot="1" x14ac:dyDescent="0.35">
      <c r="A8" s="20"/>
      <c r="B8" s="20"/>
      <c r="C8" s="20"/>
      <c r="D8" s="20"/>
      <c r="E8" s="21" t="s">
        <v>24</v>
      </c>
      <c r="F8" s="22">
        <f>F5+F6+F7</f>
        <v>8722500</v>
      </c>
    </row>
    <row r="9" spans="1:7" ht="18.75" x14ac:dyDescent="0.3">
      <c r="F9" s="24">
        <f>F8/1750905</f>
        <v>4.9817094588227233</v>
      </c>
      <c r="G9" s="23" t="s">
        <v>19</v>
      </c>
    </row>
    <row r="13" spans="1:7" x14ac:dyDescent="0.25">
      <c r="F13" s="39"/>
    </row>
  </sheetData>
  <mergeCells count="1">
    <mergeCell ref="A3:F3"/>
  </mergeCells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ESTUDIO DE MERCADO</vt:lpstr>
      <vt:lpstr>PRESUPUESTO OFICIAL</vt:lpstr>
      <vt:lpstr>'PRESUPUESTO OFICIAL'!Área_de_impresión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PRUEBA</dc:creator>
  <cp:lastModifiedBy>PRUEBA</cp:lastModifiedBy>
  <cp:lastPrinted>2025-12-07T17:05:53Z</cp:lastPrinted>
  <dcterms:created xsi:type="dcterms:W3CDTF">2025-07-11T15:11:43Z</dcterms:created>
  <dcterms:modified xsi:type="dcterms:W3CDTF">2026-09-16T05:05:58Z</dcterms:modified>
</cp:coreProperties>
</file>